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1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8.xml" ContentType="application/vnd.openxmlformats-officedocument.drawing+xml"/>
  <Override PartName="/xl/ctrlProps/ctrlProp11.xml" ContentType="application/vnd.ms-excel.controlproperties+xml"/>
  <Override PartName="/xl/drawings/drawing1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35.xml" ContentType="application/vnd.ms-excel.controlproperties+xml"/>
  <Override PartName="/xl/drawings/drawing26.xml" ContentType="application/vnd.openxmlformats-officedocument.drawing+xml"/>
  <Override PartName="/xl/ctrlProps/ctrlProp36.xml" ContentType="application/vnd.ms-excel.controlpropertie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comments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37.xml" ContentType="application/vnd.ms-excel.controlproperties+xml"/>
  <Override PartName="/xl/comments4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0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omments5.xml" ContentType="application/vnd.openxmlformats-officedocument.spreadsheetml.comments+xml"/>
  <Override PartName="/xl/drawings/drawing4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0.xml" ContentType="application/vnd.ms-excel.controlproperties+xml"/>
  <Override PartName="/xl/comments6.xml" ContentType="application/vnd.openxmlformats-officedocument.spreadsheetml.comments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omments7.xml" ContentType="application/vnd.openxmlformats-officedocument.spreadsheetml.comments+xml"/>
  <Override PartName="/xl/drawings/drawing47.xml" ContentType="application/vnd.openxmlformats-officedocument.drawing+xml"/>
  <Override PartName="/xl/comments8.xml" ContentType="application/vnd.openxmlformats-officedocument.spreadsheetml.comments+xml"/>
  <Override PartName="/xl/drawings/drawing48.xml" ContentType="application/vnd.openxmlformats-officedocument.drawing+xml"/>
  <Override PartName="/xl/ctrlProps/ctrlProp51.xml" ContentType="application/vnd.ms-excel.controlproperties+xml"/>
  <Override PartName="/xl/comments9.xml" ContentType="application/vnd.openxmlformats-officedocument.spreadsheetml.comments+xml"/>
  <Override PartName="/xl/drawings/drawing49.xml" ContentType="application/vnd.openxmlformats-officedocument.drawing+xml"/>
  <Override PartName="/xl/ctrlProps/ctrlProp5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"/>
    </mc:Choice>
  </mc:AlternateContent>
  <xr:revisionPtr revIDLastSave="0" documentId="13_ncr:1_{7F339DE7-73AE-48A7-9F57-F37420A530E1}" xr6:coauthVersionLast="47" xr6:coauthVersionMax="47" xr10:uidLastSave="{00000000-0000-0000-0000-000000000000}"/>
  <bookViews>
    <workbookView xWindow="-120" yWindow="-120" windowWidth="29040" windowHeight="15720" tabRatio="915" firstSheet="1" activeTab="2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hartAccountDefault" sheetId="813" r:id="rId7"/>
    <sheet name="ModuleGroup" sheetId="814" r:id="rId8"/>
    <sheet name="ModuleType" sheetId="806" r:id="rId9"/>
    <sheet name="Lang" sheetId="771" r:id="rId10"/>
    <sheet name="ReportInventoryActivitySummary" sheetId="229" r:id="rId11"/>
    <sheet name="InventoryAdj" sheetId="824" r:id="rId12"/>
    <sheet name="PrintInvAdjustment" sheetId="848" r:id="rId13"/>
    <sheet name="PrintInvoiceA5" sheetId="845" r:id="rId14"/>
    <sheet name="PrintInvoice" sheetId="823" r:id="rId15"/>
    <sheet name="PrintPurchaseBill" sheetId="843" r:id="rId16"/>
    <sheet name="AddPurchaseBill" sheetId="825" r:id="rId17"/>
    <sheet name="AddQuotation" sheetId="841" r:id="rId18"/>
    <sheet name="AddInvoice" sheetId="805" r:id="rId19"/>
    <sheet name="AddReceivePayment" sheetId="404" r:id="rId20"/>
    <sheet name="OtherExpense" sheetId="406" r:id="rId21"/>
    <sheet name="OtherIncome" sheetId="802" r:id="rId22"/>
    <sheet name="ShipTo" sheetId="794" r:id="rId23"/>
    <sheet name="Cgroup" sheetId="800" r:id="rId24"/>
    <sheet name="CustomerList" sheetId="28" r:id="rId25"/>
    <sheet name="VendorList" sheetId="408" r:id="rId26"/>
    <sheet name="VendorContact" sheetId="828" r:id="rId27"/>
    <sheet name="Seller" sheetId="292" r:id="rId28"/>
    <sheet name="ReportFinancialDetail" sheetId="116" r:id="rId29"/>
    <sheet name="CountStock" sheetId="155" r:id="rId30"/>
    <sheet name="Setting" sheetId="4" r:id="rId31"/>
    <sheet name="LocationGroup" sheetId="784" r:id="rId32"/>
    <sheet name="Location" sheetId="785" r:id="rId33"/>
    <sheet name="Currency" sheetId="786" r:id="rId34"/>
    <sheet name="UoM" sheetId="782" r:id="rId35"/>
    <sheet name="UomConversion" sheetId="783" r:id="rId36"/>
    <sheet name="Branch" sheetId="781" r:id="rId37"/>
    <sheet name="BankInfo" sheetId="787" r:id="rId38"/>
    <sheet name="(1 )" sheetId="24" state="hidden" r:id="rId39"/>
    <sheet name="( 3)" sheetId="26" state="hidden" r:id="rId40"/>
    <sheet name="NBC_Exchange_Rate" sheetId="545" r:id="rId41"/>
    <sheet name="ProductCostHistory" sheetId="826" r:id="rId42"/>
    <sheet name="ProductPriceHistory" sheetId="827" r:id="rId43"/>
    <sheet name="ProductPrice" sheetId="834" r:id="rId44"/>
    <sheet name="Brand" sheetId="838" r:id="rId45"/>
    <sheet name="ProductGroup" sheetId="837" r:id="rId46"/>
    <sheet name="ProductList" sheetId="124" r:id="rId47"/>
    <sheet name="ProductListFinal" sheetId="840" r:id="rId48"/>
    <sheet name="InvoicePrinting" sheetId="846" r:id="rId49"/>
    <sheet name="ImportProductPrice" sheetId="844" r:id="rId50"/>
    <sheet name="ImportProductPrice (2)" sheetId="847" r:id="rId51"/>
  </sheets>
  <functionGroups builtInGroupCount="19">
    <functionGroup name="Barcode"/>
  </functionGroups>
  <externalReferences>
    <externalReference r:id="rId52"/>
  </externalReferences>
  <definedNames>
    <definedName name="_xlnm._FilterDatabase" localSheetId="6" hidden="1">ChartAccountDefault!$C$7:$L$7</definedName>
    <definedName name="_xlnm._FilterDatabase" localSheetId="24" hidden="1">CustomerList!$C$4:$Q$132</definedName>
    <definedName name="_xlnm._FilterDatabase" localSheetId="49" hidden="1">ImportProductPrice!$C$19:$BG$219</definedName>
    <definedName name="_xlnm._FilterDatabase" localSheetId="50" hidden="1">'ImportProductPrice (2)'!$C$19:$BG$219</definedName>
    <definedName name="_xlnm._FilterDatabase" localSheetId="9" hidden="1">Lang!$C$6:$I$6</definedName>
    <definedName name="_xlnm._FilterDatabase" localSheetId="40" hidden="1">NBC_Exchange_Rate!$B$1:$B$7</definedName>
    <definedName name="_xlnm._FilterDatabase" localSheetId="45" hidden="1">ProductGroup!$C$7:$L$7</definedName>
    <definedName name="_xlnm._FilterDatabase" localSheetId="46" hidden="1">ProductList!$C$7:$AB$207</definedName>
    <definedName name="_xlnm._FilterDatabase" localSheetId="47" hidden="1">ProductListFinal!$C$7:$AB$208</definedName>
    <definedName name="_xlnm._FilterDatabase" localSheetId="28" hidden="1">ReportFinancialDetail!#REF!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29">CountStock!$K$19</definedName>
    <definedName name="c_inv_discount" localSheetId="29">CountStock!$K$18</definedName>
    <definedName name="c_inv_discount_type" localSheetId="29">CountStock!$R$17</definedName>
    <definedName name="c_invoice_date" localSheetId="19">AddReceivePayment!$Q$10</definedName>
    <definedName name="c_invoice_price_type" localSheetId="29">CountStock!$Q$3</definedName>
    <definedName name="c_monthly_exchange_rate_balance_summary_detail" localSheetId="28">ReportFinancialDetail!$L$3</definedName>
    <definedName name="c_other_expense_no">OtherExpense!$Q$3</definedName>
    <definedName name="c_other_expense_status">OtherExpense!$W$3</definedName>
    <definedName name="c_rp_amount_en_paid" localSheetId="20">OtherExpense!$Q$13</definedName>
    <definedName name="c_rp_amount_en_paid">AddReceivePayment!$P$13</definedName>
    <definedName name="c_rp_amount_kh_paid" localSheetId="20">OtherExpense!$Q$11</definedName>
    <definedName name="c_rp_amount_kh_paid">AddReceivePayment!$P$11</definedName>
    <definedName name="c_rp_current_date" localSheetId="20">OtherExpense!$V$6</definedName>
    <definedName name="c_rp_current_date">AddReceivePayment!$U$7</definedName>
    <definedName name="c_rp_customer_code">AddReceivePayment!$P$9</definedName>
    <definedName name="c_rp_customer_id">AddReceivePayment!$Q$9</definedName>
    <definedName name="c_rp_description" localSheetId="20">OtherExpense!$O$22</definedName>
    <definedName name="c_rp_description">AddReceivePayment!$S$18</definedName>
    <definedName name="c_rp_discount">AddReceivePayment!$P$16</definedName>
    <definedName name="c_rp_exchange_rate" localSheetId="20">OtherExpense!$W$12</definedName>
    <definedName name="c_rp_exchange_rate">AddReceivePayment!$V$12</definedName>
    <definedName name="c_rp_invoice_no" localSheetId="20">OtherExpense!$Q$6</definedName>
    <definedName name="c_rp_invoice_no">AddReceivePayment!$P$7</definedName>
    <definedName name="c_rp_module_types_option" localSheetId="20">OtherExpense!$Q$18</definedName>
    <definedName name="c_rp_module_types_option">AddReceivePayment!$U$15</definedName>
    <definedName name="c_rp_receipt_no" localSheetId="20">OtherExpense!$Q$3</definedName>
    <definedName name="c_rp_receipt_no">AddReceivePayment!$P$4</definedName>
    <definedName name="c_rp_status" localSheetId="20">OtherExpense!$W$3</definedName>
    <definedName name="c_rp_status">AddReceivePayment!$V$4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4">PrintInvoice!$J$16</definedName>
    <definedName name="col_header">Cgroup!$C$7:$D$7</definedName>
    <definedName name="column_qty_stock" localSheetId="19">AddReceivePayment!$G$17:$G$21</definedName>
    <definedName name="column_qty_stock" localSheetId="20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6">VendorContact!$D$8:$D$18</definedName>
    <definedName name="customer_code_option" localSheetId="25">VendorList!#REF!</definedName>
    <definedName name="customer_code_option">CustomerList!$D$5:$D$120</definedName>
    <definedName name="customer_code_th" localSheetId="26">VendorContact!$D$7</definedName>
    <definedName name="customer_code_th" localSheetId="25">VendorList!$E$7</definedName>
    <definedName name="customer_code_th">CustomerList!$D$3</definedName>
    <definedName name="Customer_Detail" localSheetId="39">'( 3)'!$D$18:$H$21,'( 3)'!$D$22,'( 3)'!$F$22,'( 3)'!$D$23,'( 3)'!$F$23</definedName>
    <definedName name="customer_list">CustomerList!$C$5:$Q$300</definedName>
    <definedName name="customer_name_kh_th" localSheetId="26">VendorContact!$E$7</definedName>
    <definedName name="customer_name_kh_th" localSheetId="25">VendorList!$F$7</definedName>
    <definedName name="customer_name_kh_th">CustomerList!$G$3</definedName>
    <definedName name="customer_name_option" localSheetId="26">VendorContact!$L$8:$L$18</definedName>
    <definedName name="customer_name_option" localSheetId="25">VendorList!#REF!</definedName>
    <definedName name="customer_name_option">CustomerList!$Q$5:$Q$200</definedName>
    <definedName name="Customer_TIN_Area" localSheetId="39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39">'( 3)'!$N$14</definedName>
    <definedName name="Description_Area" localSheetId="39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39">'( 3)'!$N$15</definedName>
    <definedName name="Exchange_Rate" localSheetId="15">PrintPurchaseBill!#REF!</definedName>
    <definedName name="exchange_rate_date_wbsd">ReportFinancialDetail!$I$44</definedName>
    <definedName name="exchange_rate_list">NBC_Exchange_Rate!$B$2:$E$7</definedName>
    <definedName name="exchange_rate_wbsd">ReportFinancialDetail!$H$44</definedName>
    <definedName name="ExchangeRateToday">NBC_Exchange_Rate!$I$3</definedName>
    <definedName name="exp_alert_to_check_amount">OtherExpense!$O$10</definedName>
    <definedName name="exp_code">OtherExpense!$J$8</definedName>
    <definedName name="exp_member_id" localSheetId="20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0" hidden="1">NBC_Exchange_Rate!$C$1:$E$7</definedName>
    <definedName name="ExternalData_3" localSheetId="40" hidden="1">NBC_Exchange_Rate!#REF!</definedName>
    <definedName name="group_member_option_select" localSheetId="19">AddReceivePayment!$W$36</definedName>
    <definedName name="import_pro_branch_id" localSheetId="50">'ImportProductPrice (2)'!$F$3</definedName>
    <definedName name="import_pro_branch_id">ImportProductPrice!$F$3</definedName>
    <definedName name="import_pro_number_of_price_type" localSheetId="50">'ImportProductPrice (2)'!$H$3</definedName>
    <definedName name="import_pro_number_of_price_type">ImportProductPrice!$H$3</definedName>
    <definedName name="import_pro_price_type_arr" localSheetId="50">'ImportProductPrice (2)'!$I$3</definedName>
    <definedName name="import_pro_price_type_arr">ImportProductPrice!$I$3</definedName>
    <definedName name="income_option" localSheetId="28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18">AddInvoice!$C$13</definedName>
    <definedName name="invoice_branch" localSheetId="17">AddQuotation!$C$13</definedName>
    <definedName name="invoice_branch_id" localSheetId="17">AddQuotation!$D$13</definedName>
    <definedName name="invoice_branch_id">AddInvoice!$D$13</definedName>
    <definedName name="invoice_chart_acc_income" localSheetId="17">AddQuotation!$D$19</definedName>
    <definedName name="invoice_chart_acc_income">AddInvoice!$D$19</definedName>
    <definedName name="invoice_chart_account_id" localSheetId="17">AddQuotation!$D$20</definedName>
    <definedName name="invoice_chart_account_id">AddInvoice!$D$20</definedName>
    <definedName name="invoice_code" localSheetId="17">AddQuotation!$E$9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18">AddInvoice!$M$8:$M$87</definedName>
    <definedName name="invoice_column_product" localSheetId="17">AddQuotation!$M$8:$M$87</definedName>
    <definedName name="invoice_column_qty_free" localSheetId="17">AddQuotation!$P$8:$P$87</definedName>
    <definedName name="invoice_column_remark">AddInvoice!$Z$8:$Z$87</definedName>
    <definedName name="invoice_column_uom" localSheetId="18">AddInvoice!$P$8:$P$87</definedName>
    <definedName name="invoice_column_uom">AddInvoice!$P$8:$P$87</definedName>
    <definedName name="invoice_copy_print_letter_head" localSheetId="18">AddInvoice!$AV$112:$AV$217</definedName>
    <definedName name="invoice_copy_print_letter_head" localSheetId="17">AddQuotation!$AV$112:$AV$217</definedName>
    <definedName name="invoice_copy_print_no_letter_head" localSheetId="17">AddQuotation!#REF!</definedName>
    <definedName name="invoice_currency_id" localSheetId="17">AddQuotation!$C$18</definedName>
    <definedName name="invoice_currency_id">AddInvoice!$C$18</definedName>
    <definedName name="invoice_currency_symbol" localSheetId="17">AddQuotation!$D$17</definedName>
    <definedName name="invoice_currency_symbol">AddInvoice!$D$17</definedName>
    <definedName name="invoice_customer" localSheetId="18">AddInvoice!$C$11</definedName>
    <definedName name="invoice_customer" localSheetId="17">AddQuotation!$C$11</definedName>
    <definedName name="invoice_customer_id" localSheetId="17">AddQuotation!$E$11</definedName>
    <definedName name="invoice_customer_id">AddInvoice!$E$11</definedName>
    <definedName name="invoice_date" localSheetId="17">AddQuotation!$C$9</definedName>
    <definedName name="invoice_date">AddInvoice!$C$9</definedName>
    <definedName name="invoice_deposit" localSheetId="17">AddQuotation!$Y$91</definedName>
    <definedName name="invoice_deposit">AddInvoice!$Y$91</definedName>
    <definedName name="invoice_discount" localSheetId="17">AddQuotation!$Y$89</definedName>
    <definedName name="invoice_discount">AddInvoice!$Y$89</definedName>
    <definedName name="invoice_discount_amount" localSheetId="17">AddQuotation!$O$89</definedName>
    <definedName name="invoice_discount_amount">AddInvoice!$O$89</definedName>
    <definedName name="invoice_discount_by_item" localSheetId="18">AddInvoice!$W$8:$W$87</definedName>
    <definedName name="invoice_discount_by_item" localSheetId="17">AddQuotation!$W$8:$W$87</definedName>
    <definedName name="invoice_discount_id" localSheetId="17">AddQuotation!$N$89</definedName>
    <definedName name="invoice_discount_id">AddInvoice!$N$89</definedName>
    <definedName name="invoice_discount_option" localSheetId="17">AddQuotation!$M$89</definedName>
    <definedName name="invoice_discount_option">AddInvoice!$M$89</definedName>
    <definedName name="invoice_discount_percent" localSheetId="17">AddQuotation!$P$89</definedName>
    <definedName name="invoice_discount_percent">AddInvoice!$P$89</definedName>
    <definedName name="invoice_exchange_rate" localSheetId="17">AddQuotation!$R$4</definedName>
    <definedName name="invoice_exchange_rate">AddInvoice!$P$4</definedName>
    <definedName name="invoice_letter_head_qrcode" localSheetId="17">AddQuotation!#REF!</definedName>
    <definedName name="invoice_location" localSheetId="17">AddQuotation!$E$15</definedName>
    <definedName name="invoice_location">AddInvoice!$E$15</definedName>
    <definedName name="invoice_location_group_id" localSheetId="17">AddQuotation!$F$13</definedName>
    <definedName name="invoice_location_group_id">AddInvoice!$F$13</definedName>
    <definedName name="invoice_location_id" localSheetId="17">AddQuotation!$F$15</definedName>
    <definedName name="invoice_location_id">AddInvoice!$F$15</definedName>
    <definedName name="invoice_no" localSheetId="17">AddQuotation!$F$9</definedName>
    <definedName name="invoice_no">AddInvoice!$F$9</definedName>
    <definedName name="invoice_no_letter_head_qrcode" localSheetId="17">AddQuotation!#REF!</definedName>
    <definedName name="invoice_note" localSheetId="17">AddQuotation!$C$22</definedName>
    <definedName name="invoice_note" localSheetId="19">AddReceivePayment!$W$28</definedName>
    <definedName name="invoice_note">AddInvoice!$C$22</definedName>
    <definedName name="invoice_payment_term_id" localSheetId="17">AddQuotation!$F$20</definedName>
    <definedName name="invoice_payment_term_id">AddInvoice!$F$20</definedName>
    <definedName name="invoice_price_type" localSheetId="17">AddQuotation!$L$4</definedName>
    <definedName name="invoice_price_type">AddInvoice!$L$4</definedName>
    <definedName name="invoice_price_type_id" localSheetId="17">AddQuotation!$N$4</definedName>
    <definedName name="invoice_price_type_id">AddInvoice!$N$4</definedName>
    <definedName name="invoice_print_letter_head" localSheetId="17">AddQuotation!#REF!</definedName>
    <definedName name="invoice_print_no_letter_head" localSheetId="17">AddQuotation!#REF!</definedName>
    <definedName name="invoice_qty" localSheetId="18">AddInvoice!$N$8:$N$87</definedName>
    <definedName name="invoice_qty" localSheetId="17">AddQuotation!$N$8:$N$87</definedName>
    <definedName name="invoice_qty_free" localSheetId="18">AddInvoice!$O$8:$O$87</definedName>
    <definedName name="invoice_qty_free" localSheetId="17">AddQuotation!$O$8:$O$87</definedName>
    <definedName name="invoice_seller" localSheetId="17">AddQuotation!$C$15</definedName>
    <definedName name="invoice_seller">AddInvoice!$C$15</definedName>
    <definedName name="invoice_seller_id" localSheetId="17">AddQuotation!$D$15</definedName>
    <definedName name="invoice_seller_id">AddInvoice!$D$15</definedName>
    <definedName name="invoice_status" localSheetId="17">AddQuotation!$D$6</definedName>
    <definedName name="invoice_status">AddInvoice!$D$6</definedName>
    <definedName name="invoice_sub_total_amount" localSheetId="17">AddQuotation!$Y$88</definedName>
    <definedName name="invoice_sub_total_amount">AddInvoice!$Y$88</definedName>
    <definedName name="invoice_tax_code">AddInvoice!$E$8</definedName>
    <definedName name="invoice_tax_no">AddInvoice!$D$8</definedName>
    <definedName name="invoice_total_amount" localSheetId="17">AddQuotation!$Y$92</definedName>
    <definedName name="invoice_total_amount">AddInvoice!$Y$92</definedName>
    <definedName name="invoice_total_dis_item_free" localSheetId="17">AddQuotation!$AC$88</definedName>
    <definedName name="invoice_total_dis_item_free">AddInvoice!$AC$88</definedName>
    <definedName name="invoice_total_price_bf_discount" localSheetId="18">AddInvoice!$AG$88</definedName>
    <definedName name="invoice_total_price_bf_discount" localSheetId="17">AddQuotation!$AG$88</definedName>
    <definedName name="invoice_total_vat" localSheetId="17">AddQuotation!$Y$90</definedName>
    <definedName name="invoice_total_vat">AddInvoice!$Y$90</definedName>
    <definedName name="invoice_type_id" localSheetId="17">AddQuotation!$F$17</definedName>
    <definedName name="invoice_type_id">AddInvoice!$F$17</definedName>
    <definedName name="invoice_type_list">Setting!$W$24:$Y$29</definedName>
    <definedName name="invoice_type_option">Setting!$Z$24:$Z$29</definedName>
    <definedName name="invoice_vat" localSheetId="17">AddQuotation!$U$90</definedName>
    <definedName name="invoice_vat">AddInvoice!$U$90</definedName>
    <definedName name="invoice_vat_cal_id" localSheetId="18">AddInvoice!$S$90</definedName>
    <definedName name="invoice_vat_cal_id" localSheetId="17">AddQuotation!$S$90</definedName>
    <definedName name="invoice_vat_chart_acc_id" localSheetId="17">AddQuotation!$U$91</definedName>
    <definedName name="invoice_vat_chart_acc_id">AddInvoice!$U$91</definedName>
    <definedName name="invoice_vat_percent" localSheetId="17">AddQuotation!$V$90</definedName>
    <definedName name="invoice_vat_percent">AddInvoice!$V$90</definedName>
    <definedName name="invoice_week" localSheetId="17">AddQuotation!$D$9</definedName>
    <definedName name="invoice_week">AddInvoice!$D$9</definedName>
    <definedName name="iow_1">ReportFinancialDetail!$B$9:$B$33</definedName>
    <definedName name="item_code_invoice" localSheetId="29">CountStock!$N$15:$N$27</definedName>
    <definedName name="last_adj_id">InventoryAdj!$F$8</definedName>
    <definedName name="last_invoice_id" localSheetId="17">AddQuotation!$F$8</definedName>
    <definedName name="last_invoice_id">AddInvoice!$F$8</definedName>
    <definedName name="last_pb_id" localSheetId="16">AddPurchaseBill!$F$8</definedName>
    <definedName name="local_system_path">FilesSetting!$O$8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NBC_Exchange_Rate!$M$3</definedName>
    <definedName name="oic_amount_due" localSheetId="21">OtherIncome!$J$16</definedName>
    <definedName name="oic_amount_en_paid" localSheetId="21">OtherIncome!$P$13</definedName>
    <definedName name="oic_amount_kh_paid" localSheetId="21">OtherIncome!$P$11</definedName>
    <definedName name="oic_amount_paid_befor" localSheetId="21">OtherIncome!$P$23</definedName>
    <definedName name="oic_amount_paid_over" localSheetId="21">OtherIncome!$U$22</definedName>
    <definedName name="oic_column_qty_stock" localSheetId="21">OtherIncome!$G$17:$G$21</definedName>
    <definedName name="oic_current_date" localSheetId="21">OtherIncome!$U$7</definedName>
    <definedName name="oic_customer_code" localSheetId="21">OtherIncome!$P$9</definedName>
    <definedName name="oic_customer_id" localSheetId="21">OtherIncome!$Q$9</definedName>
    <definedName name="oic_customer_name" localSheetId="21">OtherIncome!$P$10</definedName>
    <definedName name="oic_description" localSheetId="21">OtherIncome!$S$18</definedName>
    <definedName name="oic_exchange_rate" localSheetId="21">OtherIncome!$V$12</definedName>
    <definedName name="oic_expense_type" localSheetId="21">OtherIncome!$P$17</definedName>
    <definedName name="oic_group_member_option_select" localSheetId="21">OtherIncome!$W$36</definedName>
    <definedName name="oic_income_id" localSheetId="21">OtherIncome!$V$5</definedName>
    <definedName name="oic_invoice_no" localSheetId="21">OtherIncome!$P$16</definedName>
    <definedName name="oic_invoice_note" localSheetId="21">OtherIncome!$W$28</definedName>
    <definedName name="oic_invoice_sheet_no" localSheetId="21">OtherIncome!$Q$7</definedName>
    <definedName name="oic_last_discount" localSheetId="21">OtherIncome!$P$15</definedName>
    <definedName name="oic_module_types_option" localSheetId="21">OtherIncome!$U$15</definedName>
    <definedName name="oic_option_income_from" localSheetId="21">OtherIncome!$U$5</definedName>
    <definedName name="oic_option_income_type" localSheetId="21">OtherIncome!$P$5</definedName>
    <definedName name="oic_print_area" localSheetId="21">OtherIncome!$B$3:$K$20</definedName>
    <definedName name="oic_qty_invoice" localSheetId="21">OtherIncome!$G$17:$G$20</definedName>
    <definedName name="oic_receipt_code" localSheetId="21">OtherIncome!$J$8</definedName>
    <definedName name="oic_receipt_no" localSheetId="21">OtherIncome!$P$4</definedName>
    <definedName name="oic_recipient_id" localSheetId="21">OtherIncome!$Q$18</definedName>
    <definedName name="oic_recipient_option" localSheetId="21">OtherIncome!$P$18</definedName>
    <definedName name="oic_status" localSheetId="21">OtherIncome!$V$4</definedName>
    <definedName name="oic_status_note" localSheetId="21">OtherIncome!$U$4</definedName>
    <definedName name="oic_total_amount_paid" localSheetId="21">OtherIncome!$J$10</definedName>
    <definedName name="oic_total_balance" localSheetId="21">OtherIncome!$J$19</definedName>
    <definedName name="oic_total_balance_unpaid" localSheetId="21">OtherIncome!$P$25</definedName>
    <definedName name="oic_week" localSheetId="21">OtherIncome!$U$9</definedName>
    <definedName name="online_system_path">FilesSetting!$O$7</definedName>
    <definedName name="option_vendor" localSheetId="26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6">AddPurchaseBill!$C$13</definedName>
    <definedName name="pb_branch_id" localSheetId="16">AddPurchaseBill!$D$13</definedName>
    <definedName name="pb_chart_account_id" localSheetId="16">AddPurchaseBill!$D$20</definedName>
    <definedName name="pb_code" localSheetId="16">AddPurchaseBill!$E$9</definedName>
    <definedName name="pb_column_expired_date">AddPurchaseBill!$R$8:$R$87</definedName>
    <definedName name="pb_column_new_unit_cost">AddPurchaseBill!$T$8:$T$87</definedName>
    <definedName name="pb_column_product" localSheetId="16">AddPurchaseBill!$M$8:$M$87</definedName>
    <definedName name="pb_column_remark">AddPurchaseBill!$Z$8:$Z$87</definedName>
    <definedName name="pb_column_uom" localSheetId="16">AddPurchaseBill!$P$8:$P$87</definedName>
    <definedName name="pb_copy_print_letter_head" localSheetId="16">AddPurchaseBill!$AT$112:$BJ$217</definedName>
    <definedName name="pb_copy_print_no_letter_head" localSheetId="16">AddPurchaseBill!$BL$112:$CB$217</definedName>
    <definedName name="pb_currency_id" localSheetId="16">AddPurchaseBill!$C$18</definedName>
    <definedName name="pb_currency_symbol" localSheetId="16">AddPurchaseBill!$D$17</definedName>
    <definedName name="pb_date" localSheetId="16">AddPurchaseBill!$C$9</definedName>
    <definedName name="pb_deposit" localSheetId="16">AddPurchaseBill!$Y$91</definedName>
    <definedName name="pb_discount" localSheetId="16">AddPurchaseBill!$Y$89</definedName>
    <definedName name="pb_discount_amount" localSheetId="16">AddPurchaseBill!$O$89</definedName>
    <definedName name="pb_discount_by_item" localSheetId="16">AddPurchaseBill!$W$8:$W$87</definedName>
    <definedName name="pb_discount_id" localSheetId="16">AddPurchaseBill!$N$89</definedName>
    <definedName name="pb_discount_option" localSheetId="16">AddPurchaseBill!$M$89</definedName>
    <definedName name="pb_discount_percent" localSheetId="16">AddPurchaseBill!$P$89</definedName>
    <definedName name="pb_exchange_rate" localSheetId="16">AddPurchaseBill!$S$4</definedName>
    <definedName name="pb_location" localSheetId="16">AddPurchaseBill!$E$13</definedName>
    <definedName name="pb_location_group_id">AddPurchaseBill!$F$11</definedName>
    <definedName name="pb_location_id" localSheetId="16">AddPurchaseBill!$F$13</definedName>
    <definedName name="pb_lots_number">AddPurchaseBill!$Q$8:$Q$87</definedName>
    <definedName name="pb_net_days">AddPurchaseBill!$F$21</definedName>
    <definedName name="pb_no" localSheetId="16">AddPurchaseBill!$F$9</definedName>
    <definedName name="pb_no_letter_head_qrcode" localSheetId="16">AddPurchaseBill!$CA$117</definedName>
    <definedName name="pb_note" localSheetId="16">AddPurchaseBill!$C$22</definedName>
    <definedName name="pb_payment_term_id" localSheetId="16">AddPurchaseBill!$F$20</definedName>
    <definedName name="pb_print_letter_head" localSheetId="16">AddPurchaseBill!$AU$112:$BI$215</definedName>
    <definedName name="pb_print_no_letter_head" localSheetId="16">AddPurchaseBill!$BM$112:$CA$215</definedName>
    <definedName name="pb_purchase_request_no">AddPurchaseBill!$C$15</definedName>
    <definedName name="pb_qty" localSheetId="16">AddPurchaseBill!$N$8:$N$87</definedName>
    <definedName name="pb_qty_free" localSheetId="16">AddPurchaseBill!$O$8:$O$87</definedName>
    <definedName name="pb_ref_invoice">AddPurchaseBill!$E$15</definedName>
    <definedName name="pb_ref_invoice_date">AddPurchaseBill!$E$17</definedName>
    <definedName name="pb_status" localSheetId="16">AddPurchaseBill!$D$6</definedName>
    <definedName name="pb_sub_total_amount" localSheetId="16">AddPurchaseBill!$Y$88</definedName>
    <definedName name="pb_total_amount" localSheetId="16">AddPurchaseBill!$Y$92</definedName>
    <definedName name="pb_total_dis_item_free" localSheetId="16">AddPurchaseBill!$AC$88</definedName>
    <definedName name="pb_total_price_bf_discount" localSheetId="16">AddPurchaseBill!$AE$88</definedName>
    <definedName name="pb_total_vat" localSheetId="16">AddPurchaseBill!$Y$90</definedName>
    <definedName name="pb_vat" localSheetId="16">AddPurchaseBill!$U$90</definedName>
    <definedName name="pb_vat_cal_id" localSheetId="16">AddPurchaseBill!$S$90</definedName>
    <definedName name="pb_vat_chart_acc_id" localSheetId="16">AddPurchaseBill!$U$91</definedName>
    <definedName name="pb_vat_percent" localSheetId="16">AddPurchaseBill!$V$90</definedName>
    <definedName name="pb_vendor" localSheetId="16">AddPurchaseBill!$C$11</definedName>
    <definedName name="pb_vendor_id" localSheetId="16">AddPurchaseBill!$D$11</definedName>
    <definedName name="pb_week" localSheetId="16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2">PrintInvAdjustment!$P$5</definedName>
    <definedName name="print_adj_branch_email" localSheetId="12">PrintInvAdjustment!$P$7</definedName>
    <definedName name="print_adj_branch_telephone" localSheetId="12">PrintInvAdjustment!$P$6</definedName>
    <definedName name="print_adj_code" localSheetId="12">PrintInvAdjustment!$L$12</definedName>
    <definedName name="print_adj_company_name_en" localSheetId="12">PrintInvAdjustment!$C$5</definedName>
    <definedName name="print_adj_company_name_kh" localSheetId="12">PrintInvAdjustment!$C$4</definedName>
    <definedName name="print_adj_company_tin" localSheetId="12">PrintInvAdjustment!$P$4</definedName>
    <definedName name="print_adj_date" localSheetId="12">PrintInvAdjustment!$L$13</definedName>
    <definedName name="print_adj_exchange_rate">PrintInvAdjustment!$G$144</definedName>
    <definedName name="print_adj_items" localSheetId="12">PrintInvAdjustment!$C$27:$L$143</definedName>
    <definedName name="print_adj_note" localSheetId="12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39">'( 3)'!$B$2:$I$48</definedName>
    <definedName name="_xlnm.Print_Area" localSheetId="38">'(1 )'!$B$2:$I$45</definedName>
    <definedName name="_xlnm.Print_Area" localSheetId="16">AddPurchaseBill!$AU$113:$BI$215</definedName>
    <definedName name="_xlnm.Print_Area" localSheetId="17">AddQuotation!#REF!</definedName>
    <definedName name="_xlnm.Print_Area" localSheetId="19">AddReceivePayment!$B$3:$K$20</definedName>
    <definedName name="_xlnm.Print_Area" localSheetId="36">Branch!$F$1:$Y$7</definedName>
    <definedName name="_xlnm.Print_Area" localSheetId="44">Brand!$C$4:$F$35</definedName>
    <definedName name="_xlnm.Print_Area" localSheetId="29">CountStock!$B$2:$H$35</definedName>
    <definedName name="_xlnm.Print_Area" localSheetId="24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50">'ImportProductPrice (2)'!$C$18:$AY$219</definedName>
    <definedName name="_xlnm.Print_Area" localSheetId="20">OtherExpense!$B$2:$J$31</definedName>
    <definedName name="_xlnm.Print_Area" localSheetId="12">PrintInvAdjustment!$C$2:$L$156</definedName>
    <definedName name="_xlnm.Print_Area" localSheetId="14">PrintInvoice!$C$3:$K$156</definedName>
    <definedName name="_xlnm.Print_Area" localSheetId="13">PrintInvoiceA5!$C$2:$M$227</definedName>
    <definedName name="_xlnm.Print_Area" localSheetId="15">PrintPurchaseBill!$C$2:$K$156</definedName>
    <definedName name="_xlnm.Print_Area" localSheetId="45">ProductGroup!$C$1:$G$35</definedName>
    <definedName name="_xlnm.Print_Area" localSheetId="46">ProductList!$C$1:$Q$61</definedName>
    <definedName name="_xlnm.Print_Area" localSheetId="43">ProductPrice!$C$24:$N$258</definedName>
    <definedName name="_xlnm.Print_Area" localSheetId="28">ReportFinancialDetail!$B$1:$I$45</definedName>
    <definedName name="_xlnm.Print_Area" localSheetId="10">ReportInventoryActivitySummary!$B$1:$I$325</definedName>
    <definedName name="_xlnm.Print_Area" localSheetId="27">Seller!$C$1:$K$22</definedName>
    <definedName name="_xlnm.Print_Area" localSheetId="34">UoM!$C$1:$H$60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PrintInvoice!$O$8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5">PrintPurchaseBill!$D$151</definedName>
    <definedName name="print_pb_account_no" localSheetId="15">PrintPurchaseBill!$D$152</definedName>
    <definedName name="print_pb_bank_name" localSheetId="15">PrintPurchaseBill!$D$150</definedName>
    <definedName name="print_pb_branch_address_kh" localSheetId="15">PrintPurchaseBill!$O$5</definedName>
    <definedName name="print_pb_branch_address_kh">PrintPurchaseBill!$O$5</definedName>
    <definedName name="print_pb_branch_email" localSheetId="15">PrintPurchaseBill!$O$7</definedName>
    <definedName name="print_pb_branch_email">PrintPurchaseBill!$O$7</definedName>
    <definedName name="print_pb_branch_telephone" localSheetId="15">PrintPurchaseBill!$O$6</definedName>
    <definedName name="print_pb_branch_telephone">PrintPurchaseBill!$O$6</definedName>
    <definedName name="print_pb_brand_address_kh" localSheetId="15">PrintPurchaseBill!$O$5</definedName>
    <definedName name="print_pb_code" localSheetId="15">PrintPurchaseBill!$K$12</definedName>
    <definedName name="print_pb_company_name_en" localSheetId="15">PrintPurchaseBill!$C$5</definedName>
    <definedName name="print_pb_company_name_kh" localSheetId="15">PrintPurchaseBill!$C$4</definedName>
    <definedName name="print_pb_company_tin" localSheetId="15">PrintPurchaseBill!$O$4</definedName>
    <definedName name="print_pb_company_tin">PrintPurchaseBill!$O$4</definedName>
    <definedName name="print_pb_customer_tin_number" localSheetId="15">PrintPurchaseBill!$O$8</definedName>
    <definedName name="print_pb_date" localSheetId="15">PrintPurchaseBill!$K$13</definedName>
    <definedName name="print_pb_due_date" localSheetId="15">PrintPurchaseBill!$K$14</definedName>
    <definedName name="print_pb_exchange_rate" localSheetId="15">PrintPurchaseBill!$F$144</definedName>
    <definedName name="print_pb_grand_total" localSheetId="15">PrintPurchaseBill!$J$146</definedName>
    <definedName name="print_pb_grand_total_kh" localSheetId="15">PrintPurchaseBill!$K$146</definedName>
    <definedName name="print_pb_items" localSheetId="15">PrintPurchaseBill!$C$27:$K$143</definedName>
    <definedName name="print_pb_note" localSheetId="15">PrintPurchaseBill!$C$13</definedName>
    <definedName name="print_pb_payment_net_days" localSheetId="15">PrintPurchaseBill!$R$5</definedName>
    <definedName name="print_pb_payment_net_days">PrintPurchaseBill!$R$5</definedName>
    <definedName name="print_pb_payment_term_id" localSheetId="15">PrintPurchaseBill!$R$4</definedName>
    <definedName name="print_pb_payment_term_id">PrintPurchaseBill!$R$4</definedName>
    <definedName name="print_pb_sub_total" localSheetId="15">PrintPurchaseBill!$J$144</definedName>
    <definedName name="print_pb_sub_total_kh" localSheetId="15">PrintPurchaseBill!$K$144</definedName>
    <definedName name="print_pb_toal_deposit" localSheetId="15">PrintPurchaseBill!$O$144</definedName>
    <definedName name="print_pb_toal_discount" localSheetId="15">PrintPurchaseBill!$J$145</definedName>
    <definedName name="print_pb_toal_discount_kh" localSheetId="15">PrintPurchaseBill!$K$145</definedName>
    <definedName name="print_pb_toal_vat" localSheetId="15">PrintPurchaseBill!$O$145</definedName>
    <definedName name="print_pb_vendor_address_kh" localSheetId="15">PrintPurchaseBill!$F$19</definedName>
    <definedName name="print_pb_vendor_email" localSheetId="15">PrintPurchaseBill!$F$21</definedName>
    <definedName name="print_pb_vendor_name_en" localSheetId="15">PrintPurchaseBill!$F$18</definedName>
    <definedName name="print_pb_vendor_name_kh" localSheetId="15">PrintPurchaseBill!$F$17</definedName>
    <definedName name="print_pb_vendor_tel" localSheetId="15">PrintPurchaseBill!$F$20</definedName>
    <definedName name="print_pb_vendor_tin_number">PrintPurchaseBill!$O$8</definedName>
    <definedName name="_xlnm.Print_Titles" localSheetId="18">AddInvoice!$123:$124</definedName>
    <definedName name="_xlnm.Print_Titles" localSheetId="16">AddPurchaseBill!$123:$124</definedName>
    <definedName name="_xlnm.Print_Titles" localSheetId="17">AddQuotation!$123:$124</definedName>
    <definedName name="_xlnm.Print_Titles" localSheetId="12">PrintInvAdjustment!$2:$26</definedName>
    <definedName name="_xlnm.Print_Titles" localSheetId="14">PrintInvoice!$3:$26</definedName>
    <definedName name="_xlnm.Print_Titles" localSheetId="13">PrintInvoiceA5!$2:$20</definedName>
    <definedName name="_xlnm.Print_Titles" localSheetId="15">PrintPurchaseBill!$2:$26</definedName>
    <definedName name="_xlnm.Print_Titles" localSheetId="43">ProductPrice!$26:$27</definedName>
    <definedName name="product_barcode_list" localSheetId="49">ImportProductPrice!$G$20:$Z$218</definedName>
    <definedName name="product_barcode_list" localSheetId="50">'ImportProductPrice (2)'!$G$20:$Z$218</definedName>
    <definedName name="product_barcode_list">ProductList!$G$8:$AB$206</definedName>
    <definedName name="product_brand_list">Brand!$C$8:$I$50</definedName>
    <definedName name="product_brand_option">Brand!$J$8:$J$50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 localSheetId="50">'ImportProductPrice (2)'!$C$20:$AU$512</definedName>
    <definedName name="product_list">ProductList!$C$8:$AD$500</definedName>
    <definedName name="product_list_second" localSheetId="49">ImportProductPrice!$G$20:$X$512</definedName>
    <definedName name="product_list_second" localSheetId="50">'ImportProductPrice (2)'!$G$20:$X$512</definedName>
    <definedName name="product_list_second">ProductList!$G$8:$Z$500</definedName>
    <definedName name="product_name_option" localSheetId="49">ImportProductPrice!$Y$20:$Y$512</definedName>
    <definedName name="product_name_option" localSheetId="50">'ImportProductPrice (2)'!$Y$20:$Y$512</definedName>
    <definedName name="product_name_option">ProductList!$AA$8:$AA$500</definedName>
    <definedName name="product_name_th" localSheetId="49">ImportProductPrice!$H$19</definedName>
    <definedName name="product_name_th" localSheetId="50">'ImportProductPrice (2)'!$H$19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uom">ProductPrice!$J$4</definedName>
    <definedName name="product_price_uom_id">ProductPrice!$K$4</definedName>
    <definedName name="qr_code_adj" localSheetId="12">PrintInvAdjustment!$H$10</definedName>
    <definedName name="qr_code_invoice">PrintInvoice!$G$10</definedName>
    <definedName name="qr_code_pb" localSheetId="15">PrintPurchaseBill!$G$10</definedName>
    <definedName name="qty_invoice" localSheetId="19">AddReceivePayment!$G$17:$G$20</definedName>
    <definedName name="qty_invoice" localSheetId="29">CountStock!$E$7:$E$16</definedName>
    <definedName name="qty_invoice" localSheetId="20">OtherExpense!$F$17:$F$20</definedName>
    <definedName name="quote_total_dis_item_free" localSheetId="18">AddInvoice!$AC$88</definedName>
    <definedName name="quote_total_dis_item_free" localSheetId="17">AddQuotation!$AC$88</definedName>
    <definedName name="Reference_Area" localSheetId="39">'( 3)'!$B$15</definedName>
    <definedName name="rp_amount_due">AddReceivePayment!$J$16</definedName>
    <definedName name="rp_amount_paid_befor">AddReceivePayment!$P$23</definedName>
    <definedName name="rp_amount_paid_over">AddReceivePayment!$U$22</definedName>
    <definedName name="rp_customer_name">AddReceivePayment!$P$10</definedName>
    <definedName name="rp_expense_type">AddReceivePayment!$P$17</definedName>
    <definedName name="rp_income_id">AddReceivePayment!$V$5</definedName>
    <definedName name="rp_invoice_date">AddReceivePayment!$U$6</definedName>
    <definedName name="rp_invoice_sheet_no">AddReceivePayment!$Q$7</definedName>
    <definedName name="rp_last_discount">AddReceivePayment!$P$15</definedName>
    <definedName name="rp_option_income_from" localSheetId="20">OtherExpense!$V$4</definedName>
    <definedName name="rp_option_income_from">AddReceivePayment!$U$5</definedName>
    <definedName name="rp_option_income_type" localSheetId="20">OtherExpense!$Q$4</definedName>
    <definedName name="rp_option_income_type">AddReceivePayment!$P$5</definedName>
    <definedName name="rp_receipt_code">AddReceivePayment!$J$8</definedName>
    <definedName name="rp_recipient_id">AddReceivePayment!$Q$18</definedName>
    <definedName name="rp_recipient_option">AddReceivePayment!$P$18</definedName>
    <definedName name="rp_status_note">AddReceivePayment!$U$4</definedName>
    <definedName name="rp_total_amount_paid">AddReceivePayment!$J$10</definedName>
    <definedName name="rp_total_balance">AddReceivePayment!$J$19</definedName>
    <definedName name="rp_total_balance_unpaid">AddReceivePayment!$P$25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UoM!$C$8:$J$214</definedName>
    <definedName name="uom_option">UoM!$J$8:$J$77</definedName>
    <definedName name="uom_type_option">Setting!$K$55:$K$60</definedName>
    <definedName name="vat_list">Setting!$G$24:$J$38</definedName>
    <definedName name="vat_option">Setting!$J$24:$J$38</definedName>
    <definedName name="VATRATE" localSheetId="39">'( 3)'!$F$49</definedName>
    <definedName name="VATRATE" localSheetId="38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836" l="1"/>
  <c r="E9" i="805"/>
  <c r="E9" i="825"/>
  <c r="E9" i="824"/>
  <c r="M47" i="836"/>
  <c r="M48" i="836"/>
  <c r="M49" i="836"/>
  <c r="M50" i="836"/>
  <c r="AH18" i="825"/>
  <c r="AH19" i="825"/>
  <c r="AH20" i="825"/>
  <c r="AH21" i="825"/>
  <c r="AH22" i="825"/>
  <c r="AH23" i="825"/>
  <c r="AH24" i="825"/>
  <c r="AH25" i="825"/>
  <c r="AH26" i="825"/>
  <c r="AH27" i="825"/>
  <c r="AH28" i="825"/>
  <c r="AH29" i="825"/>
  <c r="AH30" i="825"/>
  <c r="AH31" i="825"/>
  <c r="AH32" i="825"/>
  <c r="AH33" i="825"/>
  <c r="AH34" i="825"/>
  <c r="AH35" i="825"/>
  <c r="AH36" i="825"/>
  <c r="AH37" i="825"/>
  <c r="AH38" i="825"/>
  <c r="AH39" i="825"/>
  <c r="AH40" i="825"/>
  <c r="AH41" i="825"/>
  <c r="AH42" i="825"/>
  <c r="AH43" i="825"/>
  <c r="AH44" i="825"/>
  <c r="AH45" i="825"/>
  <c r="AH46" i="825"/>
  <c r="AH47" i="825"/>
  <c r="AH48" i="825"/>
  <c r="AH49" i="825"/>
  <c r="AH50" i="825"/>
  <c r="AH51" i="825"/>
  <c r="AH52" i="825"/>
  <c r="AH53" i="825"/>
  <c r="AH54" i="825"/>
  <c r="AH55" i="825"/>
  <c r="AH56" i="825"/>
  <c r="AH57" i="825"/>
  <c r="AH58" i="825"/>
  <c r="AH59" i="825"/>
  <c r="AH60" i="825"/>
  <c r="AH61" i="825"/>
  <c r="AH62" i="825"/>
  <c r="AH63" i="825"/>
  <c r="AH64" i="825"/>
  <c r="AH65" i="825"/>
  <c r="AH66" i="825"/>
  <c r="AH67" i="825"/>
  <c r="AH68" i="825"/>
  <c r="AH69" i="825"/>
  <c r="AH70" i="825"/>
  <c r="AH71" i="825"/>
  <c r="AH72" i="825"/>
  <c r="AH73" i="825"/>
  <c r="AH74" i="825"/>
  <c r="AH75" i="825"/>
  <c r="AH76" i="825"/>
  <c r="AH77" i="825"/>
  <c r="AH78" i="825"/>
  <c r="AH79" i="825"/>
  <c r="AH80" i="825"/>
  <c r="AH81" i="825"/>
  <c r="AH82" i="825"/>
  <c r="AH83" i="825"/>
  <c r="AH84" i="825"/>
  <c r="AH85" i="825"/>
  <c r="AH86" i="825"/>
  <c r="AH87" i="825"/>
  <c r="AT18" i="825"/>
  <c r="AT19" i="825"/>
  <c r="AT20" i="825"/>
  <c r="AT21" i="825"/>
  <c r="AT22" i="825"/>
  <c r="AT23" i="825"/>
  <c r="AT24" i="825"/>
  <c r="AT25" i="825"/>
  <c r="AT26" i="825"/>
  <c r="AT27" i="825"/>
  <c r="AT28" i="825"/>
  <c r="AT29" i="825"/>
  <c r="AT30" i="825"/>
  <c r="AT31" i="825"/>
  <c r="AT32" i="825"/>
  <c r="AT33" i="825"/>
  <c r="AT34" i="825"/>
  <c r="AT35" i="825"/>
  <c r="AT36" i="825"/>
  <c r="AT37" i="825"/>
  <c r="AT38" i="825"/>
  <c r="AT39" i="825"/>
  <c r="AT40" i="825"/>
  <c r="AT41" i="825"/>
  <c r="AT42" i="825"/>
  <c r="AT43" i="825"/>
  <c r="AT44" i="825"/>
  <c r="AT45" i="825"/>
  <c r="AT46" i="825"/>
  <c r="AT47" i="825"/>
  <c r="AT48" i="825"/>
  <c r="AT49" i="825"/>
  <c r="AT50" i="825"/>
  <c r="AT51" i="825"/>
  <c r="AT52" i="825"/>
  <c r="AT53" i="825"/>
  <c r="AT54" i="825"/>
  <c r="AT55" i="825"/>
  <c r="AT56" i="825"/>
  <c r="AT57" i="825"/>
  <c r="AT58" i="825"/>
  <c r="AT59" i="825"/>
  <c r="AT60" i="825"/>
  <c r="AT61" i="825"/>
  <c r="AT62" i="825"/>
  <c r="AT63" i="825"/>
  <c r="AT64" i="825"/>
  <c r="AT65" i="825"/>
  <c r="AT66" i="825"/>
  <c r="AT67" i="825"/>
  <c r="AT68" i="825"/>
  <c r="AT69" i="825"/>
  <c r="AT70" i="825"/>
  <c r="AT71" i="825"/>
  <c r="AT72" i="825"/>
  <c r="AT73" i="825"/>
  <c r="AT74" i="825"/>
  <c r="AT75" i="825"/>
  <c r="AT76" i="825"/>
  <c r="AT77" i="825"/>
  <c r="AT78" i="825"/>
  <c r="AT79" i="825"/>
  <c r="AT80" i="825"/>
  <c r="AT81" i="825"/>
  <c r="AT82" i="825"/>
  <c r="AT83" i="825"/>
  <c r="AT84" i="825"/>
  <c r="AT85" i="825"/>
  <c r="AT86" i="825"/>
  <c r="AT87" i="825"/>
  <c r="O2" i="805"/>
  <c r="S2" i="825"/>
  <c r="F13" i="824"/>
  <c r="F9" i="824"/>
  <c r="F8" i="824"/>
  <c r="J8" i="825"/>
  <c r="AC9" i="825"/>
  <c r="AC10" i="825"/>
  <c r="AC11" i="825"/>
  <c r="AC12" i="825"/>
  <c r="AC13" i="825"/>
  <c r="AC14" i="825"/>
  <c r="AC15" i="825"/>
  <c r="AC16" i="825"/>
  <c r="AC17" i="825"/>
  <c r="AA18" i="825" a="1"/>
  <c r="AC18" i="825"/>
  <c r="AD18" i="825"/>
  <c r="AE18" i="825"/>
  <c r="AG18" i="825"/>
  <c r="AI18" i="825"/>
  <c r="AJ18" i="825"/>
  <c r="AK18" i="825"/>
  <c r="AL18" i="825"/>
  <c r="AP18" i="825"/>
  <c r="AR18" i="825" a="1"/>
  <c r="AO18" i="825" s="1"/>
  <c r="AS18" i="825"/>
  <c r="AA19" i="825" a="1"/>
  <c r="AC19" i="825"/>
  <c r="AD19" i="825"/>
  <c r="AE19" i="825"/>
  <c r="AG19" i="825"/>
  <c r="AI19" i="825"/>
  <c r="AJ19" i="825"/>
  <c r="AK19" i="825"/>
  <c r="AL19" i="825"/>
  <c r="AP19" i="825"/>
  <c r="AR19" i="825" a="1"/>
  <c r="AO19" i="825" s="1"/>
  <c r="AN19" i="825" s="1"/>
  <c r="AS19" i="825"/>
  <c r="AA20" i="825" a="1"/>
  <c r="AB20" i="825"/>
  <c r="AC20" i="825"/>
  <c r="AD20" i="825"/>
  <c r="AE20" i="825"/>
  <c r="AG20" i="825"/>
  <c r="AI20" i="825"/>
  <c r="AJ20" i="825"/>
  <c r="AK20" i="825"/>
  <c r="AL20" i="825"/>
  <c r="AP20" i="825"/>
  <c r="AR20" i="825" a="1"/>
  <c r="AO20" i="825" s="1"/>
  <c r="AN20" i="825" s="1"/>
  <c r="AS20" i="825"/>
  <c r="AA21" i="825" a="1"/>
  <c r="AB21" i="825"/>
  <c r="AC21" i="825"/>
  <c r="AD21" i="825"/>
  <c r="AE21" i="825"/>
  <c r="AG21" i="825"/>
  <c r="AI21" i="825"/>
  <c r="AJ21" i="825"/>
  <c r="AK21" i="825"/>
  <c r="AL21" i="825"/>
  <c r="AM21" i="825" s="1"/>
  <c r="AP21" i="825"/>
  <c r="AQ21" i="825"/>
  <c r="AR21" i="825" a="1"/>
  <c r="AO21" i="825" s="1"/>
  <c r="AN21" i="825" s="1"/>
  <c r="AS21" i="825"/>
  <c r="AA22" i="825" a="1"/>
  <c r="AB22" i="825"/>
  <c r="AC22" i="825"/>
  <c r="AD22" i="825"/>
  <c r="AE22" i="825"/>
  <c r="AG22" i="825"/>
  <c r="AI22" i="825"/>
  <c r="AJ22" i="825"/>
  <c r="AK22" i="825"/>
  <c r="AL22" i="825"/>
  <c r="AP22" i="825"/>
  <c r="AR22" i="825" a="1"/>
  <c r="AO22" i="825" s="1"/>
  <c r="AN22" i="825" s="1"/>
  <c r="AS22" i="825"/>
  <c r="AA23" i="825" a="1"/>
  <c r="AB23" i="825"/>
  <c r="AC23" i="825"/>
  <c r="AD23" i="825"/>
  <c r="AE23" i="825"/>
  <c r="AG23" i="825"/>
  <c r="AI23" i="825"/>
  <c r="AJ23" i="825"/>
  <c r="AK23" i="825"/>
  <c r="AL23" i="825"/>
  <c r="AP23" i="825"/>
  <c r="AR23" i="825" a="1"/>
  <c r="AO23" i="825" s="1"/>
  <c r="AN23" i="825" s="1"/>
  <c r="AS23" i="825"/>
  <c r="AA24" i="825" a="1"/>
  <c r="AB24" i="825"/>
  <c r="AC24" i="825"/>
  <c r="AD24" i="825"/>
  <c r="AE24" i="825"/>
  <c r="AG24" i="825"/>
  <c r="AI24" i="825"/>
  <c r="AJ24" i="825"/>
  <c r="AK24" i="825"/>
  <c r="AL24" i="825"/>
  <c r="AP24" i="825"/>
  <c r="AR24" i="825" a="1"/>
  <c r="AO24" i="825" s="1"/>
  <c r="AN24" i="825" s="1"/>
  <c r="AS24" i="825"/>
  <c r="AA25" i="825" a="1"/>
  <c r="AB25" i="825"/>
  <c r="AC25" i="825"/>
  <c r="AD25" i="825"/>
  <c r="AE25" i="825"/>
  <c r="AG25" i="825"/>
  <c r="AI25" i="825"/>
  <c r="AJ25" i="825"/>
  <c r="AK25" i="825"/>
  <c r="AL25" i="825"/>
  <c r="AP25" i="825"/>
  <c r="AR25" i="825" a="1"/>
  <c r="AO25" i="825" s="1"/>
  <c r="AN25" i="825" s="1"/>
  <c r="AS25" i="825"/>
  <c r="AA26" i="825" a="1"/>
  <c r="AB26" i="825"/>
  <c r="AC26" i="825"/>
  <c r="AD26" i="825"/>
  <c r="AE26" i="825"/>
  <c r="AG26" i="825"/>
  <c r="AI26" i="825"/>
  <c r="AJ26" i="825"/>
  <c r="AK26" i="825"/>
  <c r="AL26" i="825"/>
  <c r="AP26" i="825"/>
  <c r="AR26" i="825" a="1"/>
  <c r="AO26" i="825" s="1"/>
  <c r="AN26" i="825" s="1"/>
  <c r="AS26" i="825"/>
  <c r="AA27" i="825" a="1"/>
  <c r="AB27" i="825"/>
  <c r="AC27" i="825"/>
  <c r="AD27" i="825"/>
  <c r="AE27" i="825"/>
  <c r="AG27" i="825"/>
  <c r="AI27" i="825"/>
  <c r="AJ27" i="825"/>
  <c r="AK27" i="825"/>
  <c r="AL27" i="825"/>
  <c r="AP27" i="825"/>
  <c r="AR27" i="825" a="1"/>
  <c r="AO27" i="825" s="1"/>
  <c r="AN27" i="825" s="1"/>
  <c r="AS27" i="825"/>
  <c r="AA28" i="825" a="1"/>
  <c r="AB28" i="825"/>
  <c r="AC28" i="825"/>
  <c r="AD28" i="825"/>
  <c r="AE28" i="825"/>
  <c r="AG28" i="825"/>
  <c r="AI28" i="825"/>
  <c r="AJ28" i="825"/>
  <c r="AK28" i="825"/>
  <c r="AL28" i="825"/>
  <c r="AP28" i="825"/>
  <c r="AR28" i="825" a="1"/>
  <c r="AO28" i="825" s="1"/>
  <c r="AN28" i="825" s="1"/>
  <c r="AS28" i="825"/>
  <c r="AA29" i="825" a="1"/>
  <c r="AC29" i="825"/>
  <c r="AD29" i="825"/>
  <c r="AE29" i="825"/>
  <c r="AG29" i="825"/>
  <c r="AI29" i="825"/>
  <c r="AJ29" i="825"/>
  <c r="AK29" i="825"/>
  <c r="AL29" i="825"/>
  <c r="AP29" i="825"/>
  <c r="AR29" i="825" a="1"/>
  <c r="AO29" i="825" s="1"/>
  <c r="AN29" i="825" s="1"/>
  <c r="AS29" i="825"/>
  <c r="AA30" i="825" a="1"/>
  <c r="AC30" i="825"/>
  <c r="AD30" i="825"/>
  <c r="AE30" i="825"/>
  <c r="AG30" i="825"/>
  <c r="AI30" i="825"/>
  <c r="AJ30" i="825"/>
  <c r="AK30" i="825"/>
  <c r="AL30" i="825"/>
  <c r="AP30" i="825"/>
  <c r="AR30" i="825" a="1"/>
  <c r="AO30" i="825" s="1"/>
  <c r="AN30" i="825" s="1"/>
  <c r="AS30" i="825"/>
  <c r="AA31" i="825" a="1"/>
  <c r="AC31" i="825"/>
  <c r="AD31" i="825"/>
  <c r="AE31" i="825"/>
  <c r="AG31" i="825"/>
  <c r="AI31" i="825"/>
  <c r="AJ31" i="825"/>
  <c r="AK31" i="825"/>
  <c r="AL31" i="825"/>
  <c r="AP31" i="825"/>
  <c r="AR31" i="825" a="1"/>
  <c r="AO31" i="825" s="1"/>
  <c r="AN31" i="825" s="1"/>
  <c r="AS31" i="825"/>
  <c r="AA32" i="825" a="1"/>
  <c r="AC32" i="825"/>
  <c r="AD32" i="825"/>
  <c r="AE32" i="825"/>
  <c r="AG32" i="825"/>
  <c r="AI32" i="825"/>
  <c r="AJ32" i="825"/>
  <c r="AK32" i="825"/>
  <c r="AL32" i="825"/>
  <c r="AP32" i="825"/>
  <c r="AR32" i="825" a="1"/>
  <c r="AO32" i="825" s="1"/>
  <c r="AN32" i="825" s="1"/>
  <c r="AS32" i="825"/>
  <c r="AA33" i="825" a="1"/>
  <c r="AC33" i="825"/>
  <c r="AD33" i="825"/>
  <c r="AE33" i="825"/>
  <c r="AG33" i="825"/>
  <c r="AI33" i="825"/>
  <c r="AJ33" i="825"/>
  <c r="AK33" i="825"/>
  <c r="AL33" i="825"/>
  <c r="AP33" i="825"/>
  <c r="AR33" i="825" a="1"/>
  <c r="AO33" i="825" s="1"/>
  <c r="AN33" i="825" s="1"/>
  <c r="AS33" i="825"/>
  <c r="AA34" i="825" a="1"/>
  <c r="AC34" i="825"/>
  <c r="AD34" i="825"/>
  <c r="AE34" i="825"/>
  <c r="AG34" i="825"/>
  <c r="AI34" i="825"/>
  <c r="AJ34" i="825"/>
  <c r="AK34" i="825"/>
  <c r="AL34" i="825"/>
  <c r="AP34" i="825"/>
  <c r="AR34" i="825" a="1"/>
  <c r="AO34" i="825" s="1"/>
  <c r="AN34" i="825" s="1"/>
  <c r="AS34" i="825"/>
  <c r="AA35" i="825" a="1"/>
  <c r="AC35" i="825"/>
  <c r="AD35" i="825"/>
  <c r="AE35" i="825"/>
  <c r="AG35" i="825"/>
  <c r="AI35" i="825"/>
  <c r="AJ35" i="825"/>
  <c r="AK35" i="825"/>
  <c r="AL35" i="825"/>
  <c r="AP35" i="825"/>
  <c r="AR35" i="825" a="1"/>
  <c r="AO35" i="825" s="1"/>
  <c r="AN35" i="825" s="1"/>
  <c r="AS35" i="825"/>
  <c r="AA36" i="825" a="1"/>
  <c r="AC36" i="825"/>
  <c r="AD36" i="825"/>
  <c r="AE36" i="825"/>
  <c r="AG36" i="825"/>
  <c r="AI36" i="825"/>
  <c r="AJ36" i="825"/>
  <c r="AK36" i="825"/>
  <c r="AL36" i="825"/>
  <c r="AP36" i="825"/>
  <c r="AR36" i="825" a="1"/>
  <c r="AO36" i="825" s="1"/>
  <c r="AN36" i="825" s="1"/>
  <c r="AS36" i="825"/>
  <c r="AA37" i="825" a="1"/>
  <c r="AC37" i="825"/>
  <c r="AD37" i="825"/>
  <c r="AE37" i="825"/>
  <c r="AG37" i="825"/>
  <c r="AI37" i="825"/>
  <c r="AJ37" i="825"/>
  <c r="AK37" i="825"/>
  <c r="AL37" i="825"/>
  <c r="AP37" i="825"/>
  <c r="AR37" i="825" a="1"/>
  <c r="AO37" i="825" s="1"/>
  <c r="AN37" i="825" s="1"/>
  <c r="AS37" i="825"/>
  <c r="AA38" i="825" a="1"/>
  <c r="AC38" i="825"/>
  <c r="AD38" i="825"/>
  <c r="AE38" i="825"/>
  <c r="AG38" i="825"/>
  <c r="AI38" i="825"/>
  <c r="AJ38" i="825"/>
  <c r="AK38" i="825"/>
  <c r="AL38" i="825"/>
  <c r="AP38" i="825"/>
  <c r="AR38" i="825" a="1"/>
  <c r="AO38" i="825" s="1"/>
  <c r="AN38" i="825" s="1"/>
  <c r="AS38" i="825"/>
  <c r="AA39" i="825" a="1"/>
  <c r="AC39" i="825"/>
  <c r="AD39" i="825"/>
  <c r="AE39" i="825"/>
  <c r="AG39" i="825"/>
  <c r="AI39" i="825"/>
  <c r="AJ39" i="825"/>
  <c r="AK39" i="825"/>
  <c r="AL39" i="825"/>
  <c r="AP39" i="825"/>
  <c r="AR39" i="825" a="1"/>
  <c r="AO39" i="825" s="1"/>
  <c r="AN39" i="825" s="1"/>
  <c r="AS39" i="825"/>
  <c r="AA40" i="825" a="1"/>
  <c r="AC40" i="825"/>
  <c r="AD40" i="825"/>
  <c r="AE40" i="825"/>
  <c r="AG40" i="825"/>
  <c r="AI40" i="825"/>
  <c r="AJ40" i="825"/>
  <c r="AK40" i="825"/>
  <c r="AL40" i="825"/>
  <c r="AP40" i="825"/>
  <c r="AR40" i="825" a="1"/>
  <c r="AO40" i="825" s="1"/>
  <c r="AN40" i="825" s="1"/>
  <c r="AS40" i="825"/>
  <c r="AA41" i="825" a="1"/>
  <c r="AC41" i="825"/>
  <c r="AD41" i="825"/>
  <c r="AE41" i="825"/>
  <c r="AG41" i="825"/>
  <c r="AI41" i="825"/>
  <c r="AJ41" i="825"/>
  <c r="AK41" i="825"/>
  <c r="AL41" i="825"/>
  <c r="AP41" i="825"/>
  <c r="AR41" i="825" a="1"/>
  <c r="AO41" i="825" s="1"/>
  <c r="AN41" i="825" s="1"/>
  <c r="AS41" i="825"/>
  <c r="AA42" i="825" a="1"/>
  <c r="AC42" i="825"/>
  <c r="AD42" i="825"/>
  <c r="AE42" i="825"/>
  <c r="AG42" i="825"/>
  <c r="AI42" i="825"/>
  <c r="AJ42" i="825"/>
  <c r="AK42" i="825"/>
  <c r="AL42" i="825"/>
  <c r="AP42" i="825"/>
  <c r="AR42" i="825" a="1"/>
  <c r="AO42" i="825" s="1"/>
  <c r="AN42" i="825" s="1"/>
  <c r="AS42" i="825"/>
  <c r="AA43" i="825" a="1"/>
  <c r="AC43" i="825"/>
  <c r="AD43" i="825"/>
  <c r="AE43" i="825"/>
  <c r="AG43" i="825"/>
  <c r="AI43" i="825"/>
  <c r="AJ43" i="825"/>
  <c r="AK43" i="825"/>
  <c r="AL43" i="825"/>
  <c r="AP43" i="825"/>
  <c r="AR43" i="825" a="1"/>
  <c r="AO43" i="825" s="1"/>
  <c r="AN43" i="825" s="1"/>
  <c r="AS43" i="825"/>
  <c r="AA44" i="825" a="1"/>
  <c r="AC44" i="825"/>
  <c r="AD44" i="825"/>
  <c r="AE44" i="825"/>
  <c r="AG44" i="825"/>
  <c r="AI44" i="825"/>
  <c r="AJ44" i="825"/>
  <c r="AK44" i="825"/>
  <c r="AL44" i="825"/>
  <c r="AP44" i="825"/>
  <c r="AR44" i="825" a="1"/>
  <c r="AO44" i="825" s="1"/>
  <c r="AS44" i="825"/>
  <c r="AA45" i="825" a="1"/>
  <c r="AC45" i="825"/>
  <c r="AD45" i="825"/>
  <c r="AE45" i="825"/>
  <c r="AG45" i="825"/>
  <c r="AI45" i="825"/>
  <c r="AJ45" i="825"/>
  <c r="AK45" i="825"/>
  <c r="AL45" i="825"/>
  <c r="AP45" i="825"/>
  <c r="AR45" i="825" a="1"/>
  <c r="AO45" i="825" s="1"/>
  <c r="AN45" i="825" s="1"/>
  <c r="AS45" i="825"/>
  <c r="AA46" i="825" a="1"/>
  <c r="AC46" i="825"/>
  <c r="AD46" i="825"/>
  <c r="AE46" i="825"/>
  <c r="AG46" i="825"/>
  <c r="AI46" i="825"/>
  <c r="AJ46" i="825"/>
  <c r="AK46" i="825"/>
  <c r="AL46" i="825"/>
  <c r="AP46" i="825"/>
  <c r="AR46" i="825" a="1"/>
  <c r="AO46" i="825" s="1"/>
  <c r="AN46" i="825" s="1"/>
  <c r="AS46" i="825"/>
  <c r="AA47" i="825" a="1"/>
  <c r="AC47" i="825"/>
  <c r="AD47" i="825"/>
  <c r="AE47" i="825"/>
  <c r="AG47" i="825"/>
  <c r="AI47" i="825"/>
  <c r="AJ47" i="825"/>
  <c r="AK47" i="825"/>
  <c r="AL47" i="825"/>
  <c r="AP47" i="825"/>
  <c r="AR47" i="825" a="1"/>
  <c r="AO47" i="825" s="1"/>
  <c r="AN47" i="825" s="1"/>
  <c r="AS47" i="825"/>
  <c r="AA48" i="825" a="1"/>
  <c r="AC48" i="825"/>
  <c r="AD48" i="825"/>
  <c r="AE48" i="825"/>
  <c r="AG48" i="825"/>
  <c r="AI48" i="825"/>
  <c r="AJ48" i="825"/>
  <c r="AK48" i="825"/>
  <c r="AL48" i="825"/>
  <c r="AP48" i="825"/>
  <c r="AR48" i="825" a="1"/>
  <c r="AO48" i="825" s="1"/>
  <c r="AN48" i="825" s="1"/>
  <c r="AS48" i="825"/>
  <c r="AA49" i="825" a="1"/>
  <c r="AC49" i="825"/>
  <c r="AD49" i="825"/>
  <c r="AE49" i="825"/>
  <c r="AG49" i="825"/>
  <c r="AI49" i="825"/>
  <c r="AJ49" i="825"/>
  <c r="AK49" i="825"/>
  <c r="AL49" i="825"/>
  <c r="AP49" i="825"/>
  <c r="AR49" i="825" a="1"/>
  <c r="AO49" i="825" s="1"/>
  <c r="AN49" i="825" s="1"/>
  <c r="AS49" i="825"/>
  <c r="AA50" i="825" a="1"/>
  <c r="AC50" i="825"/>
  <c r="AD50" i="825"/>
  <c r="AE50" i="825"/>
  <c r="AG50" i="825"/>
  <c r="AI50" i="825"/>
  <c r="AJ50" i="825"/>
  <c r="AK50" i="825"/>
  <c r="AL50" i="825"/>
  <c r="AP50" i="825"/>
  <c r="AR50" i="825" a="1"/>
  <c r="AO50" i="825" s="1"/>
  <c r="AN50" i="825" s="1"/>
  <c r="AS50" i="825"/>
  <c r="AA51" i="825" a="1"/>
  <c r="AC51" i="825"/>
  <c r="AD51" i="825"/>
  <c r="AE51" i="825"/>
  <c r="AG51" i="825"/>
  <c r="AI51" i="825"/>
  <c r="AJ51" i="825"/>
  <c r="AK51" i="825"/>
  <c r="AL51" i="825"/>
  <c r="AP51" i="825"/>
  <c r="AR51" i="825" a="1"/>
  <c r="AO51" i="825" s="1"/>
  <c r="AN51" i="825" s="1"/>
  <c r="AS51" i="825"/>
  <c r="AA52" i="825" a="1"/>
  <c r="AC52" i="825"/>
  <c r="AD52" i="825"/>
  <c r="AE52" i="825"/>
  <c r="AG52" i="825"/>
  <c r="AI52" i="825"/>
  <c r="AJ52" i="825"/>
  <c r="AK52" i="825"/>
  <c r="AL52" i="825"/>
  <c r="AP52" i="825"/>
  <c r="AR52" i="825" a="1"/>
  <c r="AO52" i="825" s="1"/>
  <c r="AN52" i="825" s="1"/>
  <c r="AS52" i="825"/>
  <c r="AA53" i="825" a="1"/>
  <c r="AC53" i="825"/>
  <c r="AD53" i="825"/>
  <c r="AE53" i="825"/>
  <c r="AG53" i="825"/>
  <c r="AI53" i="825"/>
  <c r="AJ53" i="825"/>
  <c r="AK53" i="825"/>
  <c r="AL53" i="825"/>
  <c r="AP53" i="825"/>
  <c r="AR53" i="825" a="1"/>
  <c r="AO53" i="825" s="1"/>
  <c r="AN53" i="825" s="1"/>
  <c r="AS53" i="825"/>
  <c r="AA54" i="825" a="1"/>
  <c r="AC54" i="825"/>
  <c r="AD54" i="825"/>
  <c r="AE54" i="825"/>
  <c r="AG54" i="825"/>
  <c r="AI54" i="825"/>
  <c r="AJ54" i="825"/>
  <c r="AK54" i="825"/>
  <c r="AL54" i="825"/>
  <c r="AP54" i="825"/>
  <c r="AR54" i="825" a="1"/>
  <c r="AO54" i="825" s="1"/>
  <c r="AN54" i="825" s="1"/>
  <c r="AS54" i="825"/>
  <c r="AA55" i="825" a="1"/>
  <c r="AC55" i="825"/>
  <c r="AD55" i="825"/>
  <c r="AE55" i="825"/>
  <c r="AG55" i="825"/>
  <c r="AI55" i="825"/>
  <c r="AJ55" i="825"/>
  <c r="AK55" i="825"/>
  <c r="AL55" i="825"/>
  <c r="AP55" i="825"/>
  <c r="AR55" i="825" a="1"/>
  <c r="AO55" i="825" s="1"/>
  <c r="AN55" i="825" s="1"/>
  <c r="AS55" i="825"/>
  <c r="AA56" i="825" a="1"/>
  <c r="AC56" i="825"/>
  <c r="AD56" i="825"/>
  <c r="AE56" i="825"/>
  <c r="AG56" i="825"/>
  <c r="AI56" i="825"/>
  <c r="AJ56" i="825"/>
  <c r="AK56" i="825"/>
  <c r="AL56" i="825"/>
  <c r="AP56" i="825"/>
  <c r="AR56" i="825" a="1"/>
  <c r="AO56" i="825" s="1"/>
  <c r="AN56" i="825" s="1"/>
  <c r="AS56" i="825"/>
  <c r="AA57" i="825" a="1"/>
  <c r="AC57" i="825"/>
  <c r="AD57" i="825"/>
  <c r="AE57" i="825"/>
  <c r="AG57" i="825"/>
  <c r="AI57" i="825"/>
  <c r="AJ57" i="825"/>
  <c r="AK57" i="825"/>
  <c r="AL57" i="825"/>
  <c r="AP57" i="825"/>
  <c r="AR57" i="825" a="1"/>
  <c r="AO57" i="825" s="1"/>
  <c r="AN57" i="825" s="1"/>
  <c r="AS57" i="825"/>
  <c r="AA58" i="825" a="1"/>
  <c r="AC58" i="825"/>
  <c r="AD58" i="825"/>
  <c r="AE58" i="825"/>
  <c r="AG58" i="825"/>
  <c r="AI58" i="825"/>
  <c r="AJ58" i="825"/>
  <c r="AK58" i="825"/>
  <c r="AL58" i="825"/>
  <c r="AP58" i="825"/>
  <c r="AR58" i="825" a="1"/>
  <c r="AO58" i="825" s="1"/>
  <c r="AN58" i="825" s="1"/>
  <c r="AS58" i="825"/>
  <c r="AA59" i="825" a="1"/>
  <c r="AC59" i="825"/>
  <c r="AD59" i="825"/>
  <c r="AE59" i="825"/>
  <c r="AG59" i="825"/>
  <c r="AI59" i="825"/>
  <c r="AJ59" i="825"/>
  <c r="AK59" i="825"/>
  <c r="AL59" i="825"/>
  <c r="AP59" i="825"/>
  <c r="AR59" i="825" a="1"/>
  <c r="AO59" i="825" s="1"/>
  <c r="AN59" i="825" s="1"/>
  <c r="AS59" i="825"/>
  <c r="AA60" i="825" a="1"/>
  <c r="AC60" i="825"/>
  <c r="AD60" i="825"/>
  <c r="AE60" i="825"/>
  <c r="AG60" i="825"/>
  <c r="AI60" i="825"/>
  <c r="AJ60" i="825"/>
  <c r="AK60" i="825"/>
  <c r="AL60" i="825"/>
  <c r="AP60" i="825"/>
  <c r="AR60" i="825" a="1"/>
  <c r="AO60" i="825" s="1"/>
  <c r="AN60" i="825" s="1"/>
  <c r="AS60" i="825"/>
  <c r="AA61" i="825" a="1"/>
  <c r="AC61" i="825"/>
  <c r="AD61" i="825"/>
  <c r="AE61" i="825"/>
  <c r="AG61" i="825"/>
  <c r="AI61" i="825"/>
  <c r="AJ61" i="825"/>
  <c r="AK61" i="825"/>
  <c r="AL61" i="825"/>
  <c r="AP61" i="825"/>
  <c r="AR61" i="825" a="1"/>
  <c r="AO61" i="825" s="1"/>
  <c r="AN61" i="825" s="1"/>
  <c r="AS61" i="825"/>
  <c r="AA62" i="825" a="1"/>
  <c r="AC62" i="825"/>
  <c r="AD62" i="825"/>
  <c r="AE62" i="825"/>
  <c r="AG62" i="825"/>
  <c r="AI62" i="825"/>
  <c r="AJ62" i="825"/>
  <c r="AK62" i="825"/>
  <c r="AL62" i="825"/>
  <c r="AP62" i="825"/>
  <c r="AR62" i="825" a="1"/>
  <c r="AO62" i="825" s="1"/>
  <c r="AN62" i="825" s="1"/>
  <c r="AS62" i="825"/>
  <c r="AA63" i="825" a="1"/>
  <c r="AC63" i="825"/>
  <c r="AD63" i="825"/>
  <c r="AE63" i="825"/>
  <c r="AG63" i="825"/>
  <c r="AI63" i="825"/>
  <c r="AJ63" i="825"/>
  <c r="AK63" i="825"/>
  <c r="AL63" i="825"/>
  <c r="AP63" i="825"/>
  <c r="AR63" i="825" a="1"/>
  <c r="AO63" i="825" s="1"/>
  <c r="AN63" i="825" s="1"/>
  <c r="AS63" i="825"/>
  <c r="AA64" i="825" a="1"/>
  <c r="AC64" i="825"/>
  <c r="AD64" i="825"/>
  <c r="AE64" i="825"/>
  <c r="AG64" i="825"/>
  <c r="AI64" i="825"/>
  <c r="AJ64" i="825"/>
  <c r="AK64" i="825"/>
  <c r="AL64" i="825"/>
  <c r="AP64" i="825"/>
  <c r="AR64" i="825" a="1"/>
  <c r="AO64" i="825" s="1"/>
  <c r="AN64" i="825" s="1"/>
  <c r="AS64" i="825"/>
  <c r="AA65" i="825" a="1"/>
  <c r="AC65" i="825"/>
  <c r="AD65" i="825"/>
  <c r="AE65" i="825"/>
  <c r="AG65" i="825"/>
  <c r="AI65" i="825"/>
  <c r="AJ65" i="825"/>
  <c r="AK65" i="825"/>
  <c r="AL65" i="825"/>
  <c r="AP65" i="825"/>
  <c r="AR65" i="825" a="1"/>
  <c r="AO65" i="825" s="1"/>
  <c r="AN65" i="825" s="1"/>
  <c r="AS65" i="825"/>
  <c r="AA66" i="825" a="1"/>
  <c r="AC66" i="825"/>
  <c r="AD66" i="825"/>
  <c r="AE66" i="825"/>
  <c r="AG66" i="825"/>
  <c r="AI66" i="825"/>
  <c r="AJ66" i="825"/>
  <c r="AK66" i="825"/>
  <c r="AL66" i="825"/>
  <c r="AP66" i="825"/>
  <c r="AR66" i="825" a="1"/>
  <c r="AO66" i="825" s="1"/>
  <c r="AN66" i="825" s="1"/>
  <c r="AS66" i="825"/>
  <c r="AA67" i="825" a="1"/>
  <c r="AC67" i="825"/>
  <c r="AD67" i="825"/>
  <c r="AE67" i="825"/>
  <c r="AG67" i="825"/>
  <c r="AI67" i="825"/>
  <c r="AJ67" i="825"/>
  <c r="AK67" i="825"/>
  <c r="AL67" i="825"/>
  <c r="AP67" i="825"/>
  <c r="AR67" i="825" a="1"/>
  <c r="AO67" i="825" s="1"/>
  <c r="AS67" i="825"/>
  <c r="AA68" i="825" a="1"/>
  <c r="AC68" i="825"/>
  <c r="AD68" i="825"/>
  <c r="AE68" i="825"/>
  <c r="AG68" i="825"/>
  <c r="AI68" i="825"/>
  <c r="AJ68" i="825"/>
  <c r="AK68" i="825"/>
  <c r="AL68" i="825"/>
  <c r="AP68" i="825"/>
  <c r="AR68" i="825" a="1"/>
  <c r="AO68" i="825" s="1"/>
  <c r="AN68" i="825" s="1"/>
  <c r="AS68" i="825"/>
  <c r="AA69" i="825" a="1"/>
  <c r="AC69" i="825"/>
  <c r="AD69" i="825"/>
  <c r="AE69" i="825"/>
  <c r="AG69" i="825"/>
  <c r="AI69" i="825"/>
  <c r="AJ69" i="825"/>
  <c r="AK69" i="825"/>
  <c r="AL69" i="825"/>
  <c r="AP69" i="825"/>
  <c r="AR69" i="825" a="1"/>
  <c r="AO69" i="825" s="1"/>
  <c r="AS69" i="825"/>
  <c r="AA70" i="825" a="1"/>
  <c r="AC70" i="825"/>
  <c r="AD70" i="825"/>
  <c r="AE70" i="825"/>
  <c r="AG70" i="825"/>
  <c r="AI70" i="825"/>
  <c r="AJ70" i="825"/>
  <c r="AK70" i="825"/>
  <c r="AL70" i="825"/>
  <c r="AP70" i="825"/>
  <c r="AR70" i="825" a="1"/>
  <c r="AO70" i="825" s="1"/>
  <c r="AN70" i="825" s="1"/>
  <c r="AS70" i="825"/>
  <c r="AA71" i="825" a="1"/>
  <c r="AC71" i="825"/>
  <c r="AD71" i="825"/>
  <c r="AE71" i="825"/>
  <c r="AG71" i="825"/>
  <c r="AI71" i="825"/>
  <c r="AJ71" i="825"/>
  <c r="AK71" i="825"/>
  <c r="AL71" i="825"/>
  <c r="AP71" i="825"/>
  <c r="AR71" i="825" a="1"/>
  <c r="AO71" i="825" s="1"/>
  <c r="AS71" i="825"/>
  <c r="AA72" i="825" a="1"/>
  <c r="AC72" i="825"/>
  <c r="AD72" i="825"/>
  <c r="AE72" i="825"/>
  <c r="AG72" i="825"/>
  <c r="AI72" i="825"/>
  <c r="AJ72" i="825"/>
  <c r="AK72" i="825"/>
  <c r="AL72" i="825"/>
  <c r="AP72" i="825"/>
  <c r="AR72" i="825" a="1"/>
  <c r="AO72" i="825" s="1"/>
  <c r="AS72" i="825"/>
  <c r="AA73" i="825" a="1"/>
  <c r="AC73" i="825"/>
  <c r="AD73" i="825"/>
  <c r="AE73" i="825"/>
  <c r="AG73" i="825"/>
  <c r="AI73" i="825"/>
  <c r="AJ73" i="825"/>
  <c r="AK73" i="825"/>
  <c r="AL73" i="825"/>
  <c r="AP73" i="825"/>
  <c r="AR73" i="825" a="1"/>
  <c r="AO73" i="825" s="1"/>
  <c r="AN73" i="825" s="1"/>
  <c r="AS73" i="825"/>
  <c r="AA74" i="825" a="1"/>
  <c r="AC74" i="825"/>
  <c r="AD74" i="825"/>
  <c r="AE74" i="825"/>
  <c r="AG74" i="825"/>
  <c r="AI74" i="825"/>
  <c r="AJ74" i="825"/>
  <c r="AK74" i="825"/>
  <c r="AL74" i="825"/>
  <c r="AP74" i="825"/>
  <c r="AR74" i="825" a="1"/>
  <c r="AO74" i="825" s="1"/>
  <c r="AN74" i="825" s="1"/>
  <c r="AS74" i="825"/>
  <c r="AA75" i="825" a="1"/>
  <c r="AC75" i="825"/>
  <c r="AD75" i="825"/>
  <c r="AE75" i="825"/>
  <c r="AG75" i="825"/>
  <c r="AI75" i="825"/>
  <c r="AJ75" i="825"/>
  <c r="AK75" i="825"/>
  <c r="AL75" i="825"/>
  <c r="AP75" i="825"/>
  <c r="AR75" i="825" a="1"/>
  <c r="AO75" i="825" s="1"/>
  <c r="AN75" i="825" s="1"/>
  <c r="AS75" i="825"/>
  <c r="AA76" i="825" a="1"/>
  <c r="AC76" i="825"/>
  <c r="AD76" i="825"/>
  <c r="AE76" i="825"/>
  <c r="AG76" i="825"/>
  <c r="AI76" i="825"/>
  <c r="AJ76" i="825"/>
  <c r="AK76" i="825"/>
  <c r="AL76" i="825"/>
  <c r="AM76" i="825" s="1"/>
  <c r="AP76" i="825"/>
  <c r="AQ76" i="825"/>
  <c r="AR76" i="825" a="1"/>
  <c r="AO76" i="825" s="1"/>
  <c r="AN76" i="825" s="1"/>
  <c r="AS76" i="825"/>
  <c r="AA77" i="825" a="1"/>
  <c r="AC77" i="825"/>
  <c r="AD77" i="825"/>
  <c r="AE77" i="825"/>
  <c r="AG77" i="825"/>
  <c r="AI77" i="825"/>
  <c r="AJ77" i="825"/>
  <c r="AK77" i="825"/>
  <c r="AL77" i="825"/>
  <c r="AP77" i="825"/>
  <c r="AR77" i="825" a="1"/>
  <c r="AO77" i="825" s="1"/>
  <c r="AN77" i="825" s="1"/>
  <c r="AS77" i="825"/>
  <c r="AA78" i="825" a="1"/>
  <c r="AC78" i="825"/>
  <c r="AD78" i="825"/>
  <c r="AE78" i="825"/>
  <c r="AG78" i="825"/>
  <c r="AI78" i="825"/>
  <c r="AJ78" i="825"/>
  <c r="AK78" i="825"/>
  <c r="AL78" i="825"/>
  <c r="AP78" i="825"/>
  <c r="AR78" i="825" a="1"/>
  <c r="AO78" i="825" s="1"/>
  <c r="AN78" i="825" s="1"/>
  <c r="AS78" i="825"/>
  <c r="AA79" i="825" a="1"/>
  <c r="AC79" i="825"/>
  <c r="AD79" i="825"/>
  <c r="AE79" i="825"/>
  <c r="AG79" i="825"/>
  <c r="AI79" i="825"/>
  <c r="AJ79" i="825"/>
  <c r="AK79" i="825"/>
  <c r="AL79" i="825"/>
  <c r="AP79" i="825"/>
  <c r="AR79" i="825" a="1"/>
  <c r="AO79" i="825" s="1"/>
  <c r="AN79" i="825" s="1"/>
  <c r="AS79" i="825"/>
  <c r="AA80" i="825" a="1"/>
  <c r="AC80" i="825"/>
  <c r="AD80" i="825"/>
  <c r="AE80" i="825"/>
  <c r="AG80" i="825"/>
  <c r="AI80" i="825"/>
  <c r="AJ80" i="825"/>
  <c r="AK80" i="825"/>
  <c r="AL80" i="825"/>
  <c r="AP80" i="825"/>
  <c r="AR80" i="825" a="1"/>
  <c r="AO80" i="825" s="1"/>
  <c r="AN80" i="825" s="1"/>
  <c r="AS80" i="825"/>
  <c r="AA81" i="825" a="1"/>
  <c r="AC81" i="825"/>
  <c r="AD81" i="825"/>
  <c r="AE81" i="825"/>
  <c r="AG81" i="825"/>
  <c r="AI81" i="825"/>
  <c r="AJ81" i="825"/>
  <c r="AK81" i="825"/>
  <c r="AL81" i="825"/>
  <c r="AP81" i="825"/>
  <c r="AR81" i="825" a="1"/>
  <c r="AO81" i="825" s="1"/>
  <c r="AN81" i="825" s="1"/>
  <c r="AS81" i="825"/>
  <c r="AA82" i="825" a="1"/>
  <c r="AC82" i="825"/>
  <c r="AD82" i="825"/>
  <c r="AE82" i="825"/>
  <c r="AG82" i="825"/>
  <c r="AI82" i="825"/>
  <c r="AJ82" i="825"/>
  <c r="AK82" i="825"/>
  <c r="AL82" i="825"/>
  <c r="AP82" i="825"/>
  <c r="AR82" i="825" a="1"/>
  <c r="AO82" i="825" s="1"/>
  <c r="AN82" i="825" s="1"/>
  <c r="AS82" i="825"/>
  <c r="AA83" i="825" a="1"/>
  <c r="AC83" i="825"/>
  <c r="AD83" i="825"/>
  <c r="AE83" i="825"/>
  <c r="AG83" i="825"/>
  <c r="AI83" i="825"/>
  <c r="AJ83" i="825"/>
  <c r="AK83" i="825"/>
  <c r="AL83" i="825"/>
  <c r="AP83" i="825"/>
  <c r="AR83" i="825" a="1"/>
  <c r="AO83" i="825" s="1"/>
  <c r="AN83" i="825" s="1"/>
  <c r="AS83" i="825"/>
  <c r="AA84" i="825" a="1"/>
  <c r="AC84" i="825"/>
  <c r="AD84" i="825"/>
  <c r="AE84" i="825"/>
  <c r="AG84" i="825"/>
  <c r="AI84" i="825"/>
  <c r="AJ84" i="825"/>
  <c r="AK84" i="825"/>
  <c r="AL84" i="825"/>
  <c r="AP84" i="825"/>
  <c r="AR84" i="825" a="1"/>
  <c r="AO84" i="825" s="1"/>
  <c r="AN84" i="825" s="1"/>
  <c r="AS84" i="825"/>
  <c r="AA85" i="825" a="1"/>
  <c r="AC85" i="825"/>
  <c r="AD85" i="825"/>
  <c r="AE85" i="825"/>
  <c r="AG85" i="825"/>
  <c r="AI85" i="825"/>
  <c r="AJ85" i="825"/>
  <c r="AK85" i="825"/>
  <c r="AL85" i="825"/>
  <c r="AP85" i="825"/>
  <c r="AR85" i="825" a="1"/>
  <c r="AO85" i="825" s="1"/>
  <c r="AN85" i="825" s="1"/>
  <c r="AS85" i="825"/>
  <c r="AA86" i="825" a="1"/>
  <c r="AC86" i="825"/>
  <c r="AD86" i="825"/>
  <c r="AE86" i="825"/>
  <c r="AG86" i="825"/>
  <c r="AI86" i="825"/>
  <c r="AJ86" i="825"/>
  <c r="AK86" i="825"/>
  <c r="AL86" i="825"/>
  <c r="AP86" i="825"/>
  <c r="AR86" i="825" a="1"/>
  <c r="AO86" i="825" s="1"/>
  <c r="AN86" i="825" s="1"/>
  <c r="AS86" i="825"/>
  <c r="AA87" i="825" a="1"/>
  <c r="AC87" i="825"/>
  <c r="AD87" i="825"/>
  <c r="AE87" i="825"/>
  <c r="AG87" i="825"/>
  <c r="AI87" i="825"/>
  <c r="AJ87" i="825"/>
  <c r="AK87" i="825"/>
  <c r="AL87" i="825"/>
  <c r="AP87" i="825"/>
  <c r="AR87" i="825" a="1"/>
  <c r="AO87" i="825" s="1"/>
  <c r="AN87" i="825" s="1"/>
  <c r="AS87" i="825"/>
  <c r="X88" i="805"/>
  <c r="F8" i="805"/>
  <c r="D9" i="805"/>
  <c r="F9" i="805"/>
  <c r="I8" i="805"/>
  <c r="K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A21" i="805" a="1"/>
  <c r="AC21" i="805"/>
  <c r="AD21" i="805"/>
  <c r="AE21" i="805"/>
  <c r="AF21" i="805"/>
  <c r="AG21" i="805"/>
  <c r="AI21" i="805"/>
  <c r="AJ21" i="805"/>
  <c r="AK21" i="805"/>
  <c r="AL21" i="805"/>
  <c r="AM21" i="805"/>
  <c r="AN21" i="805"/>
  <c r="AO21" i="805" s="1"/>
  <c r="AR21" i="805"/>
  <c r="AS21" i="805"/>
  <c r="AT21" i="805"/>
  <c r="AU21" i="805" a="1"/>
  <c r="AQ21" i="805" s="1"/>
  <c r="AP21" i="805" s="1"/>
  <c r="AV21" i="805"/>
  <c r="AW21" i="805"/>
  <c r="AX21" i="805"/>
  <c r="AY21" i="805"/>
  <c r="AZ21" i="805"/>
  <c r="BA21" i="805"/>
  <c r="BB21" i="805"/>
  <c r="AA22" i="805" a="1"/>
  <c r="AC22" i="805"/>
  <c r="AD22" i="805"/>
  <c r="AE22" i="805"/>
  <c r="AF22" i="805"/>
  <c r="AG22" i="805"/>
  <c r="AI22" i="805"/>
  <c r="AJ22" i="805"/>
  <c r="AK22" i="805"/>
  <c r="AL22" i="805"/>
  <c r="AM22" i="805"/>
  <c r="AN22" i="805"/>
  <c r="AR22" i="805"/>
  <c r="AS22" i="805"/>
  <c r="AU22" i="805" a="1"/>
  <c r="AQ22" i="805" s="1"/>
  <c r="AP22" i="805" s="1"/>
  <c r="AV22" i="805"/>
  <c r="AW22" i="805"/>
  <c r="AX22" i="805"/>
  <c r="AY22" i="805"/>
  <c r="AZ22" i="805"/>
  <c r="BA22" i="805"/>
  <c r="BB22" i="805"/>
  <c r="AA23" i="805" a="1"/>
  <c r="AC23" i="805"/>
  <c r="AD23" i="805"/>
  <c r="AE23" i="805"/>
  <c r="AF23" i="805"/>
  <c r="AG23" i="805"/>
  <c r="AI23" i="805"/>
  <c r="AJ23" i="805"/>
  <c r="AK23" i="805"/>
  <c r="AL23" i="805"/>
  <c r="AM23" i="805"/>
  <c r="AN23" i="805"/>
  <c r="AR23" i="805"/>
  <c r="AS23" i="805"/>
  <c r="AU23" i="805" a="1"/>
  <c r="AQ23" i="805" s="1"/>
  <c r="AP23" i="805" s="1"/>
  <c r="AV23" i="805"/>
  <c r="AW23" i="805"/>
  <c r="AX23" i="805"/>
  <c r="AY23" i="805"/>
  <c r="AZ23" i="805"/>
  <c r="BA23" i="805"/>
  <c r="BB23" i="805"/>
  <c r="AA24" i="805" a="1"/>
  <c r="AC24" i="805"/>
  <c r="AD24" i="805"/>
  <c r="AE24" i="805"/>
  <c r="AF24" i="805"/>
  <c r="AG24" i="805"/>
  <c r="AI24" i="805"/>
  <c r="AJ24" i="805"/>
  <c r="AK24" i="805"/>
  <c r="AL24" i="805"/>
  <c r="AM24" i="805"/>
  <c r="AN24" i="805"/>
  <c r="AR24" i="805"/>
  <c r="AS24" i="805"/>
  <c r="AU24" i="805" a="1"/>
  <c r="AQ24" i="805" s="1"/>
  <c r="AP24" i="805" s="1"/>
  <c r="AV24" i="805"/>
  <c r="AW24" i="805"/>
  <c r="AX24" i="805"/>
  <c r="AY24" i="805"/>
  <c r="AZ24" i="805"/>
  <c r="BA24" i="805"/>
  <c r="BB24" i="805"/>
  <c r="AA25" i="805" a="1"/>
  <c r="AC25" i="805"/>
  <c r="AD25" i="805"/>
  <c r="AE25" i="805"/>
  <c r="AF25" i="805"/>
  <c r="AG25" i="805"/>
  <c r="AI25" i="805"/>
  <c r="AJ25" i="805"/>
  <c r="AK25" i="805"/>
  <c r="AL25" i="805"/>
  <c r="AM25" i="805"/>
  <c r="AN25" i="805"/>
  <c r="AR25" i="805"/>
  <c r="AS25" i="805"/>
  <c r="AU25" i="805" a="1"/>
  <c r="AQ25" i="805" s="1"/>
  <c r="AP25" i="805" s="1"/>
  <c r="AV25" i="805"/>
  <c r="AW25" i="805"/>
  <c r="AX25" i="805"/>
  <c r="AY25" i="805"/>
  <c r="AZ25" i="805"/>
  <c r="BA25" i="805"/>
  <c r="BB25" i="805"/>
  <c r="AA26" i="805" a="1"/>
  <c r="AC26" i="805"/>
  <c r="AD26" i="805"/>
  <c r="AE26" i="805"/>
  <c r="AF26" i="805"/>
  <c r="AG26" i="805"/>
  <c r="AI26" i="805"/>
  <c r="AJ26" i="805"/>
  <c r="AK26" i="805"/>
  <c r="AL26" i="805"/>
  <c r="AM26" i="805"/>
  <c r="AN26" i="805"/>
  <c r="AR26" i="805"/>
  <c r="AS26" i="805"/>
  <c r="AU26" i="805" a="1"/>
  <c r="AQ26" i="805" s="1"/>
  <c r="AP26" i="805" s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F27" i="805"/>
  <c r="AG27" i="805"/>
  <c r="AI27" i="805"/>
  <c r="AJ27" i="805"/>
  <c r="AK27" i="805"/>
  <c r="AL27" i="805"/>
  <c r="AM27" i="805"/>
  <c r="AN27" i="805"/>
  <c r="AO27" i="805" s="1"/>
  <c r="AR27" i="805"/>
  <c r="AS27" i="805"/>
  <c r="AT27" i="805"/>
  <c r="AU27" i="805" a="1"/>
  <c r="AQ27" i="805" s="1"/>
  <c r="AP27" i="805" s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F28" i="805"/>
  <c r="AG28" i="805"/>
  <c r="AI28" i="805"/>
  <c r="AJ28" i="805"/>
  <c r="AK28" i="805"/>
  <c r="AL28" i="805"/>
  <c r="AM28" i="805"/>
  <c r="AN28" i="805"/>
  <c r="AR28" i="805"/>
  <c r="AS28" i="805"/>
  <c r="AU28" i="805" a="1"/>
  <c r="AQ28" i="805" s="1"/>
  <c r="AP28" i="805" s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F29" i="805"/>
  <c r="AG29" i="805"/>
  <c r="AI29" i="805"/>
  <c r="AJ29" i="805"/>
  <c r="AK29" i="805"/>
  <c r="AL29" i="805"/>
  <c r="AM29" i="805"/>
  <c r="AN29" i="805"/>
  <c r="AR29" i="805"/>
  <c r="AS29" i="805"/>
  <c r="AU29" i="805" a="1"/>
  <c r="AQ29" i="805" s="1"/>
  <c r="AP29" i="805" s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F30" i="805"/>
  <c r="AG30" i="805"/>
  <c r="AI30" i="805"/>
  <c r="AJ30" i="805"/>
  <c r="AK30" i="805"/>
  <c r="AL30" i="805"/>
  <c r="AM30" i="805"/>
  <c r="AN30" i="805"/>
  <c r="AO30" i="805" s="1"/>
  <c r="AR30" i="805"/>
  <c r="AS30" i="805"/>
  <c r="AT30" i="805"/>
  <c r="AU30" i="805" a="1"/>
  <c r="AQ30" i="805" s="1"/>
  <c r="AP30" i="805" s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F31" i="805"/>
  <c r="AG31" i="805"/>
  <c r="AI31" i="805"/>
  <c r="AJ31" i="805"/>
  <c r="AK31" i="805"/>
  <c r="AL31" i="805"/>
  <c r="AM31" i="805"/>
  <c r="AN31" i="805"/>
  <c r="AR31" i="805"/>
  <c r="AS31" i="805"/>
  <c r="AU31" i="805" a="1"/>
  <c r="AQ31" i="805" s="1"/>
  <c r="AP31" i="805" s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F32" i="805"/>
  <c r="AG32" i="805"/>
  <c r="AI32" i="805"/>
  <c r="AJ32" i="805"/>
  <c r="AK32" i="805"/>
  <c r="AL32" i="805"/>
  <c r="AM32" i="805"/>
  <c r="AN32" i="805"/>
  <c r="AR32" i="805"/>
  <c r="AS32" i="805"/>
  <c r="AU32" i="805" a="1"/>
  <c r="AQ32" i="805" s="1"/>
  <c r="AP32" i="805" s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F33" i="805"/>
  <c r="AG33" i="805"/>
  <c r="AI33" i="805"/>
  <c r="AJ33" i="805"/>
  <c r="AK33" i="805"/>
  <c r="AL33" i="805"/>
  <c r="AM33" i="805"/>
  <c r="AN33" i="805"/>
  <c r="AR33" i="805"/>
  <c r="AS33" i="805"/>
  <c r="AU33" i="805" a="1"/>
  <c r="AQ33" i="805" s="1"/>
  <c r="AP33" i="805" s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F34" i="805"/>
  <c r="AG34" i="805"/>
  <c r="AI34" i="805"/>
  <c r="AJ34" i="805"/>
  <c r="AK34" i="805"/>
  <c r="AL34" i="805"/>
  <c r="AM34" i="805"/>
  <c r="AN34" i="805"/>
  <c r="AR34" i="805"/>
  <c r="AS34" i="805"/>
  <c r="AU34" i="805" a="1"/>
  <c r="AQ34" i="805" s="1"/>
  <c r="AP34" i="805" s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F35" i="805"/>
  <c r="AG35" i="805"/>
  <c r="AI35" i="805"/>
  <c r="AJ35" i="805"/>
  <c r="AK35" i="805"/>
  <c r="AL35" i="805"/>
  <c r="AM35" i="805"/>
  <c r="AN35" i="805"/>
  <c r="AR35" i="805"/>
  <c r="AS35" i="805"/>
  <c r="AU35" i="805" a="1"/>
  <c r="AQ35" i="805" s="1"/>
  <c r="AP35" i="805" s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F36" i="805"/>
  <c r="AG36" i="805"/>
  <c r="AI36" i="805"/>
  <c r="AJ36" i="805"/>
  <c r="AK36" i="805"/>
  <c r="AL36" i="805"/>
  <c r="AM36" i="805"/>
  <c r="AN36" i="805"/>
  <c r="AR36" i="805"/>
  <c r="AS36" i="805"/>
  <c r="AU36" i="805" a="1"/>
  <c r="AQ36" i="805" s="1"/>
  <c r="AP36" i="805" s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F37" i="805"/>
  <c r="AG37" i="805"/>
  <c r="AI37" i="805"/>
  <c r="AJ37" i="805"/>
  <c r="AK37" i="805"/>
  <c r="AL37" i="805"/>
  <c r="AM37" i="805"/>
  <c r="AN37" i="805"/>
  <c r="AR37" i="805"/>
  <c r="AS37" i="805"/>
  <c r="AU37" i="805" a="1"/>
  <c r="AQ37" i="805" s="1"/>
  <c r="AP37" i="805" s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F38" i="805"/>
  <c r="AG38" i="805"/>
  <c r="AI38" i="805"/>
  <c r="AJ38" i="805"/>
  <c r="AK38" i="805"/>
  <c r="AL38" i="805"/>
  <c r="AM38" i="805"/>
  <c r="AN38" i="805"/>
  <c r="AR38" i="805"/>
  <c r="AS38" i="805"/>
  <c r="AU38" i="805" a="1"/>
  <c r="AQ38" i="805" s="1"/>
  <c r="AP38" i="805" s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F39" i="805"/>
  <c r="AG39" i="805"/>
  <c r="AI39" i="805"/>
  <c r="AJ39" i="805"/>
  <c r="AK39" i="805"/>
  <c r="AL39" i="805"/>
  <c r="AM39" i="805"/>
  <c r="AN39" i="805"/>
  <c r="AR39" i="805"/>
  <c r="AS39" i="805"/>
  <c r="AU39" i="805" a="1"/>
  <c r="AQ39" i="805" s="1"/>
  <c r="AP39" i="805" s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F40" i="805"/>
  <c r="AG40" i="805"/>
  <c r="AI40" i="805"/>
  <c r="AJ40" i="805"/>
  <c r="AK40" i="805"/>
  <c r="AL40" i="805"/>
  <c r="AM40" i="805"/>
  <c r="AN40" i="805"/>
  <c r="AR40" i="805"/>
  <c r="AS40" i="805"/>
  <c r="AU40" i="805" a="1"/>
  <c r="AQ40" i="805" s="1"/>
  <c r="AP40" i="805" s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F41" i="805"/>
  <c r="AG41" i="805"/>
  <c r="AI41" i="805"/>
  <c r="AJ41" i="805"/>
  <c r="AK41" i="805"/>
  <c r="AL41" i="805"/>
  <c r="AM41" i="805"/>
  <c r="AN41" i="805"/>
  <c r="AR41" i="805"/>
  <c r="AS41" i="805"/>
  <c r="AU41" i="805" a="1"/>
  <c r="AQ41" i="805" s="1"/>
  <c r="AP41" i="805" s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F42" i="805"/>
  <c r="AG42" i="805"/>
  <c r="AI42" i="805"/>
  <c r="AJ42" i="805"/>
  <c r="AK42" i="805"/>
  <c r="AL42" i="805"/>
  <c r="AM42" i="805"/>
  <c r="AN42" i="805"/>
  <c r="AR42" i="805"/>
  <c r="AS42" i="805"/>
  <c r="AU42" i="805" a="1"/>
  <c r="AQ42" i="805" s="1"/>
  <c r="AP42" i="805" s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F43" i="805"/>
  <c r="AG43" i="805"/>
  <c r="AI43" i="805"/>
  <c r="AJ43" i="805"/>
  <c r="AK43" i="805"/>
  <c r="AL43" i="805"/>
  <c r="AM43" i="805"/>
  <c r="AN43" i="805"/>
  <c r="AR43" i="805"/>
  <c r="AS43" i="805"/>
  <c r="AU43" i="805" a="1"/>
  <c r="AQ43" i="805" s="1"/>
  <c r="AP43" i="805" s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F44" i="805"/>
  <c r="AG44" i="805"/>
  <c r="AI44" i="805"/>
  <c r="AJ44" i="805"/>
  <c r="AK44" i="805"/>
  <c r="AL44" i="805"/>
  <c r="AM44" i="805"/>
  <c r="AN44" i="805"/>
  <c r="AR44" i="805"/>
  <c r="AS44" i="805"/>
  <c r="AU44" i="805" a="1"/>
  <c r="AQ44" i="805" s="1"/>
  <c r="AP44" i="805" s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F45" i="805"/>
  <c r="AG45" i="805"/>
  <c r="AI45" i="805"/>
  <c r="AJ45" i="805"/>
  <c r="AK45" i="805"/>
  <c r="AL45" i="805"/>
  <c r="AM45" i="805"/>
  <c r="AN45" i="805"/>
  <c r="AR45" i="805"/>
  <c r="AS45" i="805"/>
  <c r="AU45" i="805" a="1"/>
  <c r="AQ45" i="805" s="1"/>
  <c r="AP45" i="805" s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F46" i="805"/>
  <c r="AG46" i="805"/>
  <c r="AI46" i="805"/>
  <c r="AJ46" i="805"/>
  <c r="AK46" i="805"/>
  <c r="AL46" i="805"/>
  <c r="AM46" i="805"/>
  <c r="AN46" i="805"/>
  <c r="AR46" i="805"/>
  <c r="AS46" i="805"/>
  <c r="AU46" i="805" a="1"/>
  <c r="AQ46" i="805" s="1"/>
  <c r="AP46" i="805" s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F47" i="805"/>
  <c r="AG47" i="805"/>
  <c r="AI47" i="805"/>
  <c r="AJ47" i="805"/>
  <c r="AK47" i="805"/>
  <c r="AL47" i="805"/>
  <c r="AM47" i="805"/>
  <c r="AN47" i="805"/>
  <c r="AR47" i="805"/>
  <c r="AS47" i="805"/>
  <c r="AU47" i="805" a="1"/>
  <c r="AQ47" i="805" s="1"/>
  <c r="AP47" i="805" s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F48" i="805"/>
  <c r="AG48" i="805"/>
  <c r="AI48" i="805"/>
  <c r="AJ48" i="805"/>
  <c r="AK48" i="805"/>
  <c r="AL48" i="805"/>
  <c r="AM48" i="805"/>
  <c r="AN48" i="805"/>
  <c r="AR48" i="805"/>
  <c r="AS48" i="805"/>
  <c r="AU48" i="805" a="1"/>
  <c r="AQ48" i="805" s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F49" i="805"/>
  <c r="AG49" i="805"/>
  <c r="AI49" i="805"/>
  <c r="AJ49" i="805"/>
  <c r="AK49" i="805"/>
  <c r="AL49" i="805"/>
  <c r="AM49" i="805"/>
  <c r="AN49" i="805"/>
  <c r="AR49" i="805"/>
  <c r="AS49" i="805"/>
  <c r="AU49" i="805" a="1"/>
  <c r="AQ49" i="805" s="1"/>
  <c r="AP49" i="805" s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F50" i="805"/>
  <c r="AG50" i="805"/>
  <c r="AI50" i="805"/>
  <c r="AJ50" i="805"/>
  <c r="AK50" i="805"/>
  <c r="AL50" i="805"/>
  <c r="AM50" i="805"/>
  <c r="AN50" i="805"/>
  <c r="AR50" i="805"/>
  <c r="AS50" i="805"/>
  <c r="AU50" i="805" a="1"/>
  <c r="AQ50" i="805" s="1"/>
  <c r="AP50" i="805" s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F51" i="805"/>
  <c r="AG51" i="805"/>
  <c r="AI51" i="805"/>
  <c r="AJ51" i="805"/>
  <c r="AK51" i="805"/>
  <c r="AL51" i="805"/>
  <c r="AM51" i="805"/>
  <c r="AN51" i="805"/>
  <c r="AR51" i="805"/>
  <c r="AS51" i="805"/>
  <c r="AU51" i="805" a="1"/>
  <c r="AQ51" i="805" s="1"/>
  <c r="AP51" i="805" s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F52" i="805"/>
  <c r="AG52" i="805"/>
  <c r="AI52" i="805"/>
  <c r="AJ52" i="805"/>
  <c r="AK52" i="805"/>
  <c r="AL52" i="805"/>
  <c r="AM52" i="805"/>
  <c r="AN52" i="805"/>
  <c r="AO52" i="805" s="1"/>
  <c r="AR52" i="805"/>
  <c r="AS52" i="805"/>
  <c r="AT52" i="805"/>
  <c r="AU52" i="805" a="1"/>
  <c r="AQ52" i="805" s="1"/>
  <c r="AP52" i="805" s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F53" i="805"/>
  <c r="AG53" i="805"/>
  <c r="AI53" i="805"/>
  <c r="AJ53" i="805"/>
  <c r="AK53" i="805"/>
  <c r="AL53" i="805"/>
  <c r="AM53" i="805"/>
  <c r="AN53" i="805"/>
  <c r="AR53" i="805"/>
  <c r="AS53" i="805"/>
  <c r="AU53" i="805" a="1"/>
  <c r="AQ53" i="805" s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F54" i="805"/>
  <c r="AG54" i="805"/>
  <c r="AI54" i="805"/>
  <c r="AJ54" i="805"/>
  <c r="AK54" i="805"/>
  <c r="AL54" i="805"/>
  <c r="AM54" i="805"/>
  <c r="AN54" i="805"/>
  <c r="AR54" i="805"/>
  <c r="AS54" i="805"/>
  <c r="AU54" i="805" a="1"/>
  <c r="AQ54" i="805" s="1"/>
  <c r="AP54" i="805" s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F55" i="805"/>
  <c r="AG55" i="805"/>
  <c r="AI55" i="805"/>
  <c r="AJ55" i="805"/>
  <c r="AK55" i="805"/>
  <c r="AL55" i="805"/>
  <c r="AM55" i="805"/>
  <c r="AN55" i="805"/>
  <c r="AR55" i="805"/>
  <c r="AS55" i="805"/>
  <c r="AU55" i="805" a="1"/>
  <c r="AQ55" i="805" s="1"/>
  <c r="AP55" i="805" s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F56" i="805"/>
  <c r="AG56" i="805"/>
  <c r="AI56" i="805"/>
  <c r="AJ56" i="805"/>
  <c r="AK56" i="805"/>
  <c r="AL56" i="805"/>
  <c r="AM56" i="805"/>
  <c r="AN56" i="805"/>
  <c r="AR56" i="805"/>
  <c r="AS56" i="805"/>
  <c r="AU56" i="805" a="1"/>
  <c r="AQ56" i="805" s="1"/>
  <c r="AP56" i="805" s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F57" i="805"/>
  <c r="AG57" i="805"/>
  <c r="AI57" i="805"/>
  <c r="AJ57" i="805"/>
  <c r="AK57" i="805"/>
  <c r="AL57" i="805"/>
  <c r="AM57" i="805"/>
  <c r="AN57" i="805"/>
  <c r="AO57" i="805" s="1"/>
  <c r="AR57" i="805"/>
  <c r="AS57" i="805"/>
  <c r="AT57" i="805"/>
  <c r="AU57" i="805" a="1"/>
  <c r="AQ57" i="805" s="1"/>
  <c r="AP57" i="805" s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F58" i="805"/>
  <c r="AG58" i="805"/>
  <c r="AI58" i="805"/>
  <c r="AJ58" i="805"/>
  <c r="AK58" i="805"/>
  <c r="AL58" i="805"/>
  <c r="AM58" i="805"/>
  <c r="AN58" i="805"/>
  <c r="AR58" i="805"/>
  <c r="AS58" i="805"/>
  <c r="AU58" i="805" a="1"/>
  <c r="AQ58" i="805" s="1"/>
  <c r="AP58" i="805" s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F59" i="805"/>
  <c r="AG59" i="805"/>
  <c r="AI59" i="805"/>
  <c r="AJ59" i="805"/>
  <c r="AK59" i="805"/>
  <c r="AL59" i="805"/>
  <c r="AM59" i="805"/>
  <c r="AN59" i="805"/>
  <c r="AR59" i="805"/>
  <c r="AS59" i="805"/>
  <c r="AU59" i="805" a="1"/>
  <c r="AQ59" i="805" s="1"/>
  <c r="AP59" i="805" s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F60" i="805"/>
  <c r="AG60" i="805"/>
  <c r="AI60" i="805"/>
  <c r="AJ60" i="805"/>
  <c r="AK60" i="805"/>
  <c r="AL60" i="805"/>
  <c r="AM60" i="805"/>
  <c r="AN60" i="805"/>
  <c r="AR60" i="805"/>
  <c r="AS60" i="805"/>
  <c r="AU60" i="805" a="1"/>
  <c r="AQ60" i="805" s="1"/>
  <c r="AP60" i="805" s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F61" i="805"/>
  <c r="AG61" i="805"/>
  <c r="AI61" i="805"/>
  <c r="AJ61" i="805"/>
  <c r="AK61" i="805"/>
  <c r="AL61" i="805"/>
  <c r="AM61" i="805"/>
  <c r="AN61" i="805"/>
  <c r="AR61" i="805"/>
  <c r="AS61" i="805"/>
  <c r="AU61" i="805" a="1"/>
  <c r="AQ61" i="805" s="1"/>
  <c r="AP61" i="805" s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F62" i="805"/>
  <c r="AG62" i="805"/>
  <c r="AI62" i="805"/>
  <c r="AJ62" i="805"/>
  <c r="AK62" i="805"/>
  <c r="AL62" i="805"/>
  <c r="AM62" i="805"/>
  <c r="AN62" i="805"/>
  <c r="AR62" i="805"/>
  <c r="AS62" i="805"/>
  <c r="AU62" i="805" a="1"/>
  <c r="AQ62" i="805" s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F63" i="805"/>
  <c r="AG63" i="805"/>
  <c r="AI63" i="805"/>
  <c r="AJ63" i="805"/>
  <c r="AK63" i="805"/>
  <c r="AL63" i="805"/>
  <c r="AM63" i="805"/>
  <c r="AN63" i="805"/>
  <c r="AR63" i="805"/>
  <c r="AS63" i="805"/>
  <c r="AU63" i="805" a="1"/>
  <c r="AQ63" i="805" s="1"/>
  <c r="AP63" i="805" s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F64" i="805"/>
  <c r="AG64" i="805"/>
  <c r="AI64" i="805"/>
  <c r="AJ64" i="805"/>
  <c r="AK64" i="805"/>
  <c r="AL64" i="805"/>
  <c r="AM64" i="805"/>
  <c r="AN64" i="805"/>
  <c r="AR64" i="805"/>
  <c r="AS64" i="805"/>
  <c r="AU64" i="805" a="1"/>
  <c r="AQ64" i="805" s="1"/>
  <c r="AP64" i="805" s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F65" i="805"/>
  <c r="AG65" i="805"/>
  <c r="AI65" i="805"/>
  <c r="AJ65" i="805"/>
  <c r="AK65" i="805"/>
  <c r="AL65" i="805"/>
  <c r="AM65" i="805"/>
  <c r="AN65" i="805"/>
  <c r="AR65" i="805"/>
  <c r="AS65" i="805"/>
  <c r="AU65" i="805" a="1"/>
  <c r="AQ65" i="805" s="1"/>
  <c r="AP65" i="805" s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F66" i="805"/>
  <c r="AG66" i="805"/>
  <c r="AI66" i="805"/>
  <c r="AJ66" i="805"/>
  <c r="AK66" i="805"/>
  <c r="AL66" i="805"/>
  <c r="AM66" i="805"/>
  <c r="AN66" i="805"/>
  <c r="AR66" i="805"/>
  <c r="AS66" i="805"/>
  <c r="AU66" i="805" a="1"/>
  <c r="AQ66" i="805" s="1"/>
  <c r="AP66" i="805" s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F67" i="805"/>
  <c r="AG67" i="805"/>
  <c r="AI67" i="805"/>
  <c r="AJ67" i="805"/>
  <c r="AK67" i="805"/>
  <c r="AL67" i="805"/>
  <c r="AM67" i="805"/>
  <c r="AN67" i="805"/>
  <c r="AR67" i="805"/>
  <c r="AS67" i="805"/>
  <c r="AU67" i="805" a="1"/>
  <c r="AQ67" i="805" s="1"/>
  <c r="AP67" i="805" s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F68" i="805"/>
  <c r="AG68" i="805"/>
  <c r="AI68" i="805"/>
  <c r="AJ68" i="805"/>
  <c r="AK68" i="805"/>
  <c r="AL68" i="805"/>
  <c r="AM68" i="805"/>
  <c r="AN68" i="805"/>
  <c r="AR68" i="805"/>
  <c r="AS68" i="805"/>
  <c r="AU68" i="805" a="1"/>
  <c r="AQ68" i="805" s="1"/>
  <c r="AP68" i="805" s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F69" i="805"/>
  <c r="AG69" i="805"/>
  <c r="AI69" i="805"/>
  <c r="AJ69" i="805"/>
  <c r="AK69" i="805"/>
  <c r="AL69" i="805"/>
  <c r="AM69" i="805"/>
  <c r="AN69" i="805"/>
  <c r="AR69" i="805"/>
  <c r="AS69" i="805"/>
  <c r="AU69" i="805" a="1"/>
  <c r="AQ69" i="805" s="1"/>
  <c r="AP69" i="805" s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F70" i="805"/>
  <c r="AG70" i="805"/>
  <c r="AI70" i="805"/>
  <c r="AJ70" i="805"/>
  <c r="AK70" i="805"/>
  <c r="AL70" i="805"/>
  <c r="AM70" i="805"/>
  <c r="AN70" i="805"/>
  <c r="AR70" i="805"/>
  <c r="AS70" i="805"/>
  <c r="AU70" i="805" a="1"/>
  <c r="AQ70" i="805" s="1"/>
  <c r="AP70" i="805" s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F71" i="805"/>
  <c r="AG71" i="805"/>
  <c r="AI71" i="805"/>
  <c r="AJ71" i="805"/>
  <c r="AK71" i="805"/>
  <c r="AL71" i="805"/>
  <c r="AM71" i="805"/>
  <c r="AN71" i="805"/>
  <c r="AR71" i="805"/>
  <c r="AS71" i="805"/>
  <c r="AU71" i="805" a="1"/>
  <c r="AQ71" i="805" s="1"/>
  <c r="AP71" i="805" s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F72" i="805"/>
  <c r="AG72" i="805"/>
  <c r="AI72" i="805"/>
  <c r="AJ72" i="805"/>
  <c r="AK72" i="805"/>
  <c r="AL72" i="805"/>
  <c r="AM72" i="805"/>
  <c r="AN72" i="805"/>
  <c r="AR72" i="805"/>
  <c r="AS72" i="805"/>
  <c r="AU72" i="805" a="1"/>
  <c r="AQ72" i="805" s="1"/>
  <c r="AP72" i="805" s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F73" i="805"/>
  <c r="AG73" i="805"/>
  <c r="AI73" i="805"/>
  <c r="AJ73" i="805"/>
  <c r="AK73" i="805"/>
  <c r="AL73" i="805"/>
  <c r="AM73" i="805"/>
  <c r="AN73" i="805"/>
  <c r="AR73" i="805"/>
  <c r="AS73" i="805"/>
  <c r="AU73" i="805" a="1"/>
  <c r="AQ73" i="805" s="1"/>
  <c r="AP73" i="805" s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F74" i="805"/>
  <c r="AG74" i="805"/>
  <c r="AI74" i="805"/>
  <c r="AJ74" i="805"/>
  <c r="AK74" i="805"/>
  <c r="AL74" i="805"/>
  <c r="AM74" i="805"/>
  <c r="AN74" i="805"/>
  <c r="AR74" i="805"/>
  <c r="AS74" i="805"/>
  <c r="AU74" i="805" a="1"/>
  <c r="AQ74" i="805" s="1"/>
  <c r="AP74" i="805" s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F75" i="805"/>
  <c r="AG75" i="805"/>
  <c r="AI75" i="805"/>
  <c r="AJ75" i="805"/>
  <c r="AK75" i="805"/>
  <c r="AL75" i="805"/>
  <c r="AM75" i="805"/>
  <c r="AN75" i="805"/>
  <c r="AR75" i="805"/>
  <c r="AS75" i="805"/>
  <c r="AU75" i="805" a="1"/>
  <c r="AQ75" i="805" s="1"/>
  <c r="AP75" i="805" s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F76" i="805"/>
  <c r="AG76" i="805"/>
  <c r="AI76" i="805"/>
  <c r="AJ76" i="805"/>
  <c r="AK76" i="805"/>
  <c r="AL76" i="805"/>
  <c r="AM76" i="805"/>
  <c r="AN76" i="805"/>
  <c r="AR76" i="805"/>
  <c r="AS76" i="805"/>
  <c r="AU76" i="805" a="1"/>
  <c r="AQ76" i="805" s="1"/>
  <c r="AP76" i="805" s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F77" i="805"/>
  <c r="AG77" i="805"/>
  <c r="AI77" i="805"/>
  <c r="AJ77" i="805"/>
  <c r="AK77" i="805"/>
  <c r="AL77" i="805"/>
  <c r="AM77" i="805"/>
  <c r="AN77" i="805"/>
  <c r="AO77" i="805" s="1"/>
  <c r="AR77" i="805"/>
  <c r="AS77" i="805"/>
  <c r="AT77" i="805"/>
  <c r="AU77" i="805" a="1"/>
  <c r="AQ77" i="805" s="1"/>
  <c r="AP77" i="805" s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F78" i="805"/>
  <c r="AG78" i="805"/>
  <c r="AI78" i="805"/>
  <c r="AJ78" i="805"/>
  <c r="AK78" i="805"/>
  <c r="AL78" i="805"/>
  <c r="AM78" i="805"/>
  <c r="AN78" i="805"/>
  <c r="AR78" i="805"/>
  <c r="AS78" i="805"/>
  <c r="AU78" i="805" a="1"/>
  <c r="AQ78" i="805" s="1"/>
  <c r="AP78" i="805" s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F79" i="805"/>
  <c r="AG79" i="805"/>
  <c r="AI79" i="805"/>
  <c r="AJ79" i="805"/>
  <c r="AK79" i="805"/>
  <c r="AL79" i="805"/>
  <c r="AM79" i="805"/>
  <c r="AN79" i="805"/>
  <c r="AR79" i="805"/>
  <c r="AS79" i="805"/>
  <c r="AU79" i="805" a="1"/>
  <c r="AQ79" i="805" s="1"/>
  <c r="AP79" i="805" s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F80" i="805"/>
  <c r="AG80" i="805"/>
  <c r="AI80" i="805"/>
  <c r="AJ80" i="805"/>
  <c r="AK80" i="805"/>
  <c r="AL80" i="805"/>
  <c r="AM80" i="805"/>
  <c r="AN80" i="805"/>
  <c r="AR80" i="805"/>
  <c r="AS80" i="805"/>
  <c r="AU80" i="805" a="1"/>
  <c r="AQ80" i="805" s="1"/>
  <c r="AP80" i="805" s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F81" i="805"/>
  <c r="AG81" i="805"/>
  <c r="AI81" i="805"/>
  <c r="AJ81" i="805"/>
  <c r="AK81" i="805"/>
  <c r="AL81" i="805"/>
  <c r="AM81" i="805"/>
  <c r="AN81" i="805"/>
  <c r="AR81" i="805"/>
  <c r="AS81" i="805"/>
  <c r="AU81" i="805" a="1"/>
  <c r="AQ81" i="805" s="1"/>
  <c r="AP81" i="805" s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F82" i="805"/>
  <c r="AG82" i="805"/>
  <c r="AI82" i="805"/>
  <c r="AJ82" i="805"/>
  <c r="AK82" i="805"/>
  <c r="AL82" i="805"/>
  <c r="AM82" i="805"/>
  <c r="AN82" i="805"/>
  <c r="AR82" i="805"/>
  <c r="AS82" i="805"/>
  <c r="AU82" i="805" a="1"/>
  <c r="AQ82" i="805" s="1"/>
  <c r="AP82" i="805" s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F83" i="805"/>
  <c r="AG83" i="805"/>
  <c r="AI83" i="805"/>
  <c r="AJ83" i="805"/>
  <c r="AK83" i="805"/>
  <c r="AL83" i="805"/>
  <c r="AM83" i="805"/>
  <c r="AN83" i="805"/>
  <c r="AR83" i="805"/>
  <c r="AS83" i="805"/>
  <c r="AU83" i="805" a="1"/>
  <c r="AQ83" i="805" s="1"/>
  <c r="AP83" i="805" s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F84" i="805"/>
  <c r="AG84" i="805"/>
  <c r="AI84" i="805"/>
  <c r="AJ84" i="805"/>
  <c r="AK84" i="805"/>
  <c r="AL84" i="805"/>
  <c r="AM84" i="805"/>
  <c r="AN84" i="805"/>
  <c r="AR84" i="805"/>
  <c r="AS84" i="805"/>
  <c r="AU84" i="805" a="1"/>
  <c r="AQ84" i="805" s="1"/>
  <c r="AP84" i="805" s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F85" i="805"/>
  <c r="AG85" i="805"/>
  <c r="AI85" i="805"/>
  <c r="AJ85" i="805"/>
  <c r="AK85" i="805"/>
  <c r="AL85" i="805"/>
  <c r="AM85" i="805"/>
  <c r="AN85" i="805"/>
  <c r="AR85" i="805"/>
  <c r="AS85" i="805"/>
  <c r="AU85" i="805" a="1"/>
  <c r="AQ85" i="805" s="1"/>
  <c r="AP85" i="805" s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F86" i="805"/>
  <c r="AG86" i="805"/>
  <c r="AI86" i="805"/>
  <c r="AJ86" i="805"/>
  <c r="AK86" i="805"/>
  <c r="AL86" i="805"/>
  <c r="AM86" i="805"/>
  <c r="AN86" i="805"/>
  <c r="AR86" i="805"/>
  <c r="AS86" i="805"/>
  <c r="AU86" i="805" a="1"/>
  <c r="AQ86" i="805" s="1"/>
  <c r="AP86" i="805" s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F87" i="805"/>
  <c r="AG87" i="805"/>
  <c r="AI87" i="805"/>
  <c r="AJ87" i="805"/>
  <c r="AK87" i="805"/>
  <c r="AL87" i="805"/>
  <c r="AM87" i="805"/>
  <c r="AN87" i="805"/>
  <c r="AR87" i="805"/>
  <c r="AS87" i="805"/>
  <c r="AU87" i="805" a="1"/>
  <c r="AQ87" i="805" s="1"/>
  <c r="AP87" i="805" s="1"/>
  <c r="AV87" i="805"/>
  <c r="AW87" i="805"/>
  <c r="AX87" i="805"/>
  <c r="AY87" i="805"/>
  <c r="AZ87" i="805"/>
  <c r="BA87" i="805"/>
  <c r="BB87" i="805"/>
  <c r="J4" i="825"/>
  <c r="F8" i="825"/>
  <c r="F9" i="825"/>
  <c r="C5" i="848"/>
  <c r="C4" i="848"/>
  <c r="N9" i="834" a="1"/>
  <c r="Q18" i="824"/>
  <c r="Q19" i="824"/>
  <c r="Q20" i="824"/>
  <c r="Q21" i="824"/>
  <c r="Q22" i="824"/>
  <c r="Q23" i="824"/>
  <c r="Q24" i="824"/>
  <c r="Q25" i="824"/>
  <c r="Q26" i="824"/>
  <c r="Q27" i="824"/>
  <c r="Q28" i="824"/>
  <c r="Q29" i="824"/>
  <c r="Q30" i="824"/>
  <c r="Q31" i="824"/>
  <c r="Q32" i="824"/>
  <c r="Q33" i="824"/>
  <c r="Q34" i="824"/>
  <c r="Q35" i="824"/>
  <c r="Q36" i="824"/>
  <c r="Q37" i="824"/>
  <c r="Q38" i="824"/>
  <c r="Q39" i="824"/>
  <c r="Q40" i="824"/>
  <c r="Q41" i="824"/>
  <c r="Q42" i="824"/>
  <c r="Q43" i="824"/>
  <c r="Q44" i="824"/>
  <c r="Q45" i="824"/>
  <c r="Q46" i="824"/>
  <c r="Q47" i="824"/>
  <c r="Q48" i="824"/>
  <c r="Q49" i="824"/>
  <c r="Q50" i="824"/>
  <c r="Q51" i="824"/>
  <c r="Q52" i="824"/>
  <c r="Q53" i="824"/>
  <c r="Q54" i="824"/>
  <c r="Q55" i="824"/>
  <c r="Q56" i="824"/>
  <c r="Q57" i="824"/>
  <c r="Q58" i="824"/>
  <c r="Q59" i="824"/>
  <c r="Q60" i="824"/>
  <c r="Q61" i="824"/>
  <c r="Q62" i="824"/>
  <c r="Q63" i="824"/>
  <c r="Q64" i="824"/>
  <c r="Q65" i="824"/>
  <c r="Q66" i="824"/>
  <c r="Q67" i="824"/>
  <c r="Q68" i="824"/>
  <c r="Q69" i="824"/>
  <c r="Q70" i="824"/>
  <c r="Q71" i="824"/>
  <c r="Q72" i="824"/>
  <c r="Q73" i="824"/>
  <c r="Q74" i="824"/>
  <c r="Q75" i="824"/>
  <c r="Q76" i="824"/>
  <c r="Q77" i="824"/>
  <c r="Q78" i="824"/>
  <c r="Q79" i="824"/>
  <c r="Q80" i="824"/>
  <c r="Q81" i="824"/>
  <c r="Q82" i="824"/>
  <c r="Q83" i="824"/>
  <c r="Q84" i="824"/>
  <c r="Q85" i="824"/>
  <c r="Q86" i="824"/>
  <c r="Q87" i="824"/>
  <c r="AA9" i="824"/>
  <c r="AB9" i="824"/>
  <c r="AC9" i="824"/>
  <c r="AA10" i="824"/>
  <c r="AB10" i="824"/>
  <c r="AC10" i="824"/>
  <c r="AA11" i="824"/>
  <c r="AB11" i="824"/>
  <c r="AC11" i="824"/>
  <c r="AA12" i="824"/>
  <c r="AB12" i="824"/>
  <c r="AC12" i="824"/>
  <c r="AA13" i="824"/>
  <c r="AB13" i="824"/>
  <c r="AC13" i="824"/>
  <c r="AA14" i="824"/>
  <c r="AB14" i="824"/>
  <c r="AC14" i="824"/>
  <c r="AA15" i="824"/>
  <c r="AB15" i="824"/>
  <c r="AC15" i="824"/>
  <c r="AA16" i="824"/>
  <c r="AB16" i="824"/>
  <c r="AC16" i="824"/>
  <c r="AA17" i="824"/>
  <c r="AB17" i="824"/>
  <c r="AC17" i="824"/>
  <c r="V18" i="824" a="1"/>
  <c r="X18" i="824"/>
  <c r="Y18" i="824"/>
  <c r="AA18" i="824"/>
  <c r="AB18" i="824"/>
  <c r="AC18" i="824"/>
  <c r="AD18" i="824"/>
  <c r="AE18" i="824"/>
  <c r="AJ18" i="824" s="1"/>
  <c r="AF18" i="824" s="1"/>
  <c r="AI18" i="824"/>
  <c r="AK18" i="824" a="1"/>
  <c r="AH18" i="824" s="1"/>
  <c r="AG18" i="824" s="1"/>
  <c r="AL18" i="824"/>
  <c r="AM18" i="824"/>
  <c r="AN18" i="824"/>
  <c r="AO18" i="824"/>
  <c r="V19" i="824" a="1"/>
  <c r="X19" i="824"/>
  <c r="Y19" i="824"/>
  <c r="AA19" i="824"/>
  <c r="AB19" i="824"/>
  <c r="AC19" i="824"/>
  <c r="AD19" i="824"/>
  <c r="AE19" i="824"/>
  <c r="AJ19" i="824" s="1"/>
  <c r="AI19" i="824"/>
  <c r="AK19" i="824" a="1"/>
  <c r="AH19" i="824" s="1"/>
  <c r="AG19" i="824" s="1"/>
  <c r="AL19" i="824"/>
  <c r="AM19" i="824"/>
  <c r="AN19" i="824"/>
  <c r="AO19" i="824"/>
  <c r="V20" i="824" a="1"/>
  <c r="X20" i="824"/>
  <c r="Y20" i="824"/>
  <c r="AA20" i="824"/>
  <c r="AB20" i="824"/>
  <c r="AC20" i="824"/>
  <c r="AD20" i="824"/>
  <c r="AE20" i="824"/>
  <c r="AJ20" i="824" s="1"/>
  <c r="AI20" i="824"/>
  <c r="AK20" i="824" a="1"/>
  <c r="AH20" i="824" s="1"/>
  <c r="AG20" i="824" s="1"/>
  <c r="AL20" i="824"/>
  <c r="AM20" i="824"/>
  <c r="AN20" i="824"/>
  <c r="AO20" i="824"/>
  <c r="V21" i="824" a="1"/>
  <c r="X21" i="824"/>
  <c r="Y21" i="824"/>
  <c r="AA21" i="824"/>
  <c r="AB21" i="824"/>
  <c r="AC21" i="824"/>
  <c r="AD21" i="824"/>
  <c r="AE21" i="824"/>
  <c r="AJ21" i="824" s="1"/>
  <c r="AF21" i="824" s="1"/>
  <c r="AI21" i="824"/>
  <c r="AK21" i="824" a="1"/>
  <c r="AH21" i="824" s="1"/>
  <c r="AG21" i="824" s="1"/>
  <c r="AL21" i="824"/>
  <c r="AM21" i="824"/>
  <c r="AN21" i="824"/>
  <c r="AO21" i="824"/>
  <c r="V22" i="824" a="1"/>
  <c r="X22" i="824"/>
  <c r="Y22" i="824"/>
  <c r="AA22" i="824"/>
  <c r="AB22" i="824"/>
  <c r="AC22" i="824"/>
  <c r="AD22" i="824"/>
  <c r="AE22" i="824"/>
  <c r="AJ22" i="824" s="1"/>
  <c r="AI22" i="824"/>
  <c r="AK22" i="824" a="1"/>
  <c r="AH22" i="824" s="1"/>
  <c r="AG22" i="824" s="1"/>
  <c r="AL22" i="824"/>
  <c r="AM22" i="824"/>
  <c r="AN22" i="824"/>
  <c r="AO22" i="824"/>
  <c r="V23" i="824" a="1"/>
  <c r="X23" i="824"/>
  <c r="Y23" i="824"/>
  <c r="AA23" i="824"/>
  <c r="AB23" i="824"/>
  <c r="AC23" i="824"/>
  <c r="AD23" i="824"/>
  <c r="AE23" i="824"/>
  <c r="AJ23" i="824" s="1"/>
  <c r="AI23" i="824"/>
  <c r="AK23" i="824" a="1"/>
  <c r="AH23" i="824" s="1"/>
  <c r="AG23" i="824" s="1"/>
  <c r="AL23" i="824"/>
  <c r="AM23" i="824"/>
  <c r="AN23" i="824"/>
  <c r="AO23" i="824"/>
  <c r="V24" i="824" a="1"/>
  <c r="X24" i="824"/>
  <c r="Y24" i="824"/>
  <c r="AA24" i="824"/>
  <c r="AB24" i="824"/>
  <c r="AC24" i="824"/>
  <c r="AD24" i="824"/>
  <c r="AE24" i="824"/>
  <c r="AJ24" i="824" s="1"/>
  <c r="AF24" i="824" s="1"/>
  <c r="AI24" i="824"/>
  <c r="AK24" i="824" a="1"/>
  <c r="AH24" i="824" s="1"/>
  <c r="AG24" i="824" s="1"/>
  <c r="AL24" i="824"/>
  <c r="AM24" i="824"/>
  <c r="AN24" i="824"/>
  <c r="AO24" i="824"/>
  <c r="V25" i="824" a="1"/>
  <c r="X25" i="824"/>
  <c r="Y25" i="824"/>
  <c r="AA25" i="824"/>
  <c r="AB25" i="824"/>
  <c r="AC25" i="824"/>
  <c r="AD25" i="824"/>
  <c r="AE25" i="824"/>
  <c r="AJ25" i="824" s="1"/>
  <c r="AF25" i="824" s="1"/>
  <c r="AI25" i="824"/>
  <c r="AK25" i="824" a="1"/>
  <c r="AH25" i="824" s="1"/>
  <c r="AG25" i="824" s="1"/>
  <c r="AL25" i="824"/>
  <c r="AM25" i="824"/>
  <c r="AN25" i="824"/>
  <c r="AO25" i="824"/>
  <c r="V26" i="824" a="1"/>
  <c r="X26" i="824"/>
  <c r="Y26" i="824"/>
  <c r="AA26" i="824"/>
  <c r="AB26" i="824"/>
  <c r="AC26" i="824"/>
  <c r="AD26" i="824"/>
  <c r="AE26" i="824"/>
  <c r="AJ26" i="824" s="1"/>
  <c r="AF26" i="824" s="1"/>
  <c r="AI26" i="824"/>
  <c r="AK26" i="824" a="1"/>
  <c r="AH26" i="824" s="1"/>
  <c r="AG26" i="824" s="1"/>
  <c r="AL26" i="824"/>
  <c r="AM26" i="824"/>
  <c r="AN26" i="824"/>
  <c r="AO26" i="824"/>
  <c r="V27" i="824" a="1"/>
  <c r="X27" i="824"/>
  <c r="Y27" i="824"/>
  <c r="AA27" i="824"/>
  <c r="AB27" i="824"/>
  <c r="AC27" i="824"/>
  <c r="AD27" i="824"/>
  <c r="AE27" i="824"/>
  <c r="AJ27" i="824" s="1"/>
  <c r="AF27" i="824" s="1"/>
  <c r="AI27" i="824"/>
  <c r="AK27" i="824" a="1"/>
  <c r="AH27" i="824" s="1"/>
  <c r="AG27" i="824" s="1"/>
  <c r="AL27" i="824"/>
  <c r="AM27" i="824"/>
  <c r="AN27" i="824"/>
  <c r="AO27" i="824"/>
  <c r="V28" i="824" a="1"/>
  <c r="X28" i="824"/>
  <c r="Y28" i="824"/>
  <c r="AA28" i="824"/>
  <c r="AB28" i="824"/>
  <c r="AC28" i="824"/>
  <c r="AD28" i="824"/>
  <c r="AE28" i="824"/>
  <c r="AJ28" i="824" s="1"/>
  <c r="AF28" i="824" s="1"/>
  <c r="AI28" i="824"/>
  <c r="AK28" i="824" a="1"/>
  <c r="AH28" i="824" s="1"/>
  <c r="AG28" i="824" s="1"/>
  <c r="AL28" i="824"/>
  <c r="AM28" i="824"/>
  <c r="AN28" i="824"/>
  <c r="AO28" i="824"/>
  <c r="V29" i="824" a="1"/>
  <c r="X29" i="824"/>
  <c r="Y29" i="824"/>
  <c r="AA29" i="824"/>
  <c r="AB29" i="824"/>
  <c r="AC29" i="824"/>
  <c r="AD29" i="824"/>
  <c r="AE29" i="824"/>
  <c r="AJ29" i="824" s="1"/>
  <c r="AF29" i="824" s="1"/>
  <c r="AI29" i="824"/>
  <c r="AK29" i="824" a="1"/>
  <c r="AH29" i="824" s="1"/>
  <c r="AG29" i="824" s="1"/>
  <c r="AL29" i="824"/>
  <c r="AM29" i="824"/>
  <c r="AN29" i="824"/>
  <c r="AO29" i="824"/>
  <c r="V30" i="824" a="1"/>
  <c r="X30" i="824"/>
  <c r="Y30" i="824"/>
  <c r="AA30" i="824"/>
  <c r="AB30" i="824"/>
  <c r="AC30" i="824"/>
  <c r="AD30" i="824"/>
  <c r="AE30" i="824"/>
  <c r="AJ30" i="824" s="1"/>
  <c r="AF30" i="824" s="1"/>
  <c r="AI30" i="824"/>
  <c r="AK30" i="824" a="1"/>
  <c r="AH30" i="824" s="1"/>
  <c r="AG30" i="824" s="1"/>
  <c r="AL30" i="824"/>
  <c r="AM30" i="824"/>
  <c r="AN30" i="824"/>
  <c r="AO30" i="824"/>
  <c r="V31" i="824" a="1"/>
  <c r="X31" i="824"/>
  <c r="Y31" i="824"/>
  <c r="AA31" i="824"/>
  <c r="AB31" i="824"/>
  <c r="AC31" i="824"/>
  <c r="AD31" i="824"/>
  <c r="AE31" i="824"/>
  <c r="AJ31" i="824" s="1"/>
  <c r="AF31" i="824" s="1"/>
  <c r="AI31" i="824"/>
  <c r="AK31" i="824" a="1"/>
  <c r="AH31" i="824" s="1"/>
  <c r="AG31" i="824" s="1"/>
  <c r="AL31" i="824"/>
  <c r="AM31" i="824"/>
  <c r="AN31" i="824"/>
  <c r="AO31" i="824"/>
  <c r="V32" i="824" a="1"/>
  <c r="X32" i="824"/>
  <c r="Y32" i="824"/>
  <c r="AA32" i="824"/>
  <c r="AB32" i="824"/>
  <c r="AC32" i="824"/>
  <c r="AD32" i="824"/>
  <c r="AE32" i="824"/>
  <c r="AJ32" i="824" s="1"/>
  <c r="AI32" i="824"/>
  <c r="AK32" i="824" a="1"/>
  <c r="AH32" i="824" s="1"/>
  <c r="AG32" i="824" s="1"/>
  <c r="AL32" i="824"/>
  <c r="AM32" i="824"/>
  <c r="AN32" i="824"/>
  <c r="AO32" i="824"/>
  <c r="V33" i="824" a="1"/>
  <c r="X33" i="824"/>
  <c r="Y33" i="824"/>
  <c r="AA33" i="824"/>
  <c r="AB33" i="824"/>
  <c r="AC33" i="824"/>
  <c r="AD33" i="824"/>
  <c r="AE33" i="824"/>
  <c r="AJ33" i="824" s="1"/>
  <c r="AI33" i="824"/>
  <c r="AK33" i="824" a="1"/>
  <c r="AH33" i="824" s="1"/>
  <c r="AG33" i="824" s="1"/>
  <c r="AL33" i="824"/>
  <c r="AM33" i="824"/>
  <c r="AN33" i="824"/>
  <c r="AO33" i="824"/>
  <c r="V34" i="824" a="1"/>
  <c r="X34" i="824"/>
  <c r="Y34" i="824"/>
  <c r="AA34" i="824"/>
  <c r="AB34" i="824"/>
  <c r="AC34" i="824"/>
  <c r="AD34" i="824"/>
  <c r="AE34" i="824"/>
  <c r="AJ34" i="824" s="1"/>
  <c r="AI34" i="824"/>
  <c r="AK34" i="824" a="1"/>
  <c r="AH34" i="824" s="1"/>
  <c r="AG34" i="824" s="1"/>
  <c r="AL34" i="824"/>
  <c r="AM34" i="824"/>
  <c r="AN34" i="824"/>
  <c r="AO34" i="824"/>
  <c r="V35" i="824" a="1"/>
  <c r="X35" i="824"/>
  <c r="Y35" i="824"/>
  <c r="AA35" i="824"/>
  <c r="AB35" i="824"/>
  <c r="AC35" i="824"/>
  <c r="AD35" i="824"/>
  <c r="AE35" i="824"/>
  <c r="AJ35" i="824" s="1"/>
  <c r="AF35" i="824" s="1"/>
  <c r="AI35" i="824"/>
  <c r="AK35" i="824" a="1"/>
  <c r="AH35" i="824" s="1"/>
  <c r="AG35" i="824" s="1"/>
  <c r="AL35" i="824"/>
  <c r="AM35" i="824"/>
  <c r="AN35" i="824"/>
  <c r="AO35" i="824"/>
  <c r="V36" i="824" a="1"/>
  <c r="X36" i="824"/>
  <c r="Y36" i="824"/>
  <c r="AA36" i="824"/>
  <c r="AB36" i="824"/>
  <c r="AC36" i="824"/>
  <c r="AD36" i="824"/>
  <c r="AE36" i="824"/>
  <c r="AJ36" i="824" s="1"/>
  <c r="AF36" i="824" s="1"/>
  <c r="AI36" i="824"/>
  <c r="AK36" i="824" a="1"/>
  <c r="AH36" i="824" s="1"/>
  <c r="AG36" i="824" s="1"/>
  <c r="AL36" i="824"/>
  <c r="AM36" i="824"/>
  <c r="AN36" i="824"/>
  <c r="AO36" i="824"/>
  <c r="V37" i="824" a="1"/>
  <c r="X37" i="824"/>
  <c r="Y37" i="824"/>
  <c r="AA37" i="824"/>
  <c r="AB37" i="824"/>
  <c r="AC37" i="824"/>
  <c r="AD37" i="824"/>
  <c r="AE37" i="824"/>
  <c r="AJ37" i="824" s="1"/>
  <c r="AF37" i="824" s="1"/>
  <c r="AI37" i="824"/>
  <c r="AK37" i="824" a="1"/>
  <c r="AH37" i="824" s="1"/>
  <c r="AG37" i="824" s="1"/>
  <c r="AL37" i="824"/>
  <c r="AM37" i="824"/>
  <c r="AN37" i="824"/>
  <c r="AO37" i="824"/>
  <c r="V38" i="824" a="1"/>
  <c r="X38" i="824"/>
  <c r="Y38" i="824"/>
  <c r="AA38" i="824"/>
  <c r="AB38" i="824"/>
  <c r="AC38" i="824"/>
  <c r="AD38" i="824"/>
  <c r="AE38" i="824"/>
  <c r="AJ38" i="824" s="1"/>
  <c r="AI38" i="824"/>
  <c r="AK38" i="824" a="1"/>
  <c r="AH38" i="824" s="1"/>
  <c r="AG38" i="824" s="1"/>
  <c r="AL38" i="824"/>
  <c r="AM38" i="824"/>
  <c r="AN38" i="824"/>
  <c r="AO38" i="824"/>
  <c r="V39" i="824" a="1"/>
  <c r="X39" i="824"/>
  <c r="Y39" i="824"/>
  <c r="AA39" i="824"/>
  <c r="AB39" i="824"/>
  <c r="AC39" i="824"/>
  <c r="AD39" i="824"/>
  <c r="AE39" i="824"/>
  <c r="AJ39" i="824" s="1"/>
  <c r="AF39" i="824" s="1"/>
  <c r="AI39" i="824"/>
  <c r="AK39" i="824" a="1"/>
  <c r="AH39" i="824" s="1"/>
  <c r="AG39" i="824" s="1"/>
  <c r="AL39" i="824"/>
  <c r="AM39" i="824"/>
  <c r="AN39" i="824"/>
  <c r="AO39" i="824"/>
  <c r="V40" i="824" a="1"/>
  <c r="X40" i="824"/>
  <c r="Y40" i="824"/>
  <c r="AA40" i="824"/>
  <c r="AB40" i="824"/>
  <c r="AC40" i="824"/>
  <c r="AD40" i="824"/>
  <c r="AE40" i="824"/>
  <c r="AJ40" i="824" s="1"/>
  <c r="AI40" i="824"/>
  <c r="AK40" i="824" a="1"/>
  <c r="AH40" i="824" s="1"/>
  <c r="AG40" i="824" s="1"/>
  <c r="AL40" i="824"/>
  <c r="AM40" i="824"/>
  <c r="AN40" i="824"/>
  <c r="AO40" i="824"/>
  <c r="V41" i="824" a="1"/>
  <c r="X41" i="824"/>
  <c r="Y41" i="824"/>
  <c r="AA41" i="824"/>
  <c r="AB41" i="824"/>
  <c r="AC41" i="824"/>
  <c r="AD41" i="824"/>
  <c r="AE41" i="824"/>
  <c r="AJ41" i="824" s="1"/>
  <c r="AI41" i="824"/>
  <c r="AK41" i="824" a="1"/>
  <c r="AH41" i="824" s="1"/>
  <c r="AG41" i="824" s="1"/>
  <c r="AL41" i="824"/>
  <c r="AM41" i="824"/>
  <c r="AN41" i="824"/>
  <c r="AO41" i="824"/>
  <c r="V42" i="824" a="1"/>
  <c r="X42" i="824"/>
  <c r="Y42" i="824"/>
  <c r="AA42" i="824"/>
  <c r="AB42" i="824"/>
  <c r="AC42" i="824"/>
  <c r="AD42" i="824"/>
  <c r="AE42" i="824"/>
  <c r="AJ42" i="824" s="1"/>
  <c r="AF42" i="824" s="1"/>
  <c r="AI42" i="824"/>
  <c r="AK42" i="824" a="1"/>
  <c r="AH42" i="824" s="1"/>
  <c r="AG42" i="824" s="1"/>
  <c r="AL42" i="824"/>
  <c r="AM42" i="824"/>
  <c r="AN42" i="824"/>
  <c r="AO42" i="824"/>
  <c r="V43" i="824" a="1"/>
  <c r="X43" i="824"/>
  <c r="Y43" i="824"/>
  <c r="AA43" i="824"/>
  <c r="AB43" i="824"/>
  <c r="AC43" i="824"/>
  <c r="AD43" i="824"/>
  <c r="AE43" i="824"/>
  <c r="AJ43" i="824" s="1"/>
  <c r="AI43" i="824"/>
  <c r="AK43" i="824" a="1"/>
  <c r="AH43" i="824" s="1"/>
  <c r="AG43" i="824" s="1"/>
  <c r="AL43" i="824"/>
  <c r="AM43" i="824"/>
  <c r="AN43" i="824"/>
  <c r="AO43" i="824"/>
  <c r="V44" i="824" a="1"/>
  <c r="X44" i="824"/>
  <c r="Y44" i="824"/>
  <c r="AA44" i="824"/>
  <c r="AB44" i="824"/>
  <c r="AC44" i="824"/>
  <c r="AD44" i="824"/>
  <c r="AE44" i="824"/>
  <c r="AJ44" i="824" s="1"/>
  <c r="AI44" i="824"/>
  <c r="AK44" i="824" a="1"/>
  <c r="AH44" i="824" s="1"/>
  <c r="AG44" i="824" s="1"/>
  <c r="AL44" i="824"/>
  <c r="AM44" i="824"/>
  <c r="AN44" i="824"/>
  <c r="AO44" i="824"/>
  <c r="V45" i="824" a="1"/>
  <c r="X45" i="824"/>
  <c r="Y45" i="824"/>
  <c r="AA45" i="824"/>
  <c r="AB45" i="824"/>
  <c r="AC45" i="824"/>
  <c r="AD45" i="824"/>
  <c r="AE45" i="824"/>
  <c r="AJ45" i="824" s="1"/>
  <c r="AF45" i="824" s="1"/>
  <c r="AI45" i="824"/>
  <c r="AK45" i="824" a="1"/>
  <c r="AH45" i="824" s="1"/>
  <c r="AG45" i="824" s="1"/>
  <c r="AL45" i="824"/>
  <c r="AM45" i="824"/>
  <c r="AN45" i="824"/>
  <c r="AO45" i="824"/>
  <c r="V46" i="824" a="1"/>
  <c r="X46" i="824"/>
  <c r="Y46" i="824"/>
  <c r="AA46" i="824"/>
  <c r="AB46" i="824"/>
  <c r="AC46" i="824"/>
  <c r="AD46" i="824"/>
  <c r="AE46" i="824"/>
  <c r="AJ46" i="824" s="1"/>
  <c r="AI46" i="824"/>
  <c r="AK46" i="824" a="1"/>
  <c r="AH46" i="824" s="1"/>
  <c r="AG46" i="824" s="1"/>
  <c r="AL46" i="824"/>
  <c r="AM46" i="824"/>
  <c r="AN46" i="824"/>
  <c r="AO46" i="824"/>
  <c r="V47" i="824" a="1"/>
  <c r="X47" i="824"/>
  <c r="Y47" i="824"/>
  <c r="AA47" i="824"/>
  <c r="AB47" i="824"/>
  <c r="AC47" i="824"/>
  <c r="AD47" i="824"/>
  <c r="AE47" i="824"/>
  <c r="AJ47" i="824" s="1"/>
  <c r="AF47" i="824" s="1"/>
  <c r="AI47" i="824"/>
  <c r="AK47" i="824" a="1"/>
  <c r="AH47" i="824" s="1"/>
  <c r="AG47" i="824" s="1"/>
  <c r="AL47" i="824"/>
  <c r="AM47" i="824"/>
  <c r="AN47" i="824"/>
  <c r="AO47" i="824"/>
  <c r="V48" i="824" a="1"/>
  <c r="X48" i="824"/>
  <c r="Y48" i="824"/>
  <c r="AA48" i="824"/>
  <c r="AB48" i="824"/>
  <c r="AC48" i="824"/>
  <c r="AD48" i="824"/>
  <c r="AE48" i="824"/>
  <c r="AJ48" i="824" s="1"/>
  <c r="AF48" i="824" s="1"/>
  <c r="AI48" i="824"/>
  <c r="AK48" i="824" a="1"/>
  <c r="AH48" i="824" s="1"/>
  <c r="AG48" i="824" s="1"/>
  <c r="AL48" i="824"/>
  <c r="AM48" i="824"/>
  <c r="AN48" i="824"/>
  <c r="AO48" i="824"/>
  <c r="V49" i="824" a="1"/>
  <c r="X49" i="824"/>
  <c r="Y49" i="824"/>
  <c r="AA49" i="824"/>
  <c r="AB49" i="824"/>
  <c r="AC49" i="824"/>
  <c r="AD49" i="824"/>
  <c r="AE49" i="824"/>
  <c r="AJ49" i="824" s="1"/>
  <c r="AI49" i="824"/>
  <c r="AK49" i="824" a="1"/>
  <c r="AH49" i="824" s="1"/>
  <c r="AG49" i="824" s="1"/>
  <c r="AL49" i="824"/>
  <c r="AM49" i="824"/>
  <c r="AN49" i="824"/>
  <c r="AO49" i="824"/>
  <c r="V50" i="824" a="1"/>
  <c r="X50" i="824"/>
  <c r="Y50" i="824"/>
  <c r="AA50" i="824"/>
  <c r="AB50" i="824"/>
  <c r="AC50" i="824"/>
  <c r="AD50" i="824"/>
  <c r="AE50" i="824"/>
  <c r="AJ50" i="824" s="1"/>
  <c r="AI50" i="824"/>
  <c r="AK50" i="824" a="1"/>
  <c r="AH50" i="824" s="1"/>
  <c r="AG50" i="824" s="1"/>
  <c r="AL50" i="824"/>
  <c r="AM50" i="824"/>
  <c r="AN50" i="824"/>
  <c r="AO50" i="824"/>
  <c r="V51" i="824" a="1"/>
  <c r="X51" i="824"/>
  <c r="Y51" i="824"/>
  <c r="AA51" i="824"/>
  <c r="AB51" i="824"/>
  <c r="AC51" i="824"/>
  <c r="AD51" i="824"/>
  <c r="AE51" i="824"/>
  <c r="AJ51" i="824" s="1"/>
  <c r="AI51" i="824"/>
  <c r="AK51" i="824" a="1"/>
  <c r="AH51" i="824" s="1"/>
  <c r="AG51" i="824" s="1"/>
  <c r="AL51" i="824"/>
  <c r="AM51" i="824"/>
  <c r="AN51" i="824"/>
  <c r="AO51" i="824"/>
  <c r="V52" i="824" a="1"/>
  <c r="X52" i="824"/>
  <c r="Y52" i="824"/>
  <c r="AA52" i="824"/>
  <c r="AB52" i="824"/>
  <c r="AC52" i="824"/>
  <c r="AD52" i="824"/>
  <c r="AE52" i="824"/>
  <c r="AJ52" i="824" s="1"/>
  <c r="AI52" i="824"/>
  <c r="AK52" i="824" a="1"/>
  <c r="AH52" i="824" s="1"/>
  <c r="AG52" i="824" s="1"/>
  <c r="AL52" i="824"/>
  <c r="AM52" i="824"/>
  <c r="AN52" i="824"/>
  <c r="AO52" i="824"/>
  <c r="V53" i="824" a="1"/>
  <c r="X53" i="824"/>
  <c r="Y53" i="824"/>
  <c r="AA53" i="824"/>
  <c r="AB53" i="824"/>
  <c r="AC53" i="824"/>
  <c r="AD53" i="824"/>
  <c r="AE53" i="824"/>
  <c r="AJ53" i="824" s="1"/>
  <c r="AF53" i="824" s="1"/>
  <c r="AI53" i="824"/>
  <c r="AK53" i="824" a="1"/>
  <c r="AH53" i="824" s="1"/>
  <c r="AG53" i="824" s="1"/>
  <c r="AL53" i="824"/>
  <c r="AM53" i="824"/>
  <c r="AN53" i="824"/>
  <c r="AO53" i="824"/>
  <c r="V54" i="824" a="1"/>
  <c r="X54" i="824"/>
  <c r="Y54" i="824"/>
  <c r="AA54" i="824"/>
  <c r="AB54" i="824"/>
  <c r="AC54" i="824"/>
  <c r="AD54" i="824"/>
  <c r="AE54" i="824"/>
  <c r="AJ54" i="824" s="1"/>
  <c r="AF54" i="824" s="1"/>
  <c r="AI54" i="824"/>
  <c r="AK54" i="824" a="1"/>
  <c r="AH54" i="824" s="1"/>
  <c r="AG54" i="824" s="1"/>
  <c r="AL54" i="824"/>
  <c r="AM54" i="824"/>
  <c r="AN54" i="824"/>
  <c r="AO54" i="824"/>
  <c r="V55" i="824" a="1"/>
  <c r="X55" i="824"/>
  <c r="Y55" i="824"/>
  <c r="AA55" i="824"/>
  <c r="AB55" i="824"/>
  <c r="AC55" i="824"/>
  <c r="AD55" i="824"/>
  <c r="AE55" i="824"/>
  <c r="AJ55" i="824" s="1"/>
  <c r="AI55" i="824"/>
  <c r="AK55" i="824" a="1"/>
  <c r="AH55" i="824" s="1"/>
  <c r="AG55" i="824" s="1"/>
  <c r="AL55" i="824"/>
  <c r="AM55" i="824"/>
  <c r="AN55" i="824"/>
  <c r="AO55" i="824"/>
  <c r="V56" i="824" a="1"/>
  <c r="X56" i="824"/>
  <c r="Y56" i="824"/>
  <c r="AA56" i="824"/>
  <c r="AB56" i="824"/>
  <c r="AC56" i="824"/>
  <c r="AD56" i="824"/>
  <c r="AE56" i="824"/>
  <c r="AJ56" i="824" s="1"/>
  <c r="AI56" i="824"/>
  <c r="AK56" i="824" a="1"/>
  <c r="AH56" i="824" s="1"/>
  <c r="AG56" i="824" s="1"/>
  <c r="AL56" i="824"/>
  <c r="AM56" i="824"/>
  <c r="AN56" i="824"/>
  <c r="AO56" i="824"/>
  <c r="V57" i="824" a="1"/>
  <c r="X57" i="824"/>
  <c r="Y57" i="824"/>
  <c r="AA57" i="824"/>
  <c r="AB57" i="824"/>
  <c r="AC57" i="824"/>
  <c r="AD57" i="824"/>
  <c r="AE57" i="824"/>
  <c r="AJ57" i="824" s="1"/>
  <c r="AF57" i="824" s="1"/>
  <c r="AI57" i="824"/>
  <c r="AK57" i="824" a="1"/>
  <c r="AH57" i="824" s="1"/>
  <c r="AG57" i="824" s="1"/>
  <c r="AL57" i="824"/>
  <c r="AM57" i="824"/>
  <c r="AN57" i="824"/>
  <c r="AO57" i="824"/>
  <c r="V58" i="824" a="1"/>
  <c r="X58" i="824"/>
  <c r="Y58" i="824"/>
  <c r="AA58" i="824"/>
  <c r="AB58" i="824"/>
  <c r="AC58" i="824"/>
  <c r="AD58" i="824"/>
  <c r="AE58" i="824"/>
  <c r="AI58" i="824"/>
  <c r="AK58" i="824" a="1"/>
  <c r="AH58" i="824" s="1"/>
  <c r="AG58" i="824" s="1"/>
  <c r="AL58" i="824"/>
  <c r="AM58" i="824"/>
  <c r="AN58" i="824"/>
  <c r="AO58" i="824"/>
  <c r="V59" i="824" a="1"/>
  <c r="X59" i="824"/>
  <c r="Y59" i="824"/>
  <c r="AA59" i="824"/>
  <c r="AB59" i="824"/>
  <c r="AC59" i="824"/>
  <c r="AD59" i="824"/>
  <c r="AE59" i="824"/>
  <c r="AJ59" i="824" s="1"/>
  <c r="AF59" i="824" s="1"/>
  <c r="AI59" i="824"/>
  <c r="AK59" i="824" a="1"/>
  <c r="AH59" i="824" s="1"/>
  <c r="AG59" i="824" s="1"/>
  <c r="AL59" i="824"/>
  <c r="AM59" i="824"/>
  <c r="AN59" i="824"/>
  <c r="AO59" i="824"/>
  <c r="V60" i="824" a="1"/>
  <c r="X60" i="824"/>
  <c r="Y60" i="824"/>
  <c r="AA60" i="824"/>
  <c r="AB60" i="824"/>
  <c r="AC60" i="824"/>
  <c r="AD60" i="824"/>
  <c r="AE60" i="824"/>
  <c r="AJ60" i="824" s="1"/>
  <c r="AI60" i="824"/>
  <c r="AK60" i="824" a="1"/>
  <c r="AH60" i="824" s="1"/>
  <c r="AG60" i="824" s="1"/>
  <c r="AL60" i="824"/>
  <c r="AM60" i="824"/>
  <c r="AN60" i="824"/>
  <c r="AO60" i="824"/>
  <c r="V61" i="824" a="1"/>
  <c r="X61" i="824"/>
  <c r="Y61" i="824"/>
  <c r="AA61" i="824"/>
  <c r="AB61" i="824"/>
  <c r="AC61" i="824"/>
  <c r="AD61" i="824"/>
  <c r="AE61" i="824"/>
  <c r="AJ61" i="824" s="1"/>
  <c r="AF61" i="824" s="1"/>
  <c r="AI61" i="824"/>
  <c r="AK61" i="824" a="1"/>
  <c r="AH61" i="824" s="1"/>
  <c r="AG61" i="824" s="1"/>
  <c r="AL61" i="824"/>
  <c r="AM61" i="824"/>
  <c r="AN61" i="824"/>
  <c r="AO61" i="824"/>
  <c r="V62" i="824" a="1"/>
  <c r="X62" i="824"/>
  <c r="Y62" i="824"/>
  <c r="AA62" i="824"/>
  <c r="AB62" i="824"/>
  <c r="AC62" i="824"/>
  <c r="AD62" i="824"/>
  <c r="AE62" i="824"/>
  <c r="AJ62" i="824" s="1"/>
  <c r="AI62" i="824"/>
  <c r="AK62" i="824" a="1"/>
  <c r="AH62" i="824" s="1"/>
  <c r="AG62" i="824" s="1"/>
  <c r="AL62" i="824"/>
  <c r="AM62" i="824"/>
  <c r="AN62" i="824"/>
  <c r="AO62" i="824"/>
  <c r="V63" i="824" a="1"/>
  <c r="X63" i="824"/>
  <c r="Y63" i="824"/>
  <c r="AA63" i="824"/>
  <c r="AB63" i="824"/>
  <c r="AC63" i="824"/>
  <c r="AD63" i="824"/>
  <c r="AE63" i="824"/>
  <c r="AJ63" i="824" s="1"/>
  <c r="AI63" i="824"/>
  <c r="AK63" i="824" a="1"/>
  <c r="AH63" i="824" s="1"/>
  <c r="AG63" i="824" s="1"/>
  <c r="AL63" i="824"/>
  <c r="AM63" i="824"/>
  <c r="AN63" i="824"/>
  <c r="AO63" i="824"/>
  <c r="V64" i="824" a="1"/>
  <c r="X64" i="824"/>
  <c r="Y64" i="824"/>
  <c r="AA64" i="824"/>
  <c r="AB64" i="824"/>
  <c r="AC64" i="824"/>
  <c r="AD64" i="824"/>
  <c r="AE64" i="824"/>
  <c r="AJ64" i="824" s="1"/>
  <c r="AF64" i="824" s="1"/>
  <c r="AI64" i="824"/>
  <c r="AK64" i="824" a="1"/>
  <c r="AH64" i="824" s="1"/>
  <c r="AG64" i="824" s="1"/>
  <c r="AL64" i="824"/>
  <c r="AM64" i="824"/>
  <c r="AN64" i="824"/>
  <c r="AO64" i="824"/>
  <c r="V65" i="824" a="1"/>
  <c r="X65" i="824"/>
  <c r="Y65" i="824"/>
  <c r="AA65" i="824"/>
  <c r="AB65" i="824"/>
  <c r="AC65" i="824"/>
  <c r="AD65" i="824"/>
  <c r="AE65" i="824"/>
  <c r="AJ65" i="824" s="1"/>
  <c r="AI65" i="824"/>
  <c r="AK65" i="824" a="1"/>
  <c r="AH65" i="824" s="1"/>
  <c r="AG65" i="824" s="1"/>
  <c r="AL65" i="824"/>
  <c r="AM65" i="824"/>
  <c r="AN65" i="824"/>
  <c r="AO65" i="824"/>
  <c r="V66" i="824" a="1"/>
  <c r="X66" i="824"/>
  <c r="Y66" i="824"/>
  <c r="AA66" i="824"/>
  <c r="AB66" i="824"/>
  <c r="AC66" i="824"/>
  <c r="AD66" i="824"/>
  <c r="AE66" i="824"/>
  <c r="AI66" i="824"/>
  <c r="AK66" i="824" a="1"/>
  <c r="AH66" i="824" s="1"/>
  <c r="AG66" i="824" s="1"/>
  <c r="AL66" i="824"/>
  <c r="AM66" i="824"/>
  <c r="AN66" i="824"/>
  <c r="AO66" i="824"/>
  <c r="V67" i="824" a="1"/>
  <c r="X67" i="824"/>
  <c r="Y67" i="824"/>
  <c r="AA67" i="824"/>
  <c r="AB67" i="824"/>
  <c r="AC67" i="824"/>
  <c r="AD67" i="824"/>
  <c r="AE67" i="824"/>
  <c r="AJ67" i="824" s="1"/>
  <c r="AF67" i="824" s="1"/>
  <c r="AI67" i="824"/>
  <c r="AK67" i="824" a="1"/>
  <c r="AH67" i="824" s="1"/>
  <c r="AG67" i="824" s="1"/>
  <c r="AL67" i="824"/>
  <c r="AM67" i="824"/>
  <c r="AN67" i="824"/>
  <c r="AO67" i="824"/>
  <c r="V68" i="824" a="1"/>
  <c r="X68" i="824"/>
  <c r="Y68" i="824"/>
  <c r="AA68" i="824"/>
  <c r="AB68" i="824"/>
  <c r="AC68" i="824"/>
  <c r="AD68" i="824"/>
  <c r="AE68" i="824"/>
  <c r="AJ68" i="824" s="1"/>
  <c r="AI68" i="824"/>
  <c r="AK68" i="824" a="1"/>
  <c r="AH68" i="824" s="1"/>
  <c r="AG68" i="824" s="1"/>
  <c r="AL68" i="824"/>
  <c r="AM68" i="824"/>
  <c r="AN68" i="824"/>
  <c r="AO68" i="824"/>
  <c r="V69" i="824" a="1"/>
  <c r="X69" i="824"/>
  <c r="Y69" i="824"/>
  <c r="AA69" i="824"/>
  <c r="AB69" i="824"/>
  <c r="AC69" i="824"/>
  <c r="AD69" i="824"/>
  <c r="AE69" i="824"/>
  <c r="AI69" i="824"/>
  <c r="AK69" i="824" a="1"/>
  <c r="AH69" i="824" s="1"/>
  <c r="AG69" i="824" s="1"/>
  <c r="AL69" i="824"/>
  <c r="AM69" i="824"/>
  <c r="AN69" i="824"/>
  <c r="AO69" i="824"/>
  <c r="V70" i="824" a="1"/>
  <c r="X70" i="824"/>
  <c r="Y70" i="824"/>
  <c r="AA70" i="824"/>
  <c r="AB70" i="824"/>
  <c r="AC70" i="824"/>
  <c r="AD70" i="824"/>
  <c r="AE70" i="824"/>
  <c r="AJ70" i="824" s="1"/>
  <c r="AI70" i="824"/>
  <c r="AK70" i="824" a="1"/>
  <c r="AH70" i="824" s="1"/>
  <c r="AL70" i="824"/>
  <c r="AM70" i="824"/>
  <c r="AN70" i="824"/>
  <c r="AO70" i="824"/>
  <c r="V71" i="824" a="1"/>
  <c r="X71" i="824"/>
  <c r="Y71" i="824"/>
  <c r="AA71" i="824"/>
  <c r="AB71" i="824"/>
  <c r="AC71" i="824"/>
  <c r="AD71" i="824"/>
  <c r="AE71" i="824"/>
  <c r="AJ71" i="824" s="1"/>
  <c r="AI71" i="824"/>
  <c r="AK71" i="824" a="1"/>
  <c r="AH71" i="824" s="1"/>
  <c r="AG71" i="824" s="1"/>
  <c r="AL71" i="824"/>
  <c r="AM71" i="824"/>
  <c r="AN71" i="824"/>
  <c r="AO71" i="824"/>
  <c r="V72" i="824" a="1"/>
  <c r="X72" i="824"/>
  <c r="Y72" i="824"/>
  <c r="AA72" i="824"/>
  <c r="AB72" i="824"/>
  <c r="AC72" i="824"/>
  <c r="AD72" i="824"/>
  <c r="AE72" i="824"/>
  <c r="AJ72" i="824" s="1"/>
  <c r="AF72" i="824" s="1"/>
  <c r="AI72" i="824"/>
  <c r="AK72" i="824" a="1"/>
  <c r="AH72" i="824" s="1"/>
  <c r="AG72" i="824" s="1"/>
  <c r="AL72" i="824"/>
  <c r="AM72" i="824"/>
  <c r="AN72" i="824"/>
  <c r="AO72" i="824"/>
  <c r="V73" i="824" a="1"/>
  <c r="X73" i="824"/>
  <c r="Y73" i="824"/>
  <c r="AA73" i="824"/>
  <c r="AB73" i="824"/>
  <c r="AC73" i="824"/>
  <c r="AD73" i="824"/>
  <c r="AE73" i="824"/>
  <c r="AJ73" i="824" s="1"/>
  <c r="AI73" i="824"/>
  <c r="AK73" i="824" a="1"/>
  <c r="AH73" i="824" s="1"/>
  <c r="AG73" i="824" s="1"/>
  <c r="AL73" i="824"/>
  <c r="AM73" i="824"/>
  <c r="AN73" i="824"/>
  <c r="AO73" i="824"/>
  <c r="V74" i="824" a="1"/>
  <c r="X74" i="824"/>
  <c r="Y74" i="824"/>
  <c r="AA74" i="824"/>
  <c r="AB74" i="824"/>
  <c r="AC74" i="824"/>
  <c r="AD74" i="824"/>
  <c r="AE74" i="824"/>
  <c r="AJ74" i="824" s="1"/>
  <c r="AF74" i="824" s="1"/>
  <c r="AI74" i="824"/>
  <c r="AK74" i="824" a="1"/>
  <c r="AH74" i="824" s="1"/>
  <c r="AG74" i="824" s="1"/>
  <c r="AL74" i="824"/>
  <c r="AM74" i="824"/>
  <c r="AN74" i="824"/>
  <c r="AO74" i="824"/>
  <c r="V75" i="824" a="1"/>
  <c r="X75" i="824"/>
  <c r="Y75" i="824"/>
  <c r="AA75" i="824"/>
  <c r="AB75" i="824"/>
  <c r="AC75" i="824"/>
  <c r="AD75" i="824"/>
  <c r="AE75" i="824"/>
  <c r="AJ75" i="824" s="1"/>
  <c r="AF75" i="824" s="1"/>
  <c r="AI75" i="824"/>
  <c r="AK75" i="824" a="1"/>
  <c r="AH75" i="824" s="1"/>
  <c r="AG75" i="824" s="1"/>
  <c r="AL75" i="824"/>
  <c r="AM75" i="824"/>
  <c r="AN75" i="824"/>
  <c r="AO75" i="824"/>
  <c r="V76" i="824" a="1"/>
  <c r="X76" i="824"/>
  <c r="Y76" i="824"/>
  <c r="AA76" i="824"/>
  <c r="AB76" i="824"/>
  <c r="AC76" i="824"/>
  <c r="AD76" i="824"/>
  <c r="AE76" i="824"/>
  <c r="AJ76" i="824" s="1"/>
  <c r="AF76" i="824" s="1"/>
  <c r="AI76" i="824"/>
  <c r="AK76" i="824" a="1"/>
  <c r="AH76" i="824" s="1"/>
  <c r="AG76" i="824" s="1"/>
  <c r="AL76" i="824"/>
  <c r="AM76" i="824"/>
  <c r="AN76" i="824"/>
  <c r="AO76" i="824"/>
  <c r="V77" i="824" a="1"/>
  <c r="X77" i="824"/>
  <c r="Y77" i="824"/>
  <c r="AA77" i="824"/>
  <c r="AB77" i="824"/>
  <c r="AC77" i="824"/>
  <c r="AD77" i="824"/>
  <c r="AE77" i="824"/>
  <c r="AJ77" i="824" s="1"/>
  <c r="AI77" i="824"/>
  <c r="AK77" i="824" a="1"/>
  <c r="AH77" i="824" s="1"/>
  <c r="AG77" i="824" s="1"/>
  <c r="AL77" i="824"/>
  <c r="AM77" i="824"/>
  <c r="AN77" i="824"/>
  <c r="AO77" i="824"/>
  <c r="V78" i="824" a="1"/>
  <c r="X78" i="824"/>
  <c r="Y78" i="824"/>
  <c r="AA78" i="824"/>
  <c r="AB78" i="824"/>
  <c r="AC78" i="824"/>
  <c r="AD78" i="824"/>
  <c r="AE78" i="824"/>
  <c r="AI78" i="824"/>
  <c r="AK78" i="824" a="1"/>
  <c r="AH78" i="824" s="1"/>
  <c r="AG78" i="824" s="1"/>
  <c r="AL78" i="824"/>
  <c r="AM78" i="824"/>
  <c r="AN78" i="824"/>
  <c r="AO78" i="824"/>
  <c r="V79" i="824" a="1"/>
  <c r="X79" i="824"/>
  <c r="Y79" i="824"/>
  <c r="AA79" i="824"/>
  <c r="AB79" i="824"/>
  <c r="AC79" i="824"/>
  <c r="AD79" i="824"/>
  <c r="AE79" i="824"/>
  <c r="AJ79" i="824" s="1"/>
  <c r="AF79" i="824" s="1"/>
  <c r="AI79" i="824"/>
  <c r="AK79" i="824" a="1"/>
  <c r="AH79" i="824" s="1"/>
  <c r="AG79" i="824" s="1"/>
  <c r="AL79" i="824"/>
  <c r="AM79" i="824"/>
  <c r="AN79" i="824"/>
  <c r="AO79" i="824"/>
  <c r="V80" i="824" a="1"/>
  <c r="X80" i="824"/>
  <c r="Y80" i="824"/>
  <c r="AA80" i="824"/>
  <c r="AB80" i="824"/>
  <c r="AC80" i="824"/>
  <c r="AD80" i="824"/>
  <c r="AE80" i="824"/>
  <c r="AJ80" i="824" s="1"/>
  <c r="AF80" i="824" s="1"/>
  <c r="AI80" i="824"/>
  <c r="AK80" i="824" a="1"/>
  <c r="AH80" i="824" s="1"/>
  <c r="AG80" i="824" s="1"/>
  <c r="AL80" i="824"/>
  <c r="AM80" i="824"/>
  <c r="AN80" i="824"/>
  <c r="AO80" i="824"/>
  <c r="V81" i="824" a="1"/>
  <c r="X81" i="824"/>
  <c r="Y81" i="824"/>
  <c r="AA81" i="824"/>
  <c r="AB81" i="824"/>
  <c r="AC81" i="824"/>
  <c r="AD81" i="824"/>
  <c r="AE81" i="824"/>
  <c r="AJ81" i="824" s="1"/>
  <c r="AF81" i="824" s="1"/>
  <c r="AI81" i="824"/>
  <c r="AK81" i="824" a="1"/>
  <c r="AH81" i="824" s="1"/>
  <c r="AG81" i="824" s="1"/>
  <c r="AL81" i="824"/>
  <c r="AM81" i="824"/>
  <c r="AN81" i="824"/>
  <c r="AO81" i="824"/>
  <c r="V82" i="824" a="1"/>
  <c r="X82" i="824"/>
  <c r="Y82" i="824"/>
  <c r="AA82" i="824"/>
  <c r="AB82" i="824"/>
  <c r="AC82" i="824"/>
  <c r="AD82" i="824"/>
  <c r="AE82" i="824"/>
  <c r="AJ82" i="824" s="1"/>
  <c r="AF82" i="824" s="1"/>
  <c r="AI82" i="824"/>
  <c r="AK82" i="824" a="1"/>
  <c r="AH82" i="824" s="1"/>
  <c r="AG82" i="824" s="1"/>
  <c r="AL82" i="824"/>
  <c r="AM82" i="824"/>
  <c r="AN82" i="824"/>
  <c r="AO82" i="824"/>
  <c r="V83" i="824" a="1"/>
  <c r="X83" i="824"/>
  <c r="Y83" i="824"/>
  <c r="AA83" i="824"/>
  <c r="AB83" i="824"/>
  <c r="AC83" i="824"/>
  <c r="AD83" i="824"/>
  <c r="AE83" i="824"/>
  <c r="AI83" i="824"/>
  <c r="AK83" i="824" a="1"/>
  <c r="AH83" i="824" s="1"/>
  <c r="AG83" i="824" s="1"/>
  <c r="AL83" i="824"/>
  <c r="AM83" i="824"/>
  <c r="AN83" i="824"/>
  <c r="AO83" i="824"/>
  <c r="V84" i="824" a="1"/>
  <c r="X84" i="824"/>
  <c r="Y84" i="824"/>
  <c r="AA84" i="824"/>
  <c r="AB84" i="824"/>
  <c r="AC84" i="824"/>
  <c r="AD84" i="824"/>
  <c r="AE84" i="824"/>
  <c r="AJ84" i="824" s="1"/>
  <c r="AF84" i="824" s="1"/>
  <c r="AI84" i="824"/>
  <c r="AK84" i="824" a="1"/>
  <c r="AH84" i="824" s="1"/>
  <c r="AG84" i="824" s="1"/>
  <c r="AL84" i="824"/>
  <c r="AM84" i="824"/>
  <c r="AN84" i="824"/>
  <c r="AO84" i="824"/>
  <c r="V85" i="824" a="1"/>
  <c r="X85" i="824"/>
  <c r="Y85" i="824"/>
  <c r="AA85" i="824"/>
  <c r="AB85" i="824"/>
  <c r="AC85" i="824"/>
  <c r="AD85" i="824"/>
  <c r="AE85" i="824"/>
  <c r="AJ85" i="824" s="1"/>
  <c r="AI85" i="824"/>
  <c r="AK85" i="824" a="1"/>
  <c r="AH85" i="824" s="1"/>
  <c r="AG85" i="824" s="1"/>
  <c r="AL85" i="824"/>
  <c r="AM85" i="824"/>
  <c r="AN85" i="824"/>
  <c r="AO85" i="824"/>
  <c r="V86" i="824" a="1"/>
  <c r="X86" i="824"/>
  <c r="Y86" i="824"/>
  <c r="AA86" i="824"/>
  <c r="AB86" i="824"/>
  <c r="AC86" i="824"/>
  <c r="AD86" i="824"/>
  <c r="AE86" i="824"/>
  <c r="AJ86" i="824" s="1"/>
  <c r="AF86" i="824" s="1"/>
  <c r="AI86" i="824"/>
  <c r="AK86" i="824" a="1"/>
  <c r="AH86" i="824" s="1"/>
  <c r="AG86" i="824" s="1"/>
  <c r="AL86" i="824"/>
  <c r="AM86" i="824"/>
  <c r="AN86" i="824"/>
  <c r="AO86" i="824"/>
  <c r="V87" i="824" a="1"/>
  <c r="X87" i="824"/>
  <c r="Y87" i="824"/>
  <c r="AA87" i="824"/>
  <c r="AB87" i="824"/>
  <c r="AC87" i="824"/>
  <c r="AD87" i="824"/>
  <c r="AE87" i="824"/>
  <c r="AJ87" i="824" s="1"/>
  <c r="AF87" i="824" s="1"/>
  <c r="AI87" i="824"/>
  <c r="AK87" i="824" a="1"/>
  <c r="AH87" i="824" s="1"/>
  <c r="AG87" i="824" s="1"/>
  <c r="AL87" i="824"/>
  <c r="AM87" i="824"/>
  <c r="AN87" i="824"/>
  <c r="AO87" i="824"/>
  <c r="AC8" i="824"/>
  <c r="AB8" i="824"/>
  <c r="AA8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L10" i="836"/>
  <c r="L9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M12" i="848"/>
  <c r="C7" i="848"/>
  <c r="C6" i="848"/>
  <c r="L47" i="836"/>
  <c r="L48" i="836"/>
  <c r="L49" i="836"/>
  <c r="L50" i="836"/>
  <c r="L8" i="836"/>
  <c r="AA9" i="124"/>
  <c r="AA10" i="124"/>
  <c r="AA11" i="124"/>
  <c r="AA12" i="124"/>
  <c r="AA13" i="124"/>
  <c r="AA14" i="124"/>
  <c r="AA15" i="124"/>
  <c r="AA16" i="124"/>
  <c r="AA17" i="124"/>
  <c r="AA18" i="124"/>
  <c r="AA19" i="124"/>
  <c r="AA20" i="124"/>
  <c r="AA21" i="124"/>
  <c r="AA22" i="124"/>
  <c r="AA23" i="124"/>
  <c r="AA24" i="124"/>
  <c r="AA25" i="124"/>
  <c r="AA26" i="124"/>
  <c r="AA27" i="124"/>
  <c r="AA28" i="124"/>
  <c r="AA29" i="124"/>
  <c r="AA30" i="124"/>
  <c r="AA31" i="124"/>
  <c r="AA32" i="124"/>
  <c r="AA33" i="124"/>
  <c r="AA34" i="124"/>
  <c r="AA35" i="124"/>
  <c r="AA36" i="124"/>
  <c r="AA37" i="124"/>
  <c r="AA38" i="124"/>
  <c r="AA39" i="124"/>
  <c r="AA40" i="124"/>
  <c r="AA41" i="124"/>
  <c r="AA42" i="124"/>
  <c r="AA43" i="124"/>
  <c r="AA44" i="124"/>
  <c r="AA45" i="124"/>
  <c r="AA46" i="124"/>
  <c r="AA47" i="124"/>
  <c r="AA48" i="124"/>
  <c r="AA49" i="124"/>
  <c r="AA50" i="124"/>
  <c r="AA51" i="124"/>
  <c r="AA52" i="124"/>
  <c r="AA53" i="124"/>
  <c r="AA54" i="124"/>
  <c r="AA55" i="124"/>
  <c r="AA56" i="124"/>
  <c r="AA57" i="124"/>
  <c r="AA58" i="124"/>
  <c r="AA59" i="124"/>
  <c r="AA60" i="124"/>
  <c r="AA61" i="124"/>
  <c r="AA62" i="124"/>
  <c r="AA63" i="124"/>
  <c r="AA64" i="124"/>
  <c r="AA65" i="124"/>
  <c r="AA66" i="124"/>
  <c r="AA67" i="124"/>
  <c r="AA68" i="124"/>
  <c r="AA69" i="124"/>
  <c r="AA70" i="124"/>
  <c r="AA71" i="124"/>
  <c r="AA72" i="124"/>
  <c r="AA73" i="124"/>
  <c r="AA74" i="124"/>
  <c r="AA75" i="124"/>
  <c r="AA76" i="124"/>
  <c r="AA77" i="124"/>
  <c r="AA78" i="124"/>
  <c r="AA79" i="124"/>
  <c r="AA80" i="124"/>
  <c r="AA81" i="124"/>
  <c r="AA82" i="124"/>
  <c r="AA83" i="124"/>
  <c r="AA84" i="124"/>
  <c r="AA85" i="124"/>
  <c r="AA86" i="124"/>
  <c r="AA87" i="124"/>
  <c r="AA88" i="124"/>
  <c r="AA89" i="124"/>
  <c r="AA90" i="124"/>
  <c r="AA91" i="124"/>
  <c r="AA92" i="124"/>
  <c r="AA93" i="124"/>
  <c r="AA94" i="124"/>
  <c r="AA95" i="124"/>
  <c r="AA96" i="124"/>
  <c r="AA97" i="124"/>
  <c r="AA98" i="124"/>
  <c r="AA99" i="124"/>
  <c r="AA100" i="124"/>
  <c r="AA101" i="124"/>
  <c r="AA102" i="124"/>
  <c r="AA103" i="124"/>
  <c r="AA104" i="124"/>
  <c r="AA105" i="124"/>
  <c r="AA106" i="124"/>
  <c r="AA107" i="124"/>
  <c r="AA108" i="124"/>
  <c r="AA109" i="124"/>
  <c r="AA110" i="124"/>
  <c r="AA111" i="124"/>
  <c r="AA112" i="124"/>
  <c r="AA113" i="124"/>
  <c r="AA114" i="124"/>
  <c r="AA115" i="124"/>
  <c r="AA116" i="124"/>
  <c r="AA117" i="124"/>
  <c r="AA118" i="124"/>
  <c r="AA119" i="124"/>
  <c r="AA120" i="124"/>
  <c r="AA121" i="124"/>
  <c r="AA122" i="124"/>
  <c r="AA123" i="124"/>
  <c r="AA124" i="124"/>
  <c r="AA125" i="124"/>
  <c r="AA126" i="124"/>
  <c r="AA127" i="124"/>
  <c r="AA128" i="124"/>
  <c r="AA129" i="124"/>
  <c r="AA130" i="124"/>
  <c r="AA131" i="124"/>
  <c r="AA132" i="124"/>
  <c r="AA133" i="124"/>
  <c r="AA134" i="124"/>
  <c r="AA135" i="124"/>
  <c r="AA136" i="124"/>
  <c r="AA137" i="124"/>
  <c r="AA138" i="124"/>
  <c r="AA139" i="124"/>
  <c r="AA140" i="124"/>
  <c r="AA141" i="124"/>
  <c r="AA142" i="124"/>
  <c r="AA143" i="124"/>
  <c r="AA144" i="124"/>
  <c r="AA145" i="124"/>
  <c r="AA146" i="124"/>
  <c r="AA147" i="124"/>
  <c r="AA148" i="124"/>
  <c r="AA149" i="124"/>
  <c r="AA150" i="124"/>
  <c r="AA151" i="124"/>
  <c r="AA152" i="124"/>
  <c r="AA153" i="124"/>
  <c r="AA154" i="124"/>
  <c r="AA155" i="124"/>
  <c r="AA156" i="124"/>
  <c r="AA157" i="124"/>
  <c r="AA158" i="124"/>
  <c r="AA159" i="124"/>
  <c r="AA160" i="124"/>
  <c r="AA161" i="124"/>
  <c r="AA162" i="124"/>
  <c r="AA163" i="124"/>
  <c r="AA164" i="124"/>
  <c r="AA165" i="124"/>
  <c r="AA166" i="124"/>
  <c r="AA167" i="124"/>
  <c r="AA168" i="124"/>
  <c r="AA169" i="124"/>
  <c r="AA170" i="124"/>
  <c r="AA171" i="124"/>
  <c r="AA172" i="124"/>
  <c r="AA173" i="124"/>
  <c r="AA174" i="124"/>
  <c r="AA175" i="124"/>
  <c r="AA176" i="124"/>
  <c r="AA177" i="124"/>
  <c r="AA178" i="124"/>
  <c r="AA179" i="124"/>
  <c r="AA180" i="124"/>
  <c r="AA181" i="124"/>
  <c r="AA182" i="124"/>
  <c r="AA183" i="124"/>
  <c r="AA184" i="124"/>
  <c r="AA185" i="124"/>
  <c r="AA186" i="124"/>
  <c r="AA187" i="124"/>
  <c r="AA188" i="124"/>
  <c r="AA189" i="124"/>
  <c r="AA190" i="124"/>
  <c r="AA191" i="124"/>
  <c r="AA192" i="124"/>
  <c r="AA193" i="124"/>
  <c r="AA194" i="124"/>
  <c r="AA195" i="124"/>
  <c r="AA196" i="124"/>
  <c r="AA197" i="124"/>
  <c r="AA198" i="124"/>
  <c r="AA199" i="124"/>
  <c r="AA200" i="124"/>
  <c r="AA201" i="124"/>
  <c r="AA202" i="124"/>
  <c r="AA203" i="124"/>
  <c r="AA204" i="124"/>
  <c r="AA205" i="124"/>
  <c r="AA206" i="124"/>
  <c r="AA207" i="124"/>
  <c r="AA8" i="124"/>
  <c r="S10" i="805"/>
  <c r="S11" i="805"/>
  <c r="S12" i="805"/>
  <c r="S13" i="805"/>
  <c r="S14" i="805"/>
  <c r="S15" i="805"/>
  <c r="S16" i="805"/>
  <c r="S17" i="805"/>
  <c r="S18" i="805"/>
  <c r="S19" i="805"/>
  <c r="S20" i="805"/>
  <c r="S21" i="805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BC219" i="847"/>
  <c r="AW219" i="847"/>
  <c r="AV219" i="847"/>
  <c r="AU219" i="847" a="1"/>
  <c r="Z219" i="847" s="1"/>
  <c r="Y219" i="847"/>
  <c r="BC218" i="847"/>
  <c r="AW218" i="847"/>
  <c r="AV218" i="847"/>
  <c r="AU218" i="847" a="1"/>
  <c r="Z218" i="847" s="1"/>
  <c r="Y218" i="847"/>
  <c r="BC217" i="847"/>
  <c r="AW217" i="847"/>
  <c r="AV217" i="847"/>
  <c r="Y217" i="847" s="1"/>
  <c r="AU217" i="847" a="1"/>
  <c r="Z217" i="847" s="1"/>
  <c r="BC216" i="847"/>
  <c r="AW216" i="847"/>
  <c r="AV216" i="847"/>
  <c r="Y216" i="847" s="1"/>
  <c r="AU216" i="847" a="1"/>
  <c r="Z216" i="847" s="1"/>
  <c r="BC215" i="847"/>
  <c r="AW215" i="847"/>
  <c r="AV215" i="847"/>
  <c r="Y215" i="847" s="1"/>
  <c r="AU215" i="847" a="1"/>
  <c r="Z215" i="847" s="1"/>
  <c r="BC214" i="847"/>
  <c r="AW214" i="847"/>
  <c r="AV214" i="847"/>
  <c r="Y214" i="847" s="1"/>
  <c r="AU214" i="847" a="1"/>
  <c r="Z214" i="847" s="1"/>
  <c r="BC213" i="847"/>
  <c r="AW213" i="847"/>
  <c r="AV213" i="847"/>
  <c r="Y213" i="847" s="1"/>
  <c r="AU213" i="847" a="1"/>
  <c r="Z213" i="847" s="1"/>
  <c r="AC213" i="847"/>
  <c r="BC212" i="847"/>
  <c r="AW212" i="847"/>
  <c r="AV212" i="847"/>
  <c r="Y212" i="847" s="1"/>
  <c r="AU212" i="847" a="1"/>
  <c r="Z212" i="847" s="1"/>
  <c r="AC212" i="847"/>
  <c r="BC211" i="847"/>
  <c r="AW211" i="847"/>
  <c r="AV211" i="847"/>
  <c r="Y211" i="847" s="1"/>
  <c r="AU211" i="847" a="1"/>
  <c r="Z211" i="847" s="1"/>
  <c r="AC211" i="847"/>
  <c r="BC210" i="847"/>
  <c r="AW210" i="847"/>
  <c r="AV210" i="847"/>
  <c r="AU210" i="847" a="1"/>
  <c r="Z210" i="847" s="1"/>
  <c r="AC210" i="847"/>
  <c r="Y210" i="847"/>
  <c r="BC209" i="847"/>
  <c r="AW209" i="847"/>
  <c r="AV209" i="847"/>
  <c r="Y209" i="847" s="1"/>
  <c r="AU209" i="847" a="1"/>
  <c r="Z209" i="847" s="1"/>
  <c r="AC209" i="847"/>
  <c r="BC208" i="847"/>
  <c r="AW208" i="847"/>
  <c r="AV208" i="847"/>
  <c r="Y208" i="847" s="1"/>
  <c r="AU208" i="847" a="1"/>
  <c r="Z208" i="847" s="1"/>
  <c r="AC208" i="847"/>
  <c r="BC207" i="847"/>
  <c r="AW207" i="847"/>
  <c r="AV207" i="847"/>
  <c r="Y207" i="847" s="1"/>
  <c r="AU207" i="847" a="1"/>
  <c r="Z207" i="847" s="1"/>
  <c r="AC207" i="847"/>
  <c r="BC206" i="847"/>
  <c r="AW206" i="847"/>
  <c r="AV206" i="847"/>
  <c r="Y206" i="847" s="1"/>
  <c r="AU206" i="847" a="1"/>
  <c r="Z206" i="847" s="1"/>
  <c r="AC206" i="847"/>
  <c r="BC205" i="847"/>
  <c r="AW205" i="847"/>
  <c r="AV205" i="847"/>
  <c r="AU205" i="847" a="1"/>
  <c r="Z205" i="847" s="1"/>
  <c r="AC205" i="847"/>
  <c r="Y205" i="847"/>
  <c r="BC204" i="847"/>
  <c r="AW204" i="847"/>
  <c r="AV204" i="847"/>
  <c r="Y204" i="847" s="1"/>
  <c r="AU204" i="847" a="1"/>
  <c r="Z204" i="847" s="1"/>
  <c r="AC204" i="847"/>
  <c r="BC203" i="847"/>
  <c r="AW203" i="847"/>
  <c r="AV203" i="847"/>
  <c r="Y203" i="847" s="1"/>
  <c r="AU203" i="847" a="1"/>
  <c r="Z203" i="847" s="1"/>
  <c r="AC203" i="847"/>
  <c r="BC202" i="847"/>
  <c r="AW202" i="847"/>
  <c r="AV202" i="847"/>
  <c r="Y202" i="847" s="1"/>
  <c r="AU202" i="847" a="1"/>
  <c r="Z202" i="847" s="1"/>
  <c r="AC202" i="847"/>
  <c r="BC201" i="847"/>
  <c r="AW201" i="847"/>
  <c r="AV201" i="847"/>
  <c r="Y201" i="847" s="1"/>
  <c r="AU201" i="847" a="1"/>
  <c r="Z201" i="847" s="1"/>
  <c r="AC201" i="847"/>
  <c r="BC200" i="847"/>
  <c r="AW200" i="847"/>
  <c r="AV200" i="847"/>
  <c r="Y200" i="847" s="1"/>
  <c r="AU200" i="847" a="1"/>
  <c r="Z200" i="847" s="1"/>
  <c r="AC200" i="847"/>
  <c r="BC199" i="847"/>
  <c r="AW199" i="847"/>
  <c r="AV199" i="847"/>
  <c r="Y199" i="847" s="1"/>
  <c r="AU199" i="847" a="1"/>
  <c r="Z199" i="847" s="1"/>
  <c r="AC199" i="847"/>
  <c r="BC198" i="847"/>
  <c r="AW198" i="847"/>
  <c r="AV198" i="847"/>
  <c r="Y198" i="847" s="1"/>
  <c r="AU198" i="847" a="1"/>
  <c r="Z198" i="847" s="1"/>
  <c r="AG198" i="847"/>
  <c r="AC198" i="847"/>
  <c r="BC197" i="847"/>
  <c r="AW197" i="847"/>
  <c r="AV197" i="847"/>
  <c r="Y197" i="847" s="1"/>
  <c r="AU197" i="847" a="1"/>
  <c r="Z197" i="847" s="1"/>
  <c r="AG197" i="847"/>
  <c r="AC197" i="847"/>
  <c r="BC196" i="847"/>
  <c r="AW196" i="847"/>
  <c r="AV196" i="847"/>
  <c r="Y196" i="847" s="1"/>
  <c r="AU196" i="847" a="1"/>
  <c r="Z196" i="847" s="1"/>
  <c r="AG196" i="847"/>
  <c r="AC196" i="847"/>
  <c r="BC195" i="847"/>
  <c r="AW195" i="847"/>
  <c r="AV195" i="847"/>
  <c r="Y195" i="847" s="1"/>
  <c r="AU195" i="847" a="1"/>
  <c r="Z195" i="847" s="1"/>
  <c r="AG195" i="847"/>
  <c r="AC195" i="847"/>
  <c r="BC194" i="847"/>
  <c r="AW194" i="847"/>
  <c r="AV194" i="847"/>
  <c r="Y194" i="847" s="1"/>
  <c r="AU194" i="847" a="1"/>
  <c r="Z194" i="847" s="1"/>
  <c r="AC194" i="847"/>
  <c r="BC193" i="847"/>
  <c r="AW193" i="847"/>
  <c r="AV193" i="847"/>
  <c r="Y193" i="847" s="1"/>
  <c r="AU193" i="847" a="1"/>
  <c r="Z193" i="847" s="1"/>
  <c r="AC193" i="847"/>
  <c r="BC192" i="847"/>
  <c r="AW192" i="847"/>
  <c r="AV192" i="847"/>
  <c r="Y192" i="847" s="1"/>
  <c r="AU192" i="847" a="1"/>
  <c r="Z192" i="847" s="1"/>
  <c r="AC192" i="847"/>
  <c r="BC191" i="847"/>
  <c r="AW191" i="847"/>
  <c r="AV191" i="847"/>
  <c r="Y191" i="847" s="1"/>
  <c r="AU191" i="847" a="1"/>
  <c r="Z191" i="847" s="1"/>
  <c r="AC191" i="847"/>
  <c r="BC190" i="847"/>
  <c r="AW190" i="847"/>
  <c r="AV190" i="847"/>
  <c r="Y190" i="847" s="1"/>
  <c r="AU190" i="847" a="1"/>
  <c r="Z190" i="847" s="1"/>
  <c r="AC190" i="847"/>
  <c r="BC189" i="847"/>
  <c r="AW189" i="847"/>
  <c r="AV189" i="847"/>
  <c r="AU189" i="847" a="1"/>
  <c r="Z189" i="847" s="1"/>
  <c r="AC189" i="847"/>
  <c r="Y189" i="847"/>
  <c r="BC188" i="847"/>
  <c r="AW188" i="847"/>
  <c r="AV188" i="847"/>
  <c r="AU188" i="847" a="1"/>
  <c r="Z188" i="847" s="1"/>
  <c r="AC188" i="847"/>
  <c r="Y188" i="847"/>
  <c r="BC187" i="847"/>
  <c r="AW187" i="847"/>
  <c r="AV187" i="847"/>
  <c r="AU187" i="847" a="1"/>
  <c r="Z187" i="847" s="1"/>
  <c r="AC187" i="847"/>
  <c r="Y187" i="847"/>
  <c r="BC186" i="847"/>
  <c r="AW186" i="847"/>
  <c r="AV186" i="847"/>
  <c r="AU186" i="847" a="1"/>
  <c r="Z186" i="847" s="1"/>
  <c r="AC186" i="847"/>
  <c r="Y186" i="847"/>
  <c r="BC185" i="847"/>
  <c r="AW185" i="847"/>
  <c r="AV185" i="847"/>
  <c r="AU185" i="847" a="1"/>
  <c r="Z185" i="847" s="1"/>
  <c r="AC185" i="847"/>
  <c r="Y185" i="847"/>
  <c r="BC184" i="847"/>
  <c r="AW184" i="847"/>
  <c r="AV184" i="847"/>
  <c r="Y184" i="847" s="1"/>
  <c r="AU184" i="847" a="1"/>
  <c r="Z184" i="847" s="1"/>
  <c r="AC184" i="847"/>
  <c r="BC183" i="847"/>
  <c r="AW183" i="847"/>
  <c r="AV183" i="847"/>
  <c r="AU183" i="847" a="1"/>
  <c r="Z183" i="847" s="1"/>
  <c r="AC183" i="847"/>
  <c r="Y183" i="847"/>
  <c r="BC182" i="847"/>
  <c r="AW182" i="847"/>
  <c r="AV182" i="847"/>
  <c r="Y182" i="847" s="1"/>
  <c r="AU182" i="847" a="1"/>
  <c r="Z182" i="847" s="1"/>
  <c r="AC182" i="847"/>
  <c r="BC181" i="847"/>
  <c r="AW181" i="847"/>
  <c r="AV181" i="847"/>
  <c r="AU181" i="847" a="1"/>
  <c r="Z181" i="847" s="1"/>
  <c r="AC181" i="847"/>
  <c r="Y181" i="847"/>
  <c r="BC180" i="847"/>
  <c r="AW180" i="847"/>
  <c r="AV180" i="847"/>
  <c r="Y180" i="847" s="1"/>
  <c r="AU180" i="847" a="1"/>
  <c r="Z180" i="847" s="1"/>
  <c r="AC180" i="847"/>
  <c r="BC179" i="847"/>
  <c r="AW179" i="847"/>
  <c r="AV179" i="847"/>
  <c r="Y179" i="847" s="1"/>
  <c r="AU179" i="847" a="1"/>
  <c r="Z179" i="847" s="1"/>
  <c r="AC179" i="847"/>
  <c r="BC178" i="847"/>
  <c r="AW178" i="847"/>
  <c r="AV178" i="847"/>
  <c r="AU178" i="847" a="1"/>
  <c r="Z178" i="847" s="1"/>
  <c r="AC178" i="847"/>
  <c r="Y178" i="847"/>
  <c r="BC177" i="847"/>
  <c r="AW177" i="847"/>
  <c r="AV177" i="847"/>
  <c r="AU177" i="847" a="1"/>
  <c r="Z177" i="847" s="1"/>
  <c r="AC177" i="847"/>
  <c r="Y177" i="847"/>
  <c r="BC176" i="847"/>
  <c r="AW176" i="847"/>
  <c r="AV176" i="847"/>
  <c r="Y176" i="847" s="1"/>
  <c r="AU176" i="847" a="1"/>
  <c r="Z176" i="847" s="1"/>
  <c r="AC176" i="847"/>
  <c r="BC175" i="847"/>
  <c r="AW175" i="847"/>
  <c r="AV175" i="847"/>
  <c r="Y175" i="847" s="1"/>
  <c r="AU175" i="847" a="1"/>
  <c r="Z175" i="847" s="1"/>
  <c r="AC175" i="847"/>
  <c r="BC174" i="847"/>
  <c r="AW174" i="847"/>
  <c r="AV174" i="847"/>
  <c r="Y174" i="847" s="1"/>
  <c r="AU174" i="847" a="1"/>
  <c r="Z174" i="847" s="1"/>
  <c r="AC174" i="847"/>
  <c r="BC173" i="847"/>
  <c r="AW173" i="847"/>
  <c r="AV173" i="847"/>
  <c r="AU173" i="847" a="1"/>
  <c r="Z173" i="847" s="1"/>
  <c r="AC173" i="847"/>
  <c r="Y173" i="847"/>
  <c r="BC172" i="847"/>
  <c r="AW172" i="847"/>
  <c r="AV172" i="847"/>
  <c r="Y172" i="847" s="1"/>
  <c r="AU172" i="847" a="1"/>
  <c r="Z172" i="847" s="1"/>
  <c r="AC172" i="847"/>
  <c r="BC171" i="847"/>
  <c r="AW171" i="847"/>
  <c r="AV171" i="847"/>
  <c r="Y171" i="847" s="1"/>
  <c r="AU171" i="847" a="1"/>
  <c r="Z171" i="847" s="1"/>
  <c r="AC171" i="847"/>
  <c r="BC170" i="847"/>
  <c r="AW170" i="847"/>
  <c r="AV170" i="847"/>
  <c r="AU170" i="847" a="1"/>
  <c r="Z170" i="847" s="1"/>
  <c r="AC170" i="847"/>
  <c r="Y170" i="847"/>
  <c r="BC169" i="847"/>
  <c r="AW169" i="847"/>
  <c r="AV169" i="847"/>
  <c r="Y169" i="847" s="1"/>
  <c r="AU169" i="847" a="1"/>
  <c r="Z169" i="847" s="1"/>
  <c r="AC169" i="847"/>
  <c r="BC168" i="847"/>
  <c r="AW168" i="847"/>
  <c r="AV168" i="847"/>
  <c r="Y168" i="847" s="1"/>
  <c r="AU168" i="847" a="1"/>
  <c r="Z168" i="847" s="1"/>
  <c r="AC168" i="847"/>
  <c r="BC167" i="847"/>
  <c r="AW167" i="847"/>
  <c r="AV167" i="847"/>
  <c r="AU167" i="847" a="1"/>
  <c r="Z167" i="847" s="1"/>
  <c r="AC167" i="847"/>
  <c r="Y167" i="847"/>
  <c r="BC166" i="847"/>
  <c r="AW166" i="847"/>
  <c r="AV166" i="847"/>
  <c r="Y166" i="847" s="1"/>
  <c r="AU166" i="847" a="1"/>
  <c r="Z166" i="847" s="1"/>
  <c r="AC166" i="847"/>
  <c r="BC165" i="847"/>
  <c r="AW165" i="847"/>
  <c r="AV165" i="847"/>
  <c r="AU165" i="847" a="1"/>
  <c r="Z165" i="847" s="1"/>
  <c r="AC165" i="847"/>
  <c r="Y165" i="847"/>
  <c r="BC164" i="847"/>
  <c r="AW164" i="847"/>
  <c r="AV164" i="847"/>
  <c r="Y164" i="847" s="1"/>
  <c r="AU164" i="847" a="1"/>
  <c r="Z164" i="847" s="1"/>
  <c r="AC164" i="847"/>
  <c r="BC163" i="847"/>
  <c r="AW163" i="847"/>
  <c r="AV163" i="847"/>
  <c r="Y163" i="847" s="1"/>
  <c r="AU163" i="847" a="1"/>
  <c r="Z163" i="847" s="1"/>
  <c r="AC163" i="847"/>
  <c r="BC162" i="847"/>
  <c r="AW162" i="847"/>
  <c r="AV162" i="847"/>
  <c r="Y162" i="847" s="1"/>
  <c r="AU162" i="847" a="1"/>
  <c r="Z162" i="847" s="1"/>
  <c r="AC162" i="847"/>
  <c r="BC161" i="847"/>
  <c r="AW161" i="847"/>
  <c r="AV161" i="847"/>
  <c r="Y161" i="847" s="1"/>
  <c r="AU161" i="847" a="1"/>
  <c r="Z161" i="847" s="1"/>
  <c r="AC161" i="847"/>
  <c r="BC160" i="847"/>
  <c r="AW160" i="847"/>
  <c r="AV160" i="847"/>
  <c r="AU160" i="847" a="1"/>
  <c r="Z160" i="847" s="1"/>
  <c r="AC160" i="847"/>
  <c r="Y160" i="847"/>
  <c r="BC159" i="847"/>
  <c r="AW159" i="847"/>
  <c r="AV159" i="847"/>
  <c r="AU159" i="847" a="1"/>
  <c r="Z159" i="847" s="1"/>
  <c r="AC159" i="847"/>
  <c r="Y159" i="847"/>
  <c r="BC158" i="847"/>
  <c r="AW158" i="847"/>
  <c r="AV158" i="847"/>
  <c r="AU158" i="847" a="1"/>
  <c r="Z158" i="847" s="1"/>
  <c r="AC158" i="847"/>
  <c r="Y158" i="847"/>
  <c r="BC157" i="847"/>
  <c r="AW157" i="847"/>
  <c r="AV157" i="847"/>
  <c r="AU157" i="847" a="1"/>
  <c r="Z157" i="847" s="1"/>
  <c r="AC157" i="847"/>
  <c r="Y157" i="847"/>
  <c r="BC156" i="847"/>
  <c r="AW156" i="847"/>
  <c r="AV156" i="847"/>
  <c r="AU156" i="847" a="1"/>
  <c r="Z156" i="847" s="1"/>
  <c r="AC156" i="847"/>
  <c r="Y156" i="847"/>
  <c r="BC155" i="847"/>
  <c r="AW155" i="847"/>
  <c r="AV155" i="847"/>
  <c r="AU155" i="847" a="1"/>
  <c r="Z155" i="847" s="1"/>
  <c r="AC155" i="847"/>
  <c r="Y155" i="847"/>
  <c r="BC154" i="847"/>
  <c r="AW154" i="847"/>
  <c r="AV154" i="847"/>
  <c r="AU154" i="847" a="1"/>
  <c r="Z154" i="847" s="1"/>
  <c r="AC154" i="847"/>
  <c r="Y154" i="847"/>
  <c r="BC153" i="847"/>
  <c r="AW153" i="847"/>
  <c r="AV153" i="847"/>
  <c r="AU153" i="847" a="1"/>
  <c r="Z153" i="847" s="1"/>
  <c r="AC153" i="847"/>
  <c r="Y153" i="847"/>
  <c r="BC152" i="847"/>
  <c r="AW152" i="847"/>
  <c r="AV152" i="847"/>
  <c r="AU152" i="847" a="1"/>
  <c r="Z152" i="847" s="1"/>
  <c r="AC152" i="847"/>
  <c r="Y152" i="847"/>
  <c r="BC151" i="847"/>
  <c r="AW151" i="847"/>
  <c r="AV151" i="847"/>
  <c r="AU151" i="847" a="1"/>
  <c r="Z151" i="847" s="1"/>
  <c r="AC151" i="847"/>
  <c r="Y151" i="847"/>
  <c r="BC150" i="847"/>
  <c r="AW150" i="847"/>
  <c r="AV150" i="847"/>
  <c r="AU150" i="847" a="1"/>
  <c r="Z150" i="847" s="1"/>
  <c r="AC150" i="847"/>
  <c r="Y150" i="847"/>
  <c r="BC149" i="847"/>
  <c r="AW149" i="847"/>
  <c r="AV149" i="847"/>
  <c r="AU149" i="847" a="1"/>
  <c r="Z149" i="847" s="1"/>
  <c r="AC149" i="847"/>
  <c r="Y149" i="847"/>
  <c r="BC148" i="847"/>
  <c r="AW148" i="847"/>
  <c r="AV148" i="847"/>
  <c r="Y148" i="847" s="1"/>
  <c r="AU148" i="847" a="1"/>
  <c r="Z148" i="847" s="1"/>
  <c r="AC148" i="847"/>
  <c r="BC147" i="847"/>
  <c r="AW147" i="847"/>
  <c r="AV147" i="847"/>
  <c r="Y147" i="847" s="1"/>
  <c r="AU147" i="847" a="1"/>
  <c r="Z147" i="847" s="1"/>
  <c r="AC147" i="847"/>
  <c r="BC146" i="847"/>
  <c r="AW146" i="847"/>
  <c r="AV146" i="847"/>
  <c r="Y146" i="847" s="1"/>
  <c r="AU146" i="847" a="1"/>
  <c r="Z146" i="847" s="1"/>
  <c r="AC146" i="847"/>
  <c r="BC145" i="847"/>
  <c r="AW145" i="847"/>
  <c r="AV145" i="847"/>
  <c r="Y145" i="847" s="1"/>
  <c r="AU145" i="847" a="1"/>
  <c r="Z145" i="847" s="1"/>
  <c r="AC145" i="847"/>
  <c r="BC144" i="847"/>
  <c r="AW144" i="847"/>
  <c r="AV144" i="847"/>
  <c r="Y144" i="847" s="1"/>
  <c r="AU144" i="847" a="1"/>
  <c r="Z144" i="847" s="1"/>
  <c r="AC144" i="847"/>
  <c r="BC143" i="847"/>
  <c r="AW143" i="847"/>
  <c r="AV143" i="847"/>
  <c r="AU143" i="847" a="1"/>
  <c r="Z143" i="847" s="1"/>
  <c r="AC143" i="847"/>
  <c r="Y143" i="847"/>
  <c r="BC142" i="847"/>
  <c r="AW142" i="847"/>
  <c r="AV142" i="847"/>
  <c r="Y142" i="847" s="1"/>
  <c r="AU142" i="847" a="1"/>
  <c r="Z142" i="847" s="1"/>
  <c r="AC142" i="847"/>
  <c r="BC141" i="847"/>
  <c r="AW141" i="847"/>
  <c r="AV141" i="847"/>
  <c r="Y141" i="847" s="1"/>
  <c r="AU141" i="847" a="1"/>
  <c r="Z141" i="847" s="1"/>
  <c r="AC141" i="847"/>
  <c r="BC140" i="847"/>
  <c r="AW140" i="847"/>
  <c r="AV140" i="847"/>
  <c r="Y140" i="847" s="1"/>
  <c r="AU140" i="847" a="1"/>
  <c r="Z140" i="847" s="1"/>
  <c r="AC140" i="847"/>
  <c r="BC139" i="847"/>
  <c r="AW139" i="847"/>
  <c r="AV139" i="847"/>
  <c r="Y139" i="847" s="1"/>
  <c r="AU139" i="847" a="1"/>
  <c r="Z139" i="847" s="1"/>
  <c r="AC139" i="847"/>
  <c r="BC138" i="847"/>
  <c r="AW138" i="847"/>
  <c r="AV138" i="847"/>
  <c r="Y138" i="847" s="1"/>
  <c r="AU138" i="847" a="1"/>
  <c r="Z138" i="847" s="1"/>
  <c r="AC138" i="847"/>
  <c r="BC137" i="847"/>
  <c r="AW137" i="847"/>
  <c r="AV137" i="847"/>
  <c r="Y137" i="847" s="1"/>
  <c r="AU137" i="847" a="1"/>
  <c r="Z137" i="847" s="1"/>
  <c r="AC137" i="847"/>
  <c r="BC136" i="847"/>
  <c r="AW136" i="847"/>
  <c r="AV136" i="847"/>
  <c r="Y136" i="847" s="1"/>
  <c r="AU136" i="847" a="1"/>
  <c r="Z136" i="847" s="1"/>
  <c r="AC136" i="847"/>
  <c r="BC135" i="847"/>
  <c r="AW135" i="847"/>
  <c r="AV135" i="847"/>
  <c r="AU135" i="847" a="1"/>
  <c r="Z135" i="847" s="1"/>
  <c r="AC135" i="847"/>
  <c r="Y135" i="847"/>
  <c r="BC134" i="847"/>
  <c r="AW134" i="847"/>
  <c r="AV134" i="847"/>
  <c r="AU134" i="847" a="1"/>
  <c r="Z134" i="847" s="1"/>
  <c r="AC134" i="847"/>
  <c r="Y134" i="847"/>
  <c r="BC133" i="847"/>
  <c r="AW133" i="847"/>
  <c r="AV133" i="847"/>
  <c r="AU133" i="847" a="1"/>
  <c r="Z133" i="847" s="1"/>
  <c r="AC133" i="847"/>
  <c r="Y133" i="847"/>
  <c r="BC132" i="847"/>
  <c r="AW132" i="847"/>
  <c r="AV132" i="847"/>
  <c r="AU132" i="847" a="1"/>
  <c r="Z132" i="847" s="1"/>
  <c r="AC132" i="847"/>
  <c r="Y132" i="847"/>
  <c r="BC131" i="847"/>
  <c r="AW131" i="847"/>
  <c r="AV131" i="847"/>
  <c r="AU131" i="847" a="1"/>
  <c r="Z131" i="847" s="1"/>
  <c r="AC131" i="847"/>
  <c r="Y131" i="847"/>
  <c r="BC130" i="847"/>
  <c r="AW130" i="847"/>
  <c r="AV130" i="847"/>
  <c r="AU130" i="847" a="1"/>
  <c r="Z130" i="847" s="1"/>
  <c r="AC130" i="847"/>
  <c r="Y130" i="847"/>
  <c r="BC129" i="847"/>
  <c r="AW129" i="847"/>
  <c r="AV129" i="847"/>
  <c r="AU129" i="847" a="1"/>
  <c r="Z129" i="847" s="1"/>
  <c r="AC129" i="847"/>
  <c r="Y129" i="847"/>
  <c r="BC128" i="847"/>
  <c r="AW128" i="847"/>
  <c r="AV128" i="847"/>
  <c r="AU128" i="847" a="1"/>
  <c r="Z128" i="847" s="1"/>
  <c r="AC128" i="847"/>
  <c r="Y128" i="847"/>
  <c r="BC127" i="847"/>
  <c r="AW127" i="847"/>
  <c r="AV127" i="847"/>
  <c r="AU127" i="847" a="1"/>
  <c r="Z127" i="847" s="1"/>
  <c r="AC127" i="847"/>
  <c r="Y127" i="847"/>
  <c r="BC126" i="847"/>
  <c r="AW126" i="847"/>
  <c r="AV126" i="847"/>
  <c r="Y126" i="847" s="1"/>
  <c r="AU126" i="847" a="1"/>
  <c r="Z126" i="847" s="1"/>
  <c r="AC126" i="847"/>
  <c r="BC125" i="847"/>
  <c r="AW125" i="847"/>
  <c r="AV125" i="847"/>
  <c r="Y125" i="847" s="1"/>
  <c r="AU125" i="847" a="1"/>
  <c r="Z125" i="847" s="1"/>
  <c r="AC125" i="847"/>
  <c r="BC124" i="847"/>
  <c r="AW124" i="847"/>
  <c r="AV124" i="847"/>
  <c r="Y124" i="847" s="1"/>
  <c r="AU124" i="847" a="1"/>
  <c r="Z124" i="847" s="1"/>
  <c r="AC124" i="847"/>
  <c r="BC123" i="847"/>
  <c r="AW123" i="847"/>
  <c r="AV123" i="847"/>
  <c r="AU123" i="847" a="1"/>
  <c r="Z123" i="847" s="1"/>
  <c r="Y123" i="847"/>
  <c r="BC122" i="847"/>
  <c r="AW122" i="847"/>
  <c r="AV122" i="847"/>
  <c r="AU122" i="847" a="1"/>
  <c r="Z122" i="847" s="1"/>
  <c r="Y122" i="847"/>
  <c r="BC121" i="847"/>
  <c r="AW121" i="847"/>
  <c r="AV121" i="847"/>
  <c r="AU121" i="847" a="1"/>
  <c r="Z121" i="847" s="1"/>
  <c r="Y121" i="847"/>
  <c r="BC120" i="847"/>
  <c r="AW120" i="847"/>
  <c r="AV120" i="847"/>
  <c r="AU120" i="847" a="1"/>
  <c r="Z120" i="847" s="1"/>
  <c r="Y120" i="847"/>
  <c r="BC119" i="847"/>
  <c r="AW119" i="847"/>
  <c r="AV119" i="847"/>
  <c r="AU119" i="847" a="1"/>
  <c r="Z119" i="847" s="1"/>
  <c r="Y119" i="847"/>
  <c r="BC118" i="847"/>
  <c r="AW118" i="847"/>
  <c r="AV118" i="847"/>
  <c r="AU118" i="847" a="1"/>
  <c r="Z118" i="847" s="1"/>
  <c r="Y118" i="847"/>
  <c r="BC117" i="847"/>
  <c r="AW117" i="847"/>
  <c r="AV117" i="847"/>
  <c r="AU117" i="847" a="1"/>
  <c r="Z117" i="847" s="1"/>
  <c r="Y117" i="847"/>
  <c r="BC116" i="847"/>
  <c r="AW116" i="847"/>
  <c r="AV116" i="847"/>
  <c r="AU116" i="847" a="1"/>
  <c r="Z116" i="847" s="1"/>
  <c r="AC116" i="847"/>
  <c r="Y116" i="847"/>
  <c r="BC115" i="847"/>
  <c r="AW115" i="847"/>
  <c r="AV115" i="847"/>
  <c r="AU115" i="847" a="1"/>
  <c r="Z115" i="847" s="1"/>
  <c r="AC115" i="847"/>
  <c r="Y115" i="847"/>
  <c r="BC114" i="847"/>
  <c r="AW114" i="847"/>
  <c r="AV114" i="847"/>
  <c r="AU114" i="847" a="1"/>
  <c r="Z114" i="847" s="1"/>
  <c r="AC114" i="847"/>
  <c r="Y114" i="847"/>
  <c r="BC113" i="847"/>
  <c r="AW113" i="847"/>
  <c r="AV113" i="847"/>
  <c r="AU113" i="847" a="1"/>
  <c r="Z113" i="847" s="1"/>
  <c r="AC113" i="847"/>
  <c r="Y113" i="847"/>
  <c r="BC112" i="847"/>
  <c r="AW112" i="847"/>
  <c r="AV112" i="847"/>
  <c r="AU112" i="847" a="1"/>
  <c r="Z112" i="847" s="1"/>
  <c r="AC112" i="847"/>
  <c r="Y112" i="847"/>
  <c r="BC111" i="847"/>
  <c r="AW111" i="847"/>
  <c r="AV111" i="847"/>
  <c r="AU111" i="847" a="1"/>
  <c r="Z111" i="847" s="1"/>
  <c r="AC111" i="847"/>
  <c r="Y111" i="847"/>
  <c r="BC110" i="847"/>
  <c r="AW110" i="847"/>
  <c r="AV110" i="847"/>
  <c r="AU110" i="847" a="1"/>
  <c r="Z110" i="847" s="1"/>
  <c r="AC110" i="847"/>
  <c r="Y110" i="847"/>
  <c r="BC109" i="847"/>
  <c r="AW109" i="847"/>
  <c r="AV109" i="847"/>
  <c r="Y109" i="847" s="1"/>
  <c r="AU109" i="847" a="1"/>
  <c r="Z109" i="847" s="1"/>
  <c r="AC109" i="847"/>
  <c r="BC108" i="847"/>
  <c r="AW108" i="847"/>
  <c r="AV108" i="847"/>
  <c r="Y108" i="847" s="1"/>
  <c r="AU108" i="847" a="1"/>
  <c r="Z108" i="847" s="1"/>
  <c r="AC108" i="847"/>
  <c r="BC107" i="847"/>
  <c r="AW107" i="847"/>
  <c r="AV107" i="847"/>
  <c r="Y107" i="847" s="1"/>
  <c r="AU107" i="847" a="1"/>
  <c r="Z107" i="847" s="1"/>
  <c r="AC107" i="847"/>
  <c r="BC106" i="847"/>
  <c r="AW106" i="847"/>
  <c r="AV106" i="847"/>
  <c r="Y106" i="847" s="1"/>
  <c r="AU106" i="847" a="1"/>
  <c r="Z106" i="847" s="1"/>
  <c r="AC106" i="847"/>
  <c r="BC105" i="847"/>
  <c r="AW105" i="847"/>
  <c r="AV105" i="847"/>
  <c r="Y105" i="847" s="1"/>
  <c r="AU105" i="847" a="1"/>
  <c r="Z105" i="847" s="1"/>
  <c r="AC105" i="847"/>
  <c r="BC104" i="847"/>
  <c r="AW104" i="847"/>
  <c r="AV104" i="847"/>
  <c r="AU104" i="847" a="1"/>
  <c r="Z104" i="847" s="1"/>
  <c r="AC104" i="847"/>
  <c r="Y104" i="847"/>
  <c r="BC103" i="847"/>
  <c r="AW103" i="847"/>
  <c r="AV103" i="847"/>
  <c r="Y103" i="847" s="1"/>
  <c r="AU103" i="847" a="1"/>
  <c r="Z103" i="847" s="1"/>
  <c r="AC103" i="847"/>
  <c r="BC102" i="847"/>
  <c r="AW102" i="847"/>
  <c r="AV102" i="847"/>
  <c r="Y102" i="847" s="1"/>
  <c r="AU102" i="847" a="1"/>
  <c r="Z102" i="847" s="1"/>
  <c r="AC102" i="847"/>
  <c r="BC101" i="847"/>
  <c r="AW101" i="847"/>
  <c r="AV101" i="847"/>
  <c r="Y101" i="847" s="1"/>
  <c r="AU101" i="847" a="1"/>
  <c r="Z101" i="847" s="1"/>
  <c r="AC101" i="847"/>
  <c r="BC100" i="847"/>
  <c r="AW100" i="847"/>
  <c r="AV100" i="847"/>
  <c r="Y100" i="847" s="1"/>
  <c r="AU100" i="847" a="1"/>
  <c r="Z100" i="847" s="1"/>
  <c r="AC100" i="847"/>
  <c r="BC99" i="847"/>
  <c r="AW99" i="847"/>
  <c r="AV99" i="847"/>
  <c r="Y99" i="847" s="1"/>
  <c r="AU99" i="847" a="1"/>
  <c r="Z99" i="847" s="1"/>
  <c r="AC99" i="847"/>
  <c r="BC98" i="847"/>
  <c r="AW98" i="847"/>
  <c r="AV98" i="847"/>
  <c r="Y98" i="847" s="1"/>
  <c r="AU98" i="847" a="1"/>
  <c r="Z98" i="847" s="1"/>
  <c r="AC98" i="847"/>
  <c r="BC97" i="847"/>
  <c r="AW97" i="847"/>
  <c r="AV97" i="847"/>
  <c r="Y97" i="847" s="1"/>
  <c r="AU97" i="847" a="1"/>
  <c r="Z97" i="847" s="1"/>
  <c r="AC97" i="847"/>
  <c r="BC96" i="847"/>
  <c r="AW96" i="847"/>
  <c r="AV96" i="847"/>
  <c r="Y96" i="847" s="1"/>
  <c r="AU96" i="847" a="1"/>
  <c r="Z96" i="847" s="1"/>
  <c r="AC96" i="847"/>
  <c r="BC95" i="847"/>
  <c r="AW95" i="847"/>
  <c r="AV95" i="847"/>
  <c r="AU95" i="847" a="1"/>
  <c r="Z95" i="847" s="1"/>
  <c r="AC95" i="847"/>
  <c r="Y95" i="847"/>
  <c r="BC94" i="847"/>
  <c r="AW94" i="847"/>
  <c r="AV94" i="847"/>
  <c r="AU94" i="847" a="1"/>
  <c r="Z94" i="847" s="1"/>
  <c r="AC94" i="847"/>
  <c r="Y94" i="847"/>
  <c r="BC93" i="847"/>
  <c r="AW93" i="847"/>
  <c r="AV93" i="847"/>
  <c r="AU93" i="847" a="1"/>
  <c r="Z93" i="847" s="1"/>
  <c r="AC93" i="847"/>
  <c r="Y93" i="847"/>
  <c r="BC92" i="847"/>
  <c r="AW92" i="847"/>
  <c r="AV92" i="847"/>
  <c r="AU92" i="847" a="1"/>
  <c r="Z92" i="847" s="1"/>
  <c r="AC92" i="847"/>
  <c r="Y92" i="847"/>
  <c r="BC91" i="847"/>
  <c r="AW91" i="847"/>
  <c r="AV91" i="847"/>
  <c r="AU91" i="847" a="1"/>
  <c r="Z91" i="847" s="1"/>
  <c r="AC91" i="847"/>
  <c r="Y91" i="847"/>
  <c r="BC90" i="847"/>
  <c r="AW90" i="847"/>
  <c r="AV90" i="847"/>
  <c r="AU90" i="847" a="1"/>
  <c r="Z90" i="847" s="1"/>
  <c r="AC90" i="847"/>
  <c r="Y90" i="847"/>
  <c r="BC89" i="847"/>
  <c r="AW89" i="847"/>
  <c r="AV89" i="847"/>
  <c r="AU89" i="847" a="1"/>
  <c r="Z89" i="847" s="1"/>
  <c r="AC89" i="847"/>
  <c r="Y89" i="847"/>
  <c r="BC88" i="847"/>
  <c r="AW88" i="847"/>
  <c r="AV88" i="847"/>
  <c r="AU88" i="847" a="1"/>
  <c r="Z88" i="847" s="1"/>
  <c r="AC88" i="847"/>
  <c r="Y88" i="847"/>
  <c r="BC87" i="847"/>
  <c r="AW87" i="847"/>
  <c r="AV87" i="847"/>
  <c r="AU87" i="847" a="1"/>
  <c r="Z87" i="847" s="1"/>
  <c r="AC87" i="847"/>
  <c r="Y87" i="847"/>
  <c r="BC86" i="847"/>
  <c r="AW86" i="847"/>
  <c r="AV86" i="847"/>
  <c r="AU86" i="847" a="1"/>
  <c r="Z86" i="847" s="1"/>
  <c r="AC86" i="847"/>
  <c r="Y86" i="847"/>
  <c r="BC85" i="847"/>
  <c r="AW85" i="847"/>
  <c r="AV85" i="847"/>
  <c r="AU85" i="847" a="1"/>
  <c r="Z85" i="847" s="1"/>
  <c r="AC85" i="847"/>
  <c r="Y85" i="847"/>
  <c r="BC84" i="847"/>
  <c r="AW84" i="847"/>
  <c r="AV84" i="847"/>
  <c r="AU84" i="847" a="1"/>
  <c r="Z84" i="847" s="1"/>
  <c r="AC84" i="847"/>
  <c r="Y84" i="847"/>
  <c r="BC83" i="847"/>
  <c r="AW83" i="847"/>
  <c r="AV83" i="847"/>
  <c r="AU83" i="847" a="1"/>
  <c r="Z83" i="847" s="1"/>
  <c r="AC83" i="847"/>
  <c r="Y83" i="847"/>
  <c r="BC82" i="847"/>
  <c r="AW82" i="847"/>
  <c r="AV82" i="847"/>
  <c r="AU82" i="847" a="1"/>
  <c r="Z82" i="847" s="1"/>
  <c r="AC82" i="847"/>
  <c r="Y82" i="847"/>
  <c r="BC81" i="847"/>
  <c r="AW81" i="847"/>
  <c r="AV81" i="847"/>
  <c r="AU81" i="847" a="1"/>
  <c r="Z81" i="847" s="1"/>
  <c r="AC81" i="847"/>
  <c r="Y81" i="847"/>
  <c r="BC80" i="847"/>
  <c r="AW80" i="847"/>
  <c r="AV80" i="847"/>
  <c r="AU80" i="847" a="1"/>
  <c r="Z80" i="847" s="1"/>
  <c r="AC80" i="847"/>
  <c r="Y80" i="847"/>
  <c r="BC79" i="847"/>
  <c r="AW79" i="847"/>
  <c r="AV79" i="847"/>
  <c r="AU79" i="847" a="1"/>
  <c r="Z79" i="847" s="1"/>
  <c r="AC79" i="847"/>
  <c r="Y79" i="847"/>
  <c r="BC78" i="847"/>
  <c r="AW78" i="847"/>
  <c r="AV78" i="847"/>
  <c r="AU78" i="847" a="1"/>
  <c r="Z78" i="847" s="1"/>
  <c r="AC78" i="847"/>
  <c r="Y78" i="847"/>
  <c r="BC77" i="847"/>
  <c r="AW77" i="847"/>
  <c r="AV77" i="847"/>
  <c r="AU77" i="847" a="1"/>
  <c r="Z77" i="847" s="1"/>
  <c r="AC77" i="847"/>
  <c r="Y77" i="847"/>
  <c r="BC76" i="847"/>
  <c r="AW76" i="847"/>
  <c r="AV76" i="847"/>
  <c r="AU76" i="847" a="1"/>
  <c r="Z76" i="847" s="1"/>
  <c r="AC76" i="847"/>
  <c r="Y76" i="847"/>
  <c r="BC75" i="847"/>
  <c r="AW75" i="847"/>
  <c r="AV75" i="847"/>
  <c r="AU75" i="847" a="1"/>
  <c r="Z75" i="847" s="1"/>
  <c r="AC75" i="847"/>
  <c r="Y75" i="847"/>
  <c r="BC74" i="847"/>
  <c r="AW74" i="847"/>
  <c r="AV74" i="847"/>
  <c r="AU74" i="847" a="1"/>
  <c r="Z74" i="847" s="1"/>
  <c r="AC74" i="847"/>
  <c r="Y74" i="847"/>
  <c r="BC73" i="847"/>
  <c r="AW73" i="847"/>
  <c r="AV73" i="847"/>
  <c r="AU73" i="847" a="1"/>
  <c r="Z73" i="847" s="1"/>
  <c r="AC73" i="847"/>
  <c r="Y73" i="847"/>
  <c r="BC72" i="847"/>
  <c r="AW72" i="847"/>
  <c r="AV72" i="847"/>
  <c r="AU72" i="847" a="1"/>
  <c r="Z72" i="847" s="1"/>
  <c r="AC72" i="847"/>
  <c r="Y72" i="847"/>
  <c r="BC71" i="847"/>
  <c r="AW71" i="847"/>
  <c r="AV71" i="847"/>
  <c r="AU71" i="847" a="1"/>
  <c r="Z71" i="847" s="1"/>
  <c r="AC71" i="847"/>
  <c r="Y71" i="847"/>
  <c r="BC70" i="847"/>
  <c r="AW70" i="847"/>
  <c r="AV70" i="847"/>
  <c r="AU70" i="847" a="1"/>
  <c r="Z70" i="847" s="1"/>
  <c r="AC70" i="847"/>
  <c r="Y70" i="847"/>
  <c r="BC69" i="847"/>
  <c r="AW69" i="847"/>
  <c r="AV69" i="847"/>
  <c r="AU69" i="847" a="1"/>
  <c r="Z69" i="847" s="1"/>
  <c r="AC69" i="847"/>
  <c r="Y69" i="847"/>
  <c r="BC68" i="847"/>
  <c r="AW68" i="847"/>
  <c r="AV68" i="847"/>
  <c r="AU68" i="847" a="1"/>
  <c r="Z68" i="847" s="1"/>
  <c r="AC68" i="847"/>
  <c r="Y68" i="847"/>
  <c r="BC67" i="847"/>
  <c r="AW67" i="847"/>
  <c r="AV67" i="847"/>
  <c r="AU67" i="847" a="1"/>
  <c r="Z67" i="847" s="1"/>
  <c r="AC67" i="847"/>
  <c r="Y67" i="847"/>
  <c r="BC66" i="847"/>
  <c r="AW66" i="847"/>
  <c r="AV66" i="847"/>
  <c r="AU66" i="847" a="1"/>
  <c r="Z66" i="847" s="1"/>
  <c r="AC66" i="847"/>
  <c r="Y66" i="847"/>
  <c r="BC65" i="847"/>
  <c r="AW65" i="847"/>
  <c r="AV65" i="847"/>
  <c r="AU65" i="847" a="1"/>
  <c r="Z65" i="847" s="1"/>
  <c r="AC65" i="847"/>
  <c r="Y65" i="847"/>
  <c r="BC64" i="847"/>
  <c r="AW64" i="847"/>
  <c r="AV64" i="847"/>
  <c r="AU64" i="847" a="1"/>
  <c r="Z64" i="847" s="1"/>
  <c r="AC64" i="847"/>
  <c r="Y64" i="847"/>
  <c r="BC63" i="847"/>
  <c r="AW63" i="847"/>
  <c r="AV63" i="847"/>
  <c r="AU63" i="847" a="1"/>
  <c r="Z63" i="847" s="1"/>
  <c r="AC63" i="847"/>
  <c r="Y63" i="847"/>
  <c r="BC62" i="847"/>
  <c r="AW62" i="847"/>
  <c r="AV62" i="847"/>
  <c r="AU62" i="847" a="1"/>
  <c r="Z62" i="847" s="1"/>
  <c r="AC62" i="847"/>
  <c r="Y62" i="847"/>
  <c r="BC61" i="847"/>
  <c r="AW61" i="847"/>
  <c r="AV61" i="847"/>
  <c r="AU61" i="847" a="1"/>
  <c r="Z61" i="847" s="1"/>
  <c r="AC61" i="847"/>
  <c r="Y61" i="847"/>
  <c r="BC60" i="847"/>
  <c r="AW60" i="847"/>
  <c r="AV60" i="847"/>
  <c r="AU60" i="847" a="1"/>
  <c r="Z60" i="847" s="1"/>
  <c r="AC60" i="847"/>
  <c r="Y60" i="847"/>
  <c r="BC59" i="847"/>
  <c r="AW59" i="847"/>
  <c r="AV59" i="847"/>
  <c r="AU59" i="847" a="1"/>
  <c r="Z59" i="847" s="1"/>
  <c r="AC59" i="847"/>
  <c r="Y59" i="847"/>
  <c r="BC58" i="847"/>
  <c r="AW58" i="847"/>
  <c r="AV58" i="847"/>
  <c r="AU58" i="847" a="1"/>
  <c r="Z58" i="847" s="1"/>
  <c r="AC58" i="847"/>
  <c r="Y58" i="847"/>
  <c r="BC57" i="847"/>
  <c r="AW57" i="847"/>
  <c r="AV57" i="847"/>
  <c r="AU57" i="847" a="1"/>
  <c r="Z57" i="847" s="1"/>
  <c r="AC57" i="847"/>
  <c r="Y57" i="847"/>
  <c r="BC56" i="847"/>
  <c r="AW56" i="847"/>
  <c r="AV56" i="847"/>
  <c r="AU56" i="847" a="1"/>
  <c r="Z56" i="847" s="1"/>
  <c r="AC56" i="847"/>
  <c r="Y56" i="847"/>
  <c r="BC55" i="847"/>
  <c r="AW55" i="847"/>
  <c r="AV55" i="847"/>
  <c r="AU55" i="847" a="1"/>
  <c r="Z55" i="847" s="1"/>
  <c r="AC55" i="847"/>
  <c r="Y55" i="847"/>
  <c r="BC54" i="847"/>
  <c r="AW54" i="847"/>
  <c r="AV54" i="847"/>
  <c r="AU54" i="847" a="1"/>
  <c r="Z54" i="847" s="1"/>
  <c r="AC54" i="847"/>
  <c r="Y54" i="847"/>
  <c r="BC53" i="847"/>
  <c r="AW53" i="847"/>
  <c r="AV53" i="847"/>
  <c r="AU53" i="847" a="1"/>
  <c r="Z53" i="847" s="1"/>
  <c r="AC53" i="847"/>
  <c r="Y53" i="847"/>
  <c r="BC52" i="847"/>
  <c r="AW52" i="847"/>
  <c r="AV52" i="847"/>
  <c r="AU52" i="847" a="1"/>
  <c r="Z52" i="847" s="1"/>
  <c r="AC52" i="847"/>
  <c r="Y52" i="847"/>
  <c r="BC51" i="847"/>
  <c r="AW51" i="847"/>
  <c r="AV51" i="847"/>
  <c r="AU51" i="847" a="1"/>
  <c r="Z51" i="847" s="1"/>
  <c r="AC51" i="847"/>
  <c r="Y51" i="847"/>
  <c r="BC50" i="847"/>
  <c r="AW50" i="847"/>
  <c r="AV50" i="847"/>
  <c r="AU50" i="847" a="1"/>
  <c r="Z50" i="847" s="1"/>
  <c r="AC50" i="847"/>
  <c r="Y50" i="847"/>
  <c r="BC49" i="847"/>
  <c r="AW49" i="847"/>
  <c r="AV49" i="847"/>
  <c r="AU49" i="847" a="1"/>
  <c r="Z49" i="847" s="1"/>
  <c r="AC49" i="847"/>
  <c r="Y49" i="847"/>
  <c r="BC48" i="847"/>
  <c r="AW48" i="847"/>
  <c r="AV48" i="847"/>
  <c r="AU48" i="847" a="1"/>
  <c r="Z48" i="847" s="1"/>
  <c r="AC48" i="847"/>
  <c r="Y48" i="847"/>
  <c r="BC47" i="847"/>
  <c r="AW47" i="847"/>
  <c r="AV47" i="847"/>
  <c r="AU47" i="847" a="1"/>
  <c r="Z47" i="847" s="1"/>
  <c r="AC47" i="847"/>
  <c r="Y47" i="847"/>
  <c r="BC46" i="847"/>
  <c r="AW46" i="847"/>
  <c r="AV46" i="847"/>
  <c r="AU46" i="847" a="1"/>
  <c r="Z46" i="847" s="1"/>
  <c r="AC46" i="847"/>
  <c r="Y46" i="847"/>
  <c r="BC45" i="847"/>
  <c r="AW45" i="847"/>
  <c r="AV45" i="847"/>
  <c r="AU45" i="847" a="1"/>
  <c r="Z45" i="847" s="1"/>
  <c r="AC45" i="847"/>
  <c r="Y45" i="847"/>
  <c r="BC44" i="847"/>
  <c r="AW44" i="847"/>
  <c r="AV44" i="847"/>
  <c r="AU44" i="847" a="1"/>
  <c r="Z44" i="847" s="1"/>
  <c r="AC44" i="847"/>
  <c r="Y44" i="847"/>
  <c r="BC43" i="847"/>
  <c r="AW43" i="847"/>
  <c r="AV43" i="847"/>
  <c r="AU43" i="847" a="1"/>
  <c r="Z43" i="847" s="1"/>
  <c r="AC43" i="847"/>
  <c r="Y43" i="847"/>
  <c r="BC42" i="847"/>
  <c r="AW42" i="847"/>
  <c r="AV42" i="847"/>
  <c r="AU42" i="847" a="1"/>
  <c r="Z42" i="847" s="1"/>
  <c r="AC42" i="847"/>
  <c r="Y42" i="847"/>
  <c r="BC41" i="847"/>
  <c r="AW41" i="847"/>
  <c r="AV41" i="847"/>
  <c r="AU41" i="847" a="1"/>
  <c r="Z41" i="847" s="1"/>
  <c r="AC41" i="847"/>
  <c r="Y41" i="847"/>
  <c r="BC40" i="847"/>
  <c r="AW40" i="847"/>
  <c r="AV40" i="847"/>
  <c r="AU40" i="847" a="1"/>
  <c r="Z40" i="847" s="1"/>
  <c r="AC40" i="847"/>
  <c r="Y40" i="847"/>
  <c r="BC39" i="847"/>
  <c r="AW39" i="847"/>
  <c r="AV39" i="847"/>
  <c r="AU39" i="847" a="1"/>
  <c r="Z39" i="847" s="1"/>
  <c r="AC39" i="847"/>
  <c r="Y39" i="847"/>
  <c r="BC38" i="847"/>
  <c r="AW38" i="847"/>
  <c r="AV38" i="847"/>
  <c r="AU38" i="847" a="1"/>
  <c r="Z38" i="847" s="1"/>
  <c r="AC38" i="847"/>
  <c r="Y38" i="847"/>
  <c r="BC37" i="847"/>
  <c r="AW37" i="847"/>
  <c r="AV37" i="847"/>
  <c r="AU37" i="847" a="1"/>
  <c r="Z37" i="847" s="1"/>
  <c r="AC37" i="847"/>
  <c r="Y37" i="847"/>
  <c r="BC36" i="847"/>
  <c r="AW36" i="847"/>
  <c r="AV36" i="847"/>
  <c r="AU36" i="847" a="1"/>
  <c r="Z36" i="847" s="1"/>
  <c r="AC36" i="847"/>
  <c r="Y36" i="847"/>
  <c r="BC35" i="847"/>
  <c r="AW35" i="847"/>
  <c r="AV35" i="847"/>
  <c r="AU35" i="847" a="1"/>
  <c r="Z35" i="847" s="1"/>
  <c r="AC35" i="847"/>
  <c r="Y35" i="847"/>
  <c r="BC34" i="847"/>
  <c r="AW34" i="847"/>
  <c r="AV34" i="847"/>
  <c r="AU34" i="847" a="1"/>
  <c r="Z34" i="847" s="1"/>
  <c r="AC34" i="847"/>
  <c r="Y34" i="847"/>
  <c r="BC33" i="847"/>
  <c r="AW33" i="847"/>
  <c r="AV33" i="847"/>
  <c r="AU33" i="847" a="1"/>
  <c r="Z33" i="847" s="1"/>
  <c r="AC33" i="847"/>
  <c r="Y33" i="847"/>
  <c r="BC32" i="847"/>
  <c r="AW32" i="847"/>
  <c r="AV32" i="847"/>
  <c r="AU32" i="847" a="1"/>
  <c r="Z32" i="847" s="1"/>
  <c r="AC32" i="847"/>
  <c r="Y32" i="847"/>
  <c r="BC31" i="847"/>
  <c r="AW31" i="847"/>
  <c r="AV31" i="847"/>
  <c r="AU31" i="847" a="1"/>
  <c r="Z31" i="847" s="1"/>
  <c r="AC31" i="847"/>
  <c r="Y31" i="847"/>
  <c r="BC30" i="847"/>
  <c r="AW30" i="847"/>
  <c r="AV30" i="847"/>
  <c r="AU30" i="847" a="1"/>
  <c r="Z30" i="847" s="1"/>
  <c r="AC30" i="847"/>
  <c r="Y30" i="847"/>
  <c r="BC29" i="847"/>
  <c r="AW29" i="847"/>
  <c r="AV29" i="847"/>
  <c r="AU29" i="847" a="1"/>
  <c r="Z29" i="847" s="1"/>
  <c r="AC29" i="847"/>
  <c r="Y29" i="847"/>
  <c r="BC28" i="847"/>
  <c r="AW28" i="847"/>
  <c r="AV28" i="847"/>
  <c r="AU28" i="847" a="1"/>
  <c r="Z28" i="847" s="1"/>
  <c r="AC28" i="847"/>
  <c r="Y28" i="847"/>
  <c r="BC27" i="847"/>
  <c r="AW27" i="847"/>
  <c r="AV27" i="847"/>
  <c r="AU27" i="847" a="1"/>
  <c r="Z27" i="847" s="1"/>
  <c r="Y27" i="847"/>
  <c r="BC26" i="847"/>
  <c r="AW26" i="847"/>
  <c r="AV26" i="847"/>
  <c r="AU26" i="847" a="1"/>
  <c r="Z26" i="847" s="1"/>
  <c r="Y26" i="847"/>
  <c r="BC25" i="847"/>
  <c r="AW25" i="847"/>
  <c r="AV25" i="847"/>
  <c r="AU25" i="847" a="1"/>
  <c r="Z25" i="847" s="1"/>
  <c r="Y25" i="847"/>
  <c r="BC24" i="847"/>
  <c r="AW24" i="847"/>
  <c r="AV24" i="847"/>
  <c r="AU24" i="847" a="1"/>
  <c r="Z24" i="847" s="1"/>
  <c r="Y24" i="847"/>
  <c r="BC23" i="847"/>
  <c r="AW23" i="847"/>
  <c r="AV23" i="847"/>
  <c r="AU23" i="847" a="1"/>
  <c r="Z23" i="847" s="1"/>
  <c r="Y23" i="847"/>
  <c r="BC22" i="847"/>
  <c r="AW22" i="847"/>
  <c r="AV22" i="847"/>
  <c r="AU22" i="847" a="1"/>
  <c r="Z22" i="847" s="1"/>
  <c r="Y22" i="847"/>
  <c r="BC21" i="847"/>
  <c r="AW21" i="847"/>
  <c r="AV21" i="847"/>
  <c r="AU21" i="847" a="1"/>
  <c r="Z21" i="847" s="1"/>
  <c r="Y21" i="847"/>
  <c r="BC20" i="847"/>
  <c r="AW20" i="847"/>
  <c r="AV20" i="847"/>
  <c r="AU20" i="847" a="1"/>
  <c r="Z20" i="847" s="1"/>
  <c r="Y20" i="847"/>
  <c r="AT19" i="847"/>
  <c r="AS19" i="847"/>
  <c r="AR19" i="847"/>
  <c r="AQ19" i="847"/>
  <c r="AP19" i="847"/>
  <c r="AO19" i="847"/>
  <c r="AN19" i="847"/>
  <c r="AM19" i="847"/>
  <c r="AL19" i="847"/>
  <c r="AK19" i="847"/>
  <c r="AJ19" i="847"/>
  <c r="AI19" i="847"/>
  <c r="AH19" i="847"/>
  <c r="AG19" i="847"/>
  <c r="AE19" i="847"/>
  <c r="AD19" i="847"/>
  <c r="AT18" i="847"/>
  <c r="AS18" i="847"/>
  <c r="AR18" i="847"/>
  <c r="AQ18" i="847"/>
  <c r="AP18" i="847"/>
  <c r="AO18" i="847"/>
  <c r="AN18" i="847"/>
  <c r="AM18" i="847"/>
  <c r="AL18" i="847"/>
  <c r="AK18" i="847"/>
  <c r="AJ18" i="847"/>
  <c r="AI18" i="847"/>
  <c r="AH18" i="847"/>
  <c r="AG18" i="847"/>
  <c r="AF18" i="847"/>
  <c r="AE18" i="847"/>
  <c r="AD18" i="847"/>
  <c r="K13" i="847"/>
  <c r="K12" i="847"/>
  <c r="K11" i="847"/>
  <c r="K10" i="847"/>
  <c r="K9" i="847"/>
  <c r="K8" i="847"/>
  <c r="K7" i="847"/>
  <c r="K6" i="847"/>
  <c r="K5" i="847"/>
  <c r="Z3" i="847"/>
  <c r="Y3" i="847"/>
  <c r="X3" i="847"/>
  <c r="W3" i="847"/>
  <c r="V3" i="847"/>
  <c r="U3" i="847"/>
  <c r="T3" i="847"/>
  <c r="S3" i="847"/>
  <c r="R3" i="847"/>
  <c r="Q3" i="847"/>
  <c r="P3" i="847"/>
  <c r="O3" i="847"/>
  <c r="N3" i="847"/>
  <c r="M3" i="847"/>
  <c r="L3" i="847"/>
  <c r="K3" i="847"/>
  <c r="J3" i="847"/>
  <c r="H3" i="847"/>
  <c r="F3" i="847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AB9" i="124"/>
  <c r="AB10" i="124"/>
  <c r="AB11" i="124"/>
  <c r="AB12" i="124"/>
  <c r="AB13" i="124"/>
  <c r="AB14" i="124"/>
  <c r="AB15" i="124"/>
  <c r="AB16" i="124"/>
  <c r="AB17" i="124"/>
  <c r="AB18" i="124"/>
  <c r="AB19" i="124"/>
  <c r="AB20" i="124"/>
  <c r="AB21" i="124"/>
  <c r="AB22" i="124"/>
  <c r="AB23" i="124"/>
  <c r="AB24" i="124"/>
  <c r="AB25" i="124"/>
  <c r="AB26" i="124"/>
  <c r="AB27" i="124"/>
  <c r="AB28" i="124"/>
  <c r="AB29" i="124"/>
  <c r="AB30" i="124"/>
  <c r="AB31" i="124"/>
  <c r="AB32" i="124"/>
  <c r="AB33" i="124"/>
  <c r="AB34" i="124"/>
  <c r="AB35" i="124"/>
  <c r="AB36" i="124"/>
  <c r="AB37" i="124"/>
  <c r="AB38" i="124"/>
  <c r="AB39" i="124"/>
  <c r="AB40" i="124"/>
  <c r="AB41" i="124"/>
  <c r="AB42" i="124"/>
  <c r="AB43" i="124"/>
  <c r="AB44" i="124"/>
  <c r="AB45" i="124"/>
  <c r="AB46" i="124"/>
  <c r="AB47" i="124"/>
  <c r="AB48" i="124"/>
  <c r="AB49" i="124"/>
  <c r="AB50" i="124"/>
  <c r="AB51" i="124"/>
  <c r="AB52" i="124"/>
  <c r="AB53" i="124"/>
  <c r="AB54" i="124"/>
  <c r="AB55" i="124"/>
  <c r="AB56" i="124"/>
  <c r="AB57" i="124"/>
  <c r="AB58" i="124"/>
  <c r="AB59" i="124"/>
  <c r="AB60" i="124"/>
  <c r="AB61" i="124"/>
  <c r="AB62" i="124"/>
  <c r="AB63" i="124"/>
  <c r="AB64" i="124"/>
  <c r="AB65" i="124"/>
  <c r="AB66" i="124"/>
  <c r="AB67" i="124"/>
  <c r="AB68" i="124"/>
  <c r="AB69" i="124"/>
  <c r="AB70" i="124"/>
  <c r="AB71" i="124"/>
  <c r="AB72" i="124"/>
  <c r="AB73" i="124"/>
  <c r="AB74" i="124"/>
  <c r="AB75" i="124"/>
  <c r="AB76" i="124"/>
  <c r="AB77" i="124"/>
  <c r="AB78" i="124"/>
  <c r="AB79" i="124"/>
  <c r="AB80" i="124"/>
  <c r="AB81" i="124"/>
  <c r="AB82" i="124"/>
  <c r="AB83" i="124"/>
  <c r="AB84" i="124"/>
  <c r="AB85" i="124"/>
  <c r="AB86" i="124"/>
  <c r="AB87" i="124"/>
  <c r="AB88" i="124"/>
  <c r="AB89" i="124"/>
  <c r="AB90" i="124"/>
  <c r="AB91" i="124"/>
  <c r="AB92" i="124"/>
  <c r="AB93" i="124"/>
  <c r="AB94" i="124"/>
  <c r="AB95" i="124"/>
  <c r="AB96" i="124"/>
  <c r="AB97" i="124"/>
  <c r="AB98" i="124"/>
  <c r="AB99" i="124"/>
  <c r="AB100" i="124"/>
  <c r="AB101" i="124"/>
  <c r="AB102" i="124"/>
  <c r="AB103" i="124"/>
  <c r="AB104" i="124"/>
  <c r="AB105" i="124"/>
  <c r="AB106" i="124"/>
  <c r="AB107" i="124"/>
  <c r="AB108" i="124"/>
  <c r="AB109" i="124"/>
  <c r="AB110" i="124"/>
  <c r="AB111" i="124"/>
  <c r="AB112" i="124"/>
  <c r="AB113" i="124"/>
  <c r="AB114" i="124"/>
  <c r="AB115" i="124"/>
  <c r="AB116" i="124"/>
  <c r="AB117" i="124"/>
  <c r="AB118" i="124"/>
  <c r="AB119" i="124"/>
  <c r="AB120" i="124"/>
  <c r="AB121" i="124"/>
  <c r="AB122" i="124"/>
  <c r="AB123" i="124"/>
  <c r="AB124" i="124"/>
  <c r="AB125" i="124"/>
  <c r="AB126" i="124"/>
  <c r="AB127" i="124"/>
  <c r="AB128" i="124"/>
  <c r="AB129" i="124"/>
  <c r="AB130" i="124"/>
  <c r="AB131" i="124"/>
  <c r="AB132" i="124"/>
  <c r="AB133" i="124"/>
  <c r="AB134" i="124"/>
  <c r="AB135" i="124"/>
  <c r="AB136" i="124"/>
  <c r="AB137" i="124"/>
  <c r="AB138" i="124"/>
  <c r="AB139" i="124"/>
  <c r="AB140" i="124"/>
  <c r="AB141" i="124"/>
  <c r="AB142" i="124"/>
  <c r="AB143" i="124"/>
  <c r="AB144" i="124"/>
  <c r="AB145" i="124"/>
  <c r="AB146" i="124"/>
  <c r="AB147" i="124"/>
  <c r="AB148" i="124"/>
  <c r="AB149" i="124"/>
  <c r="AB150" i="124"/>
  <c r="AB151" i="124"/>
  <c r="AB152" i="124"/>
  <c r="AB153" i="124"/>
  <c r="AB154" i="124"/>
  <c r="AB155" i="124"/>
  <c r="AB156" i="124"/>
  <c r="AB157" i="124"/>
  <c r="AB158" i="124"/>
  <c r="AB159" i="124"/>
  <c r="AB160" i="124"/>
  <c r="AB161" i="124"/>
  <c r="AB162" i="124"/>
  <c r="AB163" i="124"/>
  <c r="AB164" i="124"/>
  <c r="AB165" i="124"/>
  <c r="AB166" i="124"/>
  <c r="AB167" i="124"/>
  <c r="AB168" i="124"/>
  <c r="AB169" i="124"/>
  <c r="AB170" i="124"/>
  <c r="AB171" i="124"/>
  <c r="AB172" i="124"/>
  <c r="AB173" i="124"/>
  <c r="AB174" i="124"/>
  <c r="AB175" i="124"/>
  <c r="AB176" i="124"/>
  <c r="AB177" i="124"/>
  <c r="AB178" i="124"/>
  <c r="AB179" i="124"/>
  <c r="AB180" i="124"/>
  <c r="AB181" i="124"/>
  <c r="AB182" i="124"/>
  <c r="AB183" i="124"/>
  <c r="AB184" i="124"/>
  <c r="AB185" i="124"/>
  <c r="AB186" i="124"/>
  <c r="AB187" i="124"/>
  <c r="AB188" i="124"/>
  <c r="AB189" i="124"/>
  <c r="AB190" i="124"/>
  <c r="AB191" i="124"/>
  <c r="AB192" i="124"/>
  <c r="AB193" i="124"/>
  <c r="AB194" i="124"/>
  <c r="AB195" i="124"/>
  <c r="AB196" i="124"/>
  <c r="AB197" i="124"/>
  <c r="AB198" i="124"/>
  <c r="AB199" i="124"/>
  <c r="AB200" i="124"/>
  <c r="AB201" i="124"/>
  <c r="AB202" i="124"/>
  <c r="AB203" i="124"/>
  <c r="AB204" i="124"/>
  <c r="AB205" i="124"/>
  <c r="AB206" i="124"/>
  <c r="AB207" i="124"/>
  <c r="AB8" i="124"/>
  <c r="S5" i="823"/>
  <c r="C5" i="823"/>
  <c r="C4" i="823"/>
  <c r="Y104" i="844"/>
  <c r="N10" i="834" a="1"/>
  <c r="K9" i="834" s="1"/>
  <c r="AG196" i="844"/>
  <c r="AG197" i="844"/>
  <c r="AG198" i="844"/>
  <c r="AG195" i="844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D18" i="844"/>
  <c r="AE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Y27" i="844"/>
  <c r="AU27" i="844" a="1"/>
  <c r="AV27" i="844"/>
  <c r="AW27" i="844"/>
  <c r="Y28" i="844"/>
  <c r="AU28" i="844" a="1"/>
  <c r="AV28" i="844"/>
  <c r="AW28" i="844"/>
  <c r="Y29" i="844"/>
  <c r="AU29" i="844" a="1"/>
  <c r="AV29" i="844"/>
  <c r="AW29" i="844"/>
  <c r="Y30" i="844"/>
  <c r="AU30" i="844" a="1"/>
  <c r="AV30" i="844"/>
  <c r="AW30" i="844"/>
  <c r="Y31" i="844"/>
  <c r="AU31" i="844" a="1"/>
  <c r="AV31" i="844"/>
  <c r="AW31" i="844"/>
  <c r="Y32" i="844"/>
  <c r="AU32" i="844" a="1"/>
  <c r="AV32" i="844"/>
  <c r="AW32" i="844"/>
  <c r="Y33" i="844"/>
  <c r="AU33" i="844" a="1"/>
  <c r="AV33" i="844"/>
  <c r="AW33" i="844"/>
  <c r="Y34" i="844"/>
  <c r="AU34" i="844" a="1"/>
  <c r="AV34" i="844"/>
  <c r="AW34" i="844"/>
  <c r="Y35" i="844"/>
  <c r="AU35" i="844" a="1"/>
  <c r="AV35" i="844"/>
  <c r="AW35" i="844"/>
  <c r="Y36" i="844"/>
  <c r="AU36" i="844" a="1"/>
  <c r="AV36" i="844"/>
  <c r="AW36" i="844"/>
  <c r="Y37" i="844"/>
  <c r="AU37" i="844" a="1"/>
  <c r="AV37" i="844"/>
  <c r="AW37" i="844"/>
  <c r="Y38" i="844"/>
  <c r="AU38" i="844" a="1"/>
  <c r="AV38" i="844"/>
  <c r="AW38" i="844"/>
  <c r="Y39" i="844"/>
  <c r="AU39" i="844" a="1"/>
  <c r="AV39" i="844"/>
  <c r="AW39" i="844"/>
  <c r="Y40" i="844"/>
  <c r="AU40" i="844" a="1"/>
  <c r="AV40" i="844"/>
  <c r="AW40" i="844"/>
  <c r="Y41" i="844"/>
  <c r="AU41" i="844" a="1"/>
  <c r="AV41" i="844"/>
  <c r="AW41" i="844"/>
  <c r="Y42" i="844"/>
  <c r="AU42" i="844" a="1"/>
  <c r="AV42" i="844"/>
  <c r="AW42" i="844"/>
  <c r="Y43" i="844"/>
  <c r="AU43" i="844" a="1"/>
  <c r="AV43" i="844"/>
  <c r="AW43" i="844"/>
  <c r="Y44" i="844"/>
  <c r="AU44" i="844" a="1"/>
  <c r="AV44" i="844"/>
  <c r="AW44" i="844"/>
  <c r="Y45" i="844"/>
  <c r="AU45" i="844" a="1"/>
  <c r="AV45" i="844"/>
  <c r="AW45" i="844"/>
  <c r="Y46" i="844"/>
  <c r="AU46" i="844" a="1"/>
  <c r="AV46" i="844"/>
  <c r="AW46" i="844"/>
  <c r="Y47" i="844"/>
  <c r="AU47" i="844" a="1"/>
  <c r="AV47" i="844"/>
  <c r="AW47" i="844"/>
  <c r="Y48" i="844"/>
  <c r="AU48" i="844" a="1"/>
  <c r="AV48" i="844"/>
  <c r="AW48" i="844"/>
  <c r="Y49" i="844"/>
  <c r="AU49" i="844" a="1"/>
  <c r="AV49" i="844"/>
  <c r="AW49" i="844"/>
  <c r="Y50" i="844"/>
  <c r="AU50" i="844" a="1"/>
  <c r="AV50" i="844"/>
  <c r="AW50" i="844"/>
  <c r="Y51" i="844"/>
  <c r="AU51" i="844" a="1"/>
  <c r="AV51" i="844"/>
  <c r="AW51" i="844"/>
  <c r="Y52" i="844"/>
  <c r="AU52" i="844" a="1"/>
  <c r="AV52" i="844"/>
  <c r="AW52" i="844"/>
  <c r="Y53" i="844"/>
  <c r="AU53" i="844" a="1"/>
  <c r="AV53" i="844"/>
  <c r="AW53" i="844"/>
  <c r="Y54" i="844"/>
  <c r="AU54" i="844" a="1"/>
  <c r="AV54" i="844"/>
  <c r="AW54" i="844"/>
  <c r="Y55" i="844"/>
  <c r="AU55" i="844" a="1"/>
  <c r="AV55" i="844"/>
  <c r="AW55" i="844"/>
  <c r="Y56" i="844"/>
  <c r="AU56" i="844" a="1"/>
  <c r="AV56" i="844"/>
  <c r="AW56" i="844"/>
  <c r="Y57" i="844"/>
  <c r="AU57" i="844" a="1"/>
  <c r="AV57" i="844"/>
  <c r="AW57" i="844"/>
  <c r="Y58" i="844"/>
  <c r="AU58" i="844" a="1"/>
  <c r="AV58" i="844"/>
  <c r="AW58" i="844"/>
  <c r="Y59" i="844"/>
  <c r="AU59" i="844" a="1"/>
  <c r="AV59" i="844"/>
  <c r="AW59" i="844"/>
  <c r="Y60" i="844"/>
  <c r="AU60" i="844" a="1"/>
  <c r="AV60" i="844"/>
  <c r="AW60" i="844"/>
  <c r="Y61" i="844"/>
  <c r="AU61" i="844" a="1"/>
  <c r="AV61" i="844"/>
  <c r="AW61" i="844"/>
  <c r="Y62" i="844"/>
  <c r="AU62" i="844" a="1"/>
  <c r="AV62" i="844"/>
  <c r="AW62" i="844"/>
  <c r="Y63" i="844"/>
  <c r="AU63" i="844" a="1"/>
  <c r="AV63" i="844"/>
  <c r="AW63" i="844"/>
  <c r="Y64" i="844"/>
  <c r="AU64" i="844" a="1"/>
  <c r="AV64" i="844"/>
  <c r="AW64" i="844"/>
  <c r="Y65" i="844"/>
  <c r="AU65" i="844" a="1"/>
  <c r="AV65" i="844"/>
  <c r="AW65" i="844"/>
  <c r="Y66" i="844"/>
  <c r="AU66" i="844" a="1"/>
  <c r="AV66" i="844"/>
  <c r="AW66" i="844"/>
  <c r="Y67" i="844"/>
  <c r="AU67" i="844" a="1"/>
  <c r="AV67" i="844"/>
  <c r="AW67" i="844"/>
  <c r="Y68" i="844"/>
  <c r="AU68" i="844" a="1"/>
  <c r="AV68" i="844"/>
  <c r="AW68" i="844"/>
  <c r="Y69" i="844"/>
  <c r="AU69" i="844" a="1"/>
  <c r="AV69" i="844"/>
  <c r="AW69" i="844"/>
  <c r="Y70" i="844"/>
  <c r="AU70" i="844" a="1"/>
  <c r="AV70" i="844"/>
  <c r="AW70" i="844"/>
  <c r="Y71" i="844"/>
  <c r="AU71" i="844" a="1"/>
  <c r="AV71" i="844"/>
  <c r="AW71" i="844"/>
  <c r="Y72" i="844"/>
  <c r="AU72" i="844" a="1"/>
  <c r="AV72" i="844"/>
  <c r="AW72" i="844"/>
  <c r="Y73" i="844"/>
  <c r="AU73" i="844" a="1"/>
  <c r="AV73" i="844"/>
  <c r="AW73" i="844"/>
  <c r="Y74" i="844"/>
  <c r="AU74" i="844" a="1"/>
  <c r="AV74" i="844"/>
  <c r="AW74" i="844"/>
  <c r="Y75" i="844"/>
  <c r="AU75" i="844" a="1"/>
  <c r="AV75" i="844"/>
  <c r="AW75" i="844"/>
  <c r="Y76" i="844"/>
  <c r="AU76" i="844" a="1"/>
  <c r="AV76" i="844"/>
  <c r="AW76" i="844"/>
  <c r="Y77" i="844"/>
  <c r="AU77" i="844" a="1"/>
  <c r="AV77" i="844"/>
  <c r="AW77" i="844"/>
  <c r="Y78" i="844"/>
  <c r="AU78" i="844" a="1"/>
  <c r="AV78" i="844"/>
  <c r="AW78" i="844"/>
  <c r="Y79" i="844"/>
  <c r="AU79" i="844" a="1"/>
  <c r="AV79" i="844"/>
  <c r="AW79" i="844"/>
  <c r="Y80" i="844"/>
  <c r="AU80" i="844" a="1"/>
  <c r="AV80" i="844"/>
  <c r="AW80" i="844"/>
  <c r="Y81" i="844"/>
  <c r="AU81" i="844" a="1"/>
  <c r="AV81" i="844"/>
  <c r="AW81" i="844"/>
  <c r="Y82" i="844"/>
  <c r="AU82" i="844" a="1"/>
  <c r="AV82" i="844"/>
  <c r="AW82" i="844"/>
  <c r="Y83" i="844"/>
  <c r="AU83" i="844" a="1"/>
  <c r="AV83" i="844"/>
  <c r="AW83" i="844"/>
  <c r="Y84" i="844"/>
  <c r="AU84" i="844" a="1"/>
  <c r="AV84" i="844"/>
  <c r="AW84" i="844"/>
  <c r="Y85" i="844"/>
  <c r="AU85" i="844" a="1"/>
  <c r="AV85" i="844"/>
  <c r="AW85" i="844"/>
  <c r="Y86" i="844"/>
  <c r="AU86" i="844" a="1"/>
  <c r="AV86" i="844"/>
  <c r="AW86" i="844"/>
  <c r="Y87" i="844"/>
  <c r="AU87" i="844" a="1"/>
  <c r="AV87" i="844"/>
  <c r="AW87" i="844"/>
  <c r="Y88" i="844"/>
  <c r="AU88" i="844" a="1"/>
  <c r="AV88" i="844"/>
  <c r="AW88" i="844"/>
  <c r="Y89" i="844"/>
  <c r="AU89" i="844" a="1"/>
  <c r="AV89" i="844"/>
  <c r="AW89" i="844"/>
  <c r="Y90" i="844"/>
  <c r="AU90" i="844" a="1"/>
  <c r="AV90" i="844"/>
  <c r="AW90" i="844"/>
  <c r="Y91" i="844"/>
  <c r="AU91" i="844" a="1"/>
  <c r="AV91" i="844"/>
  <c r="AW91" i="844"/>
  <c r="Y92" i="844"/>
  <c r="AU92" i="844" a="1"/>
  <c r="AV92" i="844"/>
  <c r="AW92" i="844"/>
  <c r="Y93" i="844"/>
  <c r="AU93" i="844" a="1"/>
  <c r="AV93" i="844"/>
  <c r="AW93" i="844"/>
  <c r="Y94" i="844"/>
  <c r="AU94" i="844" a="1"/>
  <c r="AV94" i="844"/>
  <c r="AW94" i="844"/>
  <c r="Y95" i="844"/>
  <c r="AU95" i="844" a="1"/>
  <c r="AV95" i="844"/>
  <c r="AW95" i="844"/>
  <c r="AU96" i="844" a="1"/>
  <c r="AV96" i="844"/>
  <c r="AW96" i="844"/>
  <c r="AU97" i="844" a="1"/>
  <c r="AV97" i="844"/>
  <c r="AW97" i="844"/>
  <c r="AU98" i="844" a="1"/>
  <c r="AV98" i="844"/>
  <c r="AW98" i="844"/>
  <c r="AU99" i="844" a="1"/>
  <c r="AV99" i="844"/>
  <c r="AW99" i="844"/>
  <c r="AU100" i="844" a="1"/>
  <c r="AV100" i="844"/>
  <c r="AW100" i="844"/>
  <c r="AU101" i="844" a="1"/>
  <c r="AV101" i="844"/>
  <c r="AW101" i="844"/>
  <c r="AU102" i="844" a="1"/>
  <c r="AV102" i="844"/>
  <c r="AW102" i="844"/>
  <c r="AU103" i="844" a="1"/>
  <c r="AV103" i="844"/>
  <c r="AW103" i="844"/>
  <c r="AU104" i="844" a="1"/>
  <c r="AV104" i="844"/>
  <c r="AW104" i="844"/>
  <c r="AU105" i="844" a="1"/>
  <c r="AV105" i="844"/>
  <c r="AW105" i="844"/>
  <c r="AU106" i="844" a="1"/>
  <c r="AV106" i="844"/>
  <c r="AW106" i="844"/>
  <c r="AU107" i="844" a="1"/>
  <c r="AV107" i="844"/>
  <c r="AW107" i="844"/>
  <c r="AU108" i="844" a="1"/>
  <c r="AV108" i="844"/>
  <c r="AW108" i="844"/>
  <c r="AU109" i="844" a="1"/>
  <c r="AV109" i="844"/>
  <c r="AW109" i="844"/>
  <c r="AU110" i="844" a="1"/>
  <c r="AV110" i="844"/>
  <c r="AW110" i="844"/>
  <c r="Y111" i="844"/>
  <c r="AU111" i="844" a="1"/>
  <c r="AV111" i="844"/>
  <c r="AW111" i="844"/>
  <c r="AU112" i="844" a="1"/>
  <c r="AV112" i="844"/>
  <c r="AW112" i="844"/>
  <c r="AU113" i="844" a="1"/>
  <c r="AV113" i="844"/>
  <c r="AW113" i="844"/>
  <c r="AU114" i="844" a="1"/>
  <c r="AV114" i="844"/>
  <c r="AW114" i="844"/>
  <c r="AU115" i="844" a="1"/>
  <c r="AV115" i="844"/>
  <c r="AW115" i="844"/>
  <c r="AU116" i="844" a="1"/>
  <c r="AV116" i="844"/>
  <c r="AW116" i="844"/>
  <c r="AU117" i="844" a="1"/>
  <c r="AV117" i="844"/>
  <c r="AW117" i="844"/>
  <c r="AU118" i="844" a="1"/>
  <c r="AV118" i="844"/>
  <c r="AW118" i="844"/>
  <c r="AU119" i="844" a="1"/>
  <c r="AV119" i="844"/>
  <c r="AW119" i="844"/>
  <c r="AU120" i="844" a="1"/>
  <c r="AV120" i="844"/>
  <c r="AW120" i="844"/>
  <c r="AU121" i="844" a="1"/>
  <c r="AV121" i="844"/>
  <c r="AW121" i="844"/>
  <c r="AU122" i="844" a="1"/>
  <c r="AV122" i="844"/>
  <c r="AW122" i="844"/>
  <c r="AU123" i="844" a="1"/>
  <c r="AV123" i="844"/>
  <c r="AW123" i="844"/>
  <c r="AU124" i="844" a="1"/>
  <c r="AV124" i="844"/>
  <c r="AW124" i="844"/>
  <c r="AU125" i="844" a="1"/>
  <c r="AV125" i="844"/>
  <c r="AW125" i="844"/>
  <c r="AU126" i="844" a="1"/>
  <c r="AV126" i="844"/>
  <c r="AW126" i="844"/>
  <c r="Y127" i="844"/>
  <c r="AU127" i="844" a="1"/>
  <c r="AV127" i="844"/>
  <c r="AW127" i="844"/>
  <c r="Y128" i="844"/>
  <c r="AU128" i="844" a="1"/>
  <c r="AV128" i="844"/>
  <c r="AW128" i="844"/>
  <c r="Y129" i="844"/>
  <c r="AU129" i="844" a="1"/>
  <c r="AV129" i="844"/>
  <c r="AW129" i="844"/>
  <c r="Y130" i="844"/>
  <c r="AU130" i="844" a="1"/>
  <c r="AV130" i="844"/>
  <c r="AW130" i="844"/>
  <c r="Y131" i="844"/>
  <c r="AU131" i="844" a="1"/>
  <c r="AV131" i="844"/>
  <c r="AW131" i="844"/>
  <c r="Y132" i="844"/>
  <c r="AU132" i="844" a="1"/>
  <c r="AV132" i="844"/>
  <c r="AW132" i="844"/>
  <c r="Y133" i="844"/>
  <c r="AU133" i="844" a="1"/>
  <c r="AV133" i="844"/>
  <c r="AW133" i="844"/>
  <c r="Y134" i="844"/>
  <c r="AU134" i="844" a="1"/>
  <c r="AV134" i="844"/>
  <c r="AW134" i="844"/>
  <c r="Y135" i="844"/>
  <c r="AU135" i="844" a="1"/>
  <c r="AV135" i="844"/>
  <c r="AW135" i="844"/>
  <c r="AU136" i="844" a="1"/>
  <c r="AV136" i="844"/>
  <c r="AW136" i="844"/>
  <c r="AU137" i="844" a="1"/>
  <c r="AV137" i="844"/>
  <c r="AW137" i="844"/>
  <c r="AU138" i="844" a="1"/>
  <c r="AV138" i="844"/>
  <c r="AW138" i="844"/>
  <c r="AU139" i="844" a="1"/>
  <c r="AV139" i="844"/>
  <c r="AW139" i="844"/>
  <c r="AU140" i="844" a="1"/>
  <c r="AV140" i="844"/>
  <c r="AW140" i="844"/>
  <c r="AU141" i="844" a="1"/>
  <c r="AV141" i="844"/>
  <c r="AW141" i="844"/>
  <c r="AU142" i="844" a="1"/>
  <c r="AV142" i="844"/>
  <c r="AW142" i="844"/>
  <c r="Y143" i="844"/>
  <c r="AU143" i="844" a="1"/>
  <c r="AV143" i="844"/>
  <c r="AW143" i="844"/>
  <c r="AU144" i="844" a="1"/>
  <c r="AV144" i="844"/>
  <c r="AW144" i="844"/>
  <c r="AU145" i="844" a="1"/>
  <c r="AV145" i="844"/>
  <c r="AW145" i="844"/>
  <c r="AU146" i="844" a="1"/>
  <c r="AV146" i="844"/>
  <c r="AW146" i="844"/>
  <c r="AU147" i="844" a="1"/>
  <c r="AV147" i="844"/>
  <c r="AW147" i="844"/>
  <c r="AU148" i="844" a="1"/>
  <c r="AV148" i="844"/>
  <c r="AW148" i="844"/>
  <c r="Y149" i="844"/>
  <c r="AU149" i="844" a="1"/>
  <c r="AV149" i="844"/>
  <c r="AW149" i="844"/>
  <c r="Y150" i="844"/>
  <c r="AU150" i="844" a="1"/>
  <c r="AV150" i="844"/>
  <c r="AW150" i="844"/>
  <c r="Y151" i="844"/>
  <c r="AU151" i="844" a="1"/>
  <c r="AV151" i="844"/>
  <c r="AW151" i="844"/>
  <c r="Y152" i="844"/>
  <c r="AU152" i="844" a="1"/>
  <c r="AV152" i="844"/>
  <c r="AW152" i="844"/>
  <c r="Y153" i="844"/>
  <c r="AU153" i="844" a="1"/>
  <c r="AV153" i="844"/>
  <c r="AW153" i="844"/>
  <c r="Y154" i="844"/>
  <c r="AU154" i="844" a="1"/>
  <c r="AV154" i="844"/>
  <c r="AW154" i="844"/>
  <c r="Y155" i="844"/>
  <c r="AU155" i="844" a="1"/>
  <c r="AV155" i="844"/>
  <c r="AW155" i="844"/>
  <c r="Y156" i="844"/>
  <c r="AU156" i="844" a="1"/>
  <c r="AV156" i="844"/>
  <c r="AW156" i="844"/>
  <c r="Y157" i="844"/>
  <c r="AU157" i="844" a="1"/>
  <c r="AV157" i="844"/>
  <c r="AW157" i="844"/>
  <c r="Y158" i="844"/>
  <c r="AU158" i="844" a="1"/>
  <c r="AV158" i="844"/>
  <c r="AW158" i="844"/>
  <c r="Y159" i="844"/>
  <c r="AU159" i="844" a="1"/>
  <c r="AV159" i="844"/>
  <c r="AW159" i="844"/>
  <c r="Y160" i="844"/>
  <c r="AU160" i="844" a="1"/>
  <c r="AV160" i="844"/>
  <c r="AW160" i="844"/>
  <c r="AU161" i="844" a="1"/>
  <c r="AV161" i="844"/>
  <c r="AW161" i="844"/>
  <c r="AU162" i="844" a="1"/>
  <c r="AV162" i="844"/>
  <c r="AW162" i="844"/>
  <c r="AU163" i="844" a="1"/>
  <c r="AV163" i="844"/>
  <c r="AW163" i="844"/>
  <c r="AU164" i="844" a="1"/>
  <c r="AV164" i="844"/>
  <c r="AW164" i="844"/>
  <c r="Y165" i="844"/>
  <c r="AU165" i="844" a="1"/>
  <c r="AV165" i="844"/>
  <c r="AW165" i="844"/>
  <c r="AU166" i="844" a="1"/>
  <c r="AV166" i="844"/>
  <c r="AW166" i="844"/>
  <c r="Y167" i="844"/>
  <c r="AU167" i="844" a="1"/>
  <c r="AV167" i="844"/>
  <c r="AW167" i="844"/>
  <c r="AU168" i="844" a="1"/>
  <c r="AV168" i="844"/>
  <c r="AW168" i="844"/>
  <c r="AU169" i="844" a="1"/>
  <c r="AV169" i="844"/>
  <c r="AW169" i="844"/>
  <c r="Y170" i="844"/>
  <c r="AU170" i="844" a="1"/>
  <c r="AV170" i="844"/>
  <c r="AW170" i="844"/>
  <c r="AU171" i="844" a="1"/>
  <c r="AV171" i="844"/>
  <c r="AW171" i="844"/>
  <c r="AU172" i="844" a="1"/>
  <c r="AV172" i="844"/>
  <c r="AW172" i="844"/>
  <c r="Y173" i="844"/>
  <c r="AU173" i="844" a="1"/>
  <c r="AV173" i="844"/>
  <c r="AW173" i="844"/>
  <c r="AU174" i="844" a="1"/>
  <c r="AV174" i="844"/>
  <c r="AW174" i="844"/>
  <c r="AU175" i="844" a="1"/>
  <c r="AV175" i="844"/>
  <c r="AW175" i="844"/>
  <c r="AU176" i="844" a="1"/>
  <c r="AV176" i="844"/>
  <c r="AW176" i="844"/>
  <c r="Y177" i="844"/>
  <c r="AU177" i="844" a="1"/>
  <c r="AV177" i="844"/>
  <c r="AW177" i="844"/>
  <c r="Y178" i="844"/>
  <c r="AU178" i="844" a="1"/>
  <c r="AV178" i="844"/>
  <c r="AW178" i="844"/>
  <c r="AU179" i="844" a="1"/>
  <c r="AV179" i="844"/>
  <c r="AW179" i="844"/>
  <c r="AU180" i="844" a="1"/>
  <c r="AV180" i="844"/>
  <c r="AW180" i="844"/>
  <c r="Y181" i="844"/>
  <c r="AU181" i="844" a="1"/>
  <c r="AV181" i="844"/>
  <c r="AW181" i="844"/>
  <c r="AU182" i="844" a="1"/>
  <c r="AV182" i="844"/>
  <c r="AW182" i="844"/>
  <c r="Y183" i="844"/>
  <c r="AU183" i="844" a="1"/>
  <c r="AV183" i="844"/>
  <c r="AW183" i="844"/>
  <c r="AU184" i="844" a="1"/>
  <c r="AV184" i="844"/>
  <c r="AW184" i="844"/>
  <c r="Y185" i="844"/>
  <c r="AU185" i="844" a="1"/>
  <c r="AV185" i="844"/>
  <c r="AW185" i="844"/>
  <c r="Y186" i="844"/>
  <c r="AU186" i="844" a="1"/>
  <c r="AV186" i="844"/>
  <c r="AW186" i="844"/>
  <c r="Y187" i="844"/>
  <c r="AU187" i="844" a="1"/>
  <c r="AV187" i="844"/>
  <c r="AW187" i="844"/>
  <c r="Y188" i="844"/>
  <c r="AU188" i="844" a="1"/>
  <c r="AV188" i="844"/>
  <c r="AW188" i="844"/>
  <c r="Y189" i="844"/>
  <c r="AU189" i="844" a="1"/>
  <c r="AV189" i="844"/>
  <c r="AW189" i="844"/>
  <c r="AU190" i="844" a="1"/>
  <c r="AV190" i="844"/>
  <c r="AW190" i="844"/>
  <c r="AU191" i="844" a="1"/>
  <c r="AV191" i="844"/>
  <c r="AW191" i="844"/>
  <c r="AU192" i="844" a="1"/>
  <c r="AV192" i="844"/>
  <c r="AW192" i="844"/>
  <c r="AU193" i="844" a="1"/>
  <c r="AV193" i="844"/>
  <c r="AW193" i="844"/>
  <c r="AU194" i="844" a="1"/>
  <c r="AV194" i="844"/>
  <c r="AW194" i="844"/>
  <c r="AU195" i="844" a="1"/>
  <c r="AV195" i="844"/>
  <c r="AW195" i="844"/>
  <c r="AU196" i="844" a="1"/>
  <c r="AV196" i="844"/>
  <c r="AW196" i="844"/>
  <c r="AU197" i="844" a="1"/>
  <c r="AV197" i="844"/>
  <c r="AW197" i="844"/>
  <c r="AU198" i="844" a="1"/>
  <c r="AV198" i="844"/>
  <c r="AW198" i="844"/>
  <c r="AU199" i="844" a="1"/>
  <c r="AV199" i="844"/>
  <c r="AW199" i="844"/>
  <c r="AU200" i="844" a="1"/>
  <c r="AV200" i="844"/>
  <c r="AW200" i="844"/>
  <c r="AU201" i="844" a="1"/>
  <c r="AV201" i="844"/>
  <c r="AW201" i="844"/>
  <c r="AU202" i="844" a="1"/>
  <c r="AV202" i="844"/>
  <c r="AW202" i="844"/>
  <c r="AU203" i="844" a="1"/>
  <c r="AV203" i="844"/>
  <c r="AW203" i="844"/>
  <c r="AU204" i="844" a="1"/>
  <c r="AV204" i="844"/>
  <c r="AW204" i="844"/>
  <c r="AU205" i="844" a="1"/>
  <c r="AV205" i="844"/>
  <c r="AW205" i="844"/>
  <c r="AU206" i="844" a="1"/>
  <c r="AV206" i="844"/>
  <c r="AW206" i="844"/>
  <c r="AU207" i="844" a="1"/>
  <c r="AV207" i="844"/>
  <c r="AW207" i="844"/>
  <c r="AU208" i="844" a="1"/>
  <c r="AV208" i="844"/>
  <c r="AW208" i="844"/>
  <c r="AU209" i="844" a="1"/>
  <c r="AV209" i="844"/>
  <c r="AW209" i="844"/>
  <c r="AU210" i="844" a="1"/>
  <c r="AV210" i="844"/>
  <c r="AW210" i="844"/>
  <c r="AU211" i="844" a="1"/>
  <c r="AV211" i="844"/>
  <c r="AW211" i="844"/>
  <c r="AU212" i="844" a="1"/>
  <c r="AV212" i="844"/>
  <c r="AW212" i="844"/>
  <c r="AU213" i="844" a="1"/>
  <c r="AV213" i="844"/>
  <c r="AW213" i="844"/>
  <c r="AU214" i="844" a="1"/>
  <c r="AV214" i="844"/>
  <c r="AW214" i="844"/>
  <c r="AU215" i="844" a="1"/>
  <c r="AV215" i="844"/>
  <c r="AW215" i="844"/>
  <c r="AU216" i="844" a="1"/>
  <c r="AV216" i="844"/>
  <c r="AW216" i="844"/>
  <c r="AU217" i="844" a="1"/>
  <c r="AV217" i="844"/>
  <c r="AW217" i="844"/>
  <c r="AU218" i="844" a="1"/>
  <c r="AV218" i="844"/>
  <c r="AW218" i="844"/>
  <c r="AU219" i="844" a="1"/>
  <c r="AV219" i="844"/>
  <c r="AW219" i="844"/>
  <c r="J9" i="834"/>
  <c r="F3" i="84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Y10" i="408"/>
  <c r="Y11" i="408"/>
  <c r="Y12" i="408"/>
  <c r="Y13" i="408"/>
  <c r="Y14" i="408"/>
  <c r="Y15" i="408"/>
  <c r="Y16" i="408"/>
  <c r="Y17" i="408"/>
  <c r="Y18" i="408"/>
  <c r="Y19" i="408"/>
  <c r="Y20" i="408"/>
  <c r="Y21" i="408"/>
  <c r="Y22" i="408"/>
  <c r="Y23" i="408"/>
  <c r="Y24" i="408"/>
  <c r="Y25" i="408"/>
  <c r="Y26" i="408"/>
  <c r="Y9" i="408"/>
  <c r="L12" i="843"/>
  <c r="C7" i="843"/>
  <c r="C6" i="843"/>
  <c r="S5" i="843"/>
  <c r="O8" i="840"/>
  <c r="Q160" i="840"/>
  <c r="U205" i="840"/>
  <c r="Q205" i="840"/>
  <c r="O207" i="840"/>
  <c r="O9" i="840"/>
  <c r="O10" i="840"/>
  <c r="O11" i="840"/>
  <c r="O12" i="840"/>
  <c r="O13" i="840"/>
  <c r="O14" i="840"/>
  <c r="O15" i="840"/>
  <c r="O16" i="840"/>
  <c r="O17" i="840"/>
  <c r="O18" i="840"/>
  <c r="O19" i="840"/>
  <c r="O20" i="840"/>
  <c r="O21" i="840"/>
  <c r="O22" i="840"/>
  <c r="O23" i="840"/>
  <c r="O24" i="840"/>
  <c r="O25" i="840"/>
  <c r="O26" i="840"/>
  <c r="O27" i="840"/>
  <c r="O28" i="840"/>
  <c r="O29" i="840"/>
  <c r="O30" i="840"/>
  <c r="O31" i="840"/>
  <c r="O32" i="840"/>
  <c r="O33" i="840"/>
  <c r="O34" i="840"/>
  <c r="O35" i="840"/>
  <c r="O36" i="840"/>
  <c r="O37" i="840"/>
  <c r="O38" i="840"/>
  <c r="O39" i="840"/>
  <c r="O40" i="840"/>
  <c r="O41" i="840"/>
  <c r="O42" i="840"/>
  <c r="O43" i="840"/>
  <c r="O44" i="840"/>
  <c r="O45" i="840"/>
  <c r="O46" i="840"/>
  <c r="O47" i="840"/>
  <c r="O48" i="840"/>
  <c r="O49" i="840"/>
  <c r="O50" i="840"/>
  <c r="O51" i="840"/>
  <c r="O52" i="840"/>
  <c r="O53" i="840"/>
  <c r="O54" i="840"/>
  <c r="O55" i="840"/>
  <c r="O56" i="840"/>
  <c r="O57" i="840"/>
  <c r="O58" i="840"/>
  <c r="O59" i="840"/>
  <c r="O60" i="840"/>
  <c r="O61" i="840"/>
  <c r="O62" i="840"/>
  <c r="O63" i="840"/>
  <c r="O64" i="840"/>
  <c r="O65" i="840"/>
  <c r="O66" i="840"/>
  <c r="O67" i="840"/>
  <c r="O68" i="840"/>
  <c r="O69" i="840"/>
  <c r="O70" i="840"/>
  <c r="O71" i="840"/>
  <c r="O72" i="840"/>
  <c r="O73" i="840"/>
  <c r="O74" i="840"/>
  <c r="O75" i="840"/>
  <c r="O76" i="840"/>
  <c r="O77" i="840"/>
  <c r="O78" i="840"/>
  <c r="O79" i="840"/>
  <c r="O80" i="840"/>
  <c r="O81" i="840"/>
  <c r="O82" i="840"/>
  <c r="O83" i="840"/>
  <c r="O84" i="840"/>
  <c r="O85" i="840"/>
  <c r="O86" i="840"/>
  <c r="O87" i="840"/>
  <c r="O88" i="840"/>
  <c r="O89" i="840"/>
  <c r="O90" i="840"/>
  <c r="O91" i="840"/>
  <c r="O92" i="840"/>
  <c r="O93" i="840"/>
  <c r="O94" i="840"/>
  <c r="O95" i="840"/>
  <c r="O96" i="840"/>
  <c r="O97" i="840"/>
  <c r="O98" i="840"/>
  <c r="O99" i="840"/>
  <c r="O100" i="840"/>
  <c r="O101" i="840"/>
  <c r="O102" i="840"/>
  <c r="O103" i="840"/>
  <c r="O104" i="840"/>
  <c r="O105" i="840"/>
  <c r="O106" i="840"/>
  <c r="O107" i="840"/>
  <c r="O108" i="840"/>
  <c r="O109" i="840"/>
  <c r="O110" i="840"/>
  <c r="O111" i="840"/>
  <c r="O112" i="840"/>
  <c r="O113" i="840"/>
  <c r="O114" i="840"/>
  <c r="O115" i="840"/>
  <c r="O116" i="840"/>
  <c r="O117" i="840"/>
  <c r="O118" i="840"/>
  <c r="O119" i="840"/>
  <c r="O120" i="840"/>
  <c r="O121" i="840"/>
  <c r="O122" i="840"/>
  <c r="O123" i="840"/>
  <c r="O124" i="840"/>
  <c r="O125" i="840"/>
  <c r="O126" i="840"/>
  <c r="O127" i="840"/>
  <c r="O128" i="840"/>
  <c r="O129" i="840"/>
  <c r="O130" i="840"/>
  <c r="O131" i="840"/>
  <c r="O132" i="840"/>
  <c r="O133" i="840"/>
  <c r="O134" i="840"/>
  <c r="O135" i="840"/>
  <c r="O136" i="840"/>
  <c r="O137" i="840"/>
  <c r="O138" i="840"/>
  <c r="O139" i="840"/>
  <c r="O140" i="840"/>
  <c r="O141" i="840"/>
  <c r="O142" i="840"/>
  <c r="O143" i="840"/>
  <c r="O144" i="840"/>
  <c r="O145" i="840"/>
  <c r="O146" i="840"/>
  <c r="O147" i="840"/>
  <c r="O148" i="840"/>
  <c r="O149" i="840"/>
  <c r="O150" i="840"/>
  <c r="O151" i="840"/>
  <c r="O152" i="840"/>
  <c r="O153" i="840"/>
  <c r="O154" i="840"/>
  <c r="O155" i="840"/>
  <c r="O156" i="840"/>
  <c r="O157" i="840"/>
  <c r="O158" i="840"/>
  <c r="O159" i="840"/>
  <c r="O160" i="840"/>
  <c r="O161" i="840"/>
  <c r="O162" i="840"/>
  <c r="O163" i="840"/>
  <c r="O164" i="840"/>
  <c r="O165" i="840"/>
  <c r="O166" i="840"/>
  <c r="O167" i="840"/>
  <c r="O168" i="840"/>
  <c r="O169" i="840"/>
  <c r="O170" i="840"/>
  <c r="O171" i="840"/>
  <c r="O172" i="840"/>
  <c r="O173" i="840"/>
  <c r="O174" i="840"/>
  <c r="O175" i="840"/>
  <c r="O176" i="840"/>
  <c r="O177" i="840"/>
  <c r="O178" i="840"/>
  <c r="O179" i="840"/>
  <c r="O180" i="840"/>
  <c r="O181" i="840"/>
  <c r="O182" i="840"/>
  <c r="O183" i="840"/>
  <c r="O184" i="840"/>
  <c r="O185" i="840"/>
  <c r="O186" i="840"/>
  <c r="O187" i="840"/>
  <c r="O188" i="840"/>
  <c r="O189" i="840"/>
  <c r="O190" i="840"/>
  <c r="O191" i="840"/>
  <c r="O192" i="840"/>
  <c r="O193" i="840"/>
  <c r="O194" i="840"/>
  <c r="O195" i="840"/>
  <c r="O196" i="840"/>
  <c r="O197" i="840"/>
  <c r="O198" i="840"/>
  <c r="O199" i="840"/>
  <c r="O200" i="840"/>
  <c r="O201" i="840"/>
  <c r="O202" i="840"/>
  <c r="O203" i="840"/>
  <c r="O204" i="840"/>
  <c r="O206" i="840"/>
  <c r="AC184" i="840"/>
  <c r="AC185" i="840"/>
  <c r="AC186" i="840"/>
  <c r="AC187" i="840"/>
  <c r="AC188" i="840"/>
  <c r="AC189" i="840"/>
  <c r="AC190" i="840"/>
  <c r="AC191" i="840"/>
  <c r="AC192" i="840"/>
  <c r="AC193" i="840"/>
  <c r="AC194" i="840"/>
  <c r="AC195" i="840"/>
  <c r="AC196" i="840"/>
  <c r="AC197" i="840"/>
  <c r="AC198" i="840"/>
  <c r="AC199" i="840"/>
  <c r="AC200" i="840"/>
  <c r="AC201" i="840"/>
  <c r="AC202" i="840"/>
  <c r="AC203" i="840"/>
  <c r="AC204" i="840"/>
  <c r="AC205" i="840"/>
  <c r="AC206" i="840"/>
  <c r="AC207" i="840"/>
  <c r="AC183" i="840"/>
  <c r="U8" i="840"/>
  <c r="Q9" i="840"/>
  <c r="Q10" i="840"/>
  <c r="Q11" i="840"/>
  <c r="Q12" i="840"/>
  <c r="Q13" i="840"/>
  <c r="Q14" i="840"/>
  <c r="Q15" i="840"/>
  <c r="Q16" i="840"/>
  <c r="Q17" i="840"/>
  <c r="Q18" i="840"/>
  <c r="Q19" i="840"/>
  <c r="Q20" i="840"/>
  <c r="Q21" i="840"/>
  <c r="Q22" i="840"/>
  <c r="Q23" i="840"/>
  <c r="Q24" i="840"/>
  <c r="Q25" i="840"/>
  <c r="Q26" i="840"/>
  <c r="Q27" i="840"/>
  <c r="Q28" i="840"/>
  <c r="Q29" i="840"/>
  <c r="Q30" i="840"/>
  <c r="Q31" i="840"/>
  <c r="Q32" i="840"/>
  <c r="Q33" i="840"/>
  <c r="Q34" i="840"/>
  <c r="Q35" i="840"/>
  <c r="Q36" i="840"/>
  <c r="Q37" i="840"/>
  <c r="Q38" i="840"/>
  <c r="Q39" i="840"/>
  <c r="Q40" i="840"/>
  <c r="Q41" i="840"/>
  <c r="Q42" i="840"/>
  <c r="Q43" i="840"/>
  <c r="Q44" i="840"/>
  <c r="Q45" i="840"/>
  <c r="Q46" i="840"/>
  <c r="Q47" i="840"/>
  <c r="Q48" i="840"/>
  <c r="Q49" i="840"/>
  <c r="Q50" i="840"/>
  <c r="Q51" i="840"/>
  <c r="Q52" i="840"/>
  <c r="Q53" i="840"/>
  <c r="Q54" i="840"/>
  <c r="Q55" i="840"/>
  <c r="Q56" i="840"/>
  <c r="Q57" i="840"/>
  <c r="Q58" i="840"/>
  <c r="Q59" i="840"/>
  <c r="Q60" i="840"/>
  <c r="Q61" i="840"/>
  <c r="Q62" i="840"/>
  <c r="Q63" i="840"/>
  <c r="Q64" i="840"/>
  <c r="Q65" i="840"/>
  <c r="Q66" i="840"/>
  <c r="Q67" i="840"/>
  <c r="Q68" i="840"/>
  <c r="Q69" i="840"/>
  <c r="Q70" i="840"/>
  <c r="Q71" i="840"/>
  <c r="Q72" i="840"/>
  <c r="Q73" i="840"/>
  <c r="Q74" i="840"/>
  <c r="Q75" i="840"/>
  <c r="Q76" i="840"/>
  <c r="Q77" i="840"/>
  <c r="Q78" i="840"/>
  <c r="Q79" i="840"/>
  <c r="Q80" i="840"/>
  <c r="Q81" i="840"/>
  <c r="Q82" i="840"/>
  <c r="Q83" i="840"/>
  <c r="Q84" i="840"/>
  <c r="Q85" i="840"/>
  <c r="Q86" i="840"/>
  <c r="Q87" i="840"/>
  <c r="Q88" i="840"/>
  <c r="Q89" i="840"/>
  <c r="Q90" i="840"/>
  <c r="Q91" i="840"/>
  <c r="Q92" i="840"/>
  <c r="Q93" i="840"/>
  <c r="Q94" i="840"/>
  <c r="Q95" i="840"/>
  <c r="Q96" i="840"/>
  <c r="Q97" i="840"/>
  <c r="Q98" i="840"/>
  <c r="Q99" i="840"/>
  <c r="Q100" i="840"/>
  <c r="Q101" i="840"/>
  <c r="Q102" i="840"/>
  <c r="Q103" i="840"/>
  <c r="Q104" i="840"/>
  <c r="Q105" i="840"/>
  <c r="Q106" i="840"/>
  <c r="Q107" i="840"/>
  <c r="Q108" i="840"/>
  <c r="Q109" i="840"/>
  <c r="Q110" i="840"/>
  <c r="Q111" i="840"/>
  <c r="Q112" i="840"/>
  <c r="Q113" i="840"/>
  <c r="Q114" i="840"/>
  <c r="Q115" i="840"/>
  <c r="Q116" i="840"/>
  <c r="Q117" i="840"/>
  <c r="Q118" i="840"/>
  <c r="Q119" i="840"/>
  <c r="Q120" i="840"/>
  <c r="Q121" i="840"/>
  <c r="Q122" i="840"/>
  <c r="Q123" i="840"/>
  <c r="Q124" i="840"/>
  <c r="Q125" i="840"/>
  <c r="Q126" i="840"/>
  <c r="Q127" i="840"/>
  <c r="Q128" i="840"/>
  <c r="Q129" i="840"/>
  <c r="Q130" i="840"/>
  <c r="Q131" i="840"/>
  <c r="Q132" i="840"/>
  <c r="Q133" i="840"/>
  <c r="Q134" i="840"/>
  <c r="Q135" i="840"/>
  <c r="Q136" i="840"/>
  <c r="Q137" i="840"/>
  <c r="Q138" i="840"/>
  <c r="Q139" i="840"/>
  <c r="Q140" i="840"/>
  <c r="Q141" i="840"/>
  <c r="Q142" i="840"/>
  <c r="Q143" i="840"/>
  <c r="Q144" i="840"/>
  <c r="Q145" i="840"/>
  <c r="Q146" i="840"/>
  <c r="Q147" i="840"/>
  <c r="Q148" i="840"/>
  <c r="Q149" i="840"/>
  <c r="Q150" i="840"/>
  <c r="Q151" i="840"/>
  <c r="Q152" i="840"/>
  <c r="Q153" i="840"/>
  <c r="Q154" i="840"/>
  <c r="Q155" i="840"/>
  <c r="Q156" i="840"/>
  <c r="Q157" i="840"/>
  <c r="Q158" i="840"/>
  <c r="Q159" i="840"/>
  <c r="Q161" i="840"/>
  <c r="Q162" i="840"/>
  <c r="Q163" i="840"/>
  <c r="Q164" i="840"/>
  <c r="Q165" i="840"/>
  <c r="Q166" i="840"/>
  <c r="Q167" i="840"/>
  <c r="Q168" i="840"/>
  <c r="Q169" i="840"/>
  <c r="Q170" i="840"/>
  <c r="Q171" i="840"/>
  <c r="Q172" i="840"/>
  <c r="Q173" i="840"/>
  <c r="Q174" i="840"/>
  <c r="Q175" i="840"/>
  <c r="Q176" i="840"/>
  <c r="Q177" i="840"/>
  <c r="Q178" i="840"/>
  <c r="Q179" i="840"/>
  <c r="Q180" i="840"/>
  <c r="Q181" i="840"/>
  <c r="Q182" i="840"/>
  <c r="Q183" i="840"/>
  <c r="Q184" i="840"/>
  <c r="Q185" i="840"/>
  <c r="Q186" i="840"/>
  <c r="Q187" i="840"/>
  <c r="Q188" i="840"/>
  <c r="Q189" i="840"/>
  <c r="Q190" i="840"/>
  <c r="Q191" i="840"/>
  <c r="Q192" i="840"/>
  <c r="Q193" i="840"/>
  <c r="Q194" i="840"/>
  <c r="Q195" i="840"/>
  <c r="Q196" i="840"/>
  <c r="Q197" i="840"/>
  <c r="Q198" i="840"/>
  <c r="Q199" i="840"/>
  <c r="Q200" i="840"/>
  <c r="Q201" i="840"/>
  <c r="Q202" i="840"/>
  <c r="Q203" i="840"/>
  <c r="Q204" i="840"/>
  <c r="Q206" i="840"/>
  <c r="Q207" i="840"/>
  <c r="Q8" i="840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207" i="124"/>
  <c r="S8" i="124"/>
  <c r="U207" i="840"/>
  <c r="U206" i="840"/>
  <c r="U204" i="840"/>
  <c r="U203" i="840"/>
  <c r="U202" i="840"/>
  <c r="U201" i="840"/>
  <c r="U200" i="840"/>
  <c r="U199" i="840"/>
  <c r="U198" i="840"/>
  <c r="U197" i="840"/>
  <c r="U196" i="840"/>
  <c r="U195" i="840"/>
  <c r="U194" i="840"/>
  <c r="U193" i="840"/>
  <c r="U192" i="840"/>
  <c r="U191" i="840"/>
  <c r="U190" i="840"/>
  <c r="U189" i="840"/>
  <c r="U188" i="840"/>
  <c r="U187" i="840"/>
  <c r="U186" i="840"/>
  <c r="U185" i="840"/>
  <c r="U184" i="840"/>
  <c r="U183" i="840"/>
  <c r="U182" i="840"/>
  <c r="U181" i="840"/>
  <c r="U180" i="840"/>
  <c r="U179" i="840"/>
  <c r="U178" i="840"/>
  <c r="U177" i="840"/>
  <c r="U176" i="840"/>
  <c r="U175" i="840"/>
  <c r="U174" i="840"/>
  <c r="U173" i="840"/>
  <c r="U172" i="840"/>
  <c r="U171" i="840"/>
  <c r="U170" i="840"/>
  <c r="U169" i="840"/>
  <c r="U168" i="840"/>
  <c r="U167" i="840"/>
  <c r="U166" i="840"/>
  <c r="U165" i="840"/>
  <c r="U164" i="840"/>
  <c r="U163" i="840"/>
  <c r="U162" i="840"/>
  <c r="U161" i="840"/>
  <c r="U160" i="840"/>
  <c r="U159" i="840"/>
  <c r="U158" i="840"/>
  <c r="U157" i="840"/>
  <c r="U156" i="840"/>
  <c r="U155" i="840"/>
  <c r="U154" i="840"/>
  <c r="U153" i="840"/>
  <c r="U152" i="840"/>
  <c r="U151" i="840"/>
  <c r="U150" i="840"/>
  <c r="U149" i="840"/>
  <c r="U148" i="840"/>
  <c r="U147" i="840"/>
  <c r="U146" i="840"/>
  <c r="U145" i="840"/>
  <c r="U144" i="840"/>
  <c r="U143" i="840"/>
  <c r="U142" i="840"/>
  <c r="U141" i="840"/>
  <c r="U140" i="840"/>
  <c r="U139" i="840"/>
  <c r="U138" i="840"/>
  <c r="U137" i="840"/>
  <c r="U136" i="840"/>
  <c r="U135" i="840"/>
  <c r="U134" i="840"/>
  <c r="U133" i="840"/>
  <c r="U132" i="840"/>
  <c r="U131" i="840"/>
  <c r="U130" i="840"/>
  <c r="U129" i="840"/>
  <c r="U128" i="840"/>
  <c r="U127" i="840"/>
  <c r="U126" i="840"/>
  <c r="U125" i="840"/>
  <c r="U124" i="840"/>
  <c r="U123" i="840"/>
  <c r="U122" i="840"/>
  <c r="U121" i="840"/>
  <c r="U120" i="840"/>
  <c r="U119" i="840"/>
  <c r="U118" i="840"/>
  <c r="U117" i="840"/>
  <c r="U116" i="840"/>
  <c r="U115" i="840"/>
  <c r="U114" i="840"/>
  <c r="U113" i="840"/>
  <c r="U112" i="840"/>
  <c r="U111" i="840"/>
  <c r="U110" i="840"/>
  <c r="U109" i="840"/>
  <c r="U108" i="840"/>
  <c r="U107" i="840"/>
  <c r="U106" i="840"/>
  <c r="U105" i="840"/>
  <c r="U104" i="840"/>
  <c r="U103" i="840"/>
  <c r="U102" i="840"/>
  <c r="U101" i="840"/>
  <c r="U100" i="840"/>
  <c r="U99" i="840"/>
  <c r="U98" i="840"/>
  <c r="U97" i="840"/>
  <c r="U96" i="840"/>
  <c r="U95" i="840"/>
  <c r="U94" i="840"/>
  <c r="U93" i="840"/>
  <c r="U92" i="840"/>
  <c r="U91" i="840"/>
  <c r="U90" i="840"/>
  <c r="U89" i="840"/>
  <c r="U88" i="840"/>
  <c r="U87" i="840"/>
  <c r="U86" i="840"/>
  <c r="U85" i="840"/>
  <c r="U84" i="840"/>
  <c r="U83" i="840"/>
  <c r="U82" i="840"/>
  <c r="U81" i="840"/>
  <c r="U80" i="840"/>
  <c r="U79" i="840"/>
  <c r="U78" i="840"/>
  <c r="U77" i="840"/>
  <c r="U76" i="840"/>
  <c r="U75" i="840"/>
  <c r="U74" i="840"/>
  <c r="U73" i="840"/>
  <c r="U72" i="840"/>
  <c r="U71" i="840"/>
  <c r="U70" i="840"/>
  <c r="U69" i="840"/>
  <c r="U68" i="840"/>
  <c r="U67" i="840"/>
  <c r="U66" i="840"/>
  <c r="U65" i="840"/>
  <c r="U64" i="840"/>
  <c r="U63" i="840"/>
  <c r="U62" i="840"/>
  <c r="U61" i="840"/>
  <c r="U60" i="840"/>
  <c r="U59" i="840"/>
  <c r="U58" i="840"/>
  <c r="U57" i="840"/>
  <c r="U56" i="840"/>
  <c r="U55" i="840"/>
  <c r="U54" i="840"/>
  <c r="U53" i="840"/>
  <c r="U52" i="840"/>
  <c r="U51" i="840"/>
  <c r="U50" i="840"/>
  <c r="U49" i="840"/>
  <c r="U48" i="840"/>
  <c r="U47" i="840"/>
  <c r="U46" i="840"/>
  <c r="U45" i="840"/>
  <c r="U44" i="840"/>
  <c r="U43" i="840"/>
  <c r="U42" i="840"/>
  <c r="U41" i="840"/>
  <c r="U40" i="840"/>
  <c r="U39" i="840"/>
  <c r="U38" i="840"/>
  <c r="U37" i="840"/>
  <c r="U36" i="840"/>
  <c r="U35" i="840"/>
  <c r="U34" i="840"/>
  <c r="U33" i="840"/>
  <c r="U32" i="840"/>
  <c r="U31" i="840"/>
  <c r="U30" i="840"/>
  <c r="U29" i="840"/>
  <c r="U28" i="840"/>
  <c r="U27" i="840"/>
  <c r="U26" i="840"/>
  <c r="U25" i="840"/>
  <c r="U24" i="840"/>
  <c r="U23" i="840"/>
  <c r="U22" i="840"/>
  <c r="U21" i="840"/>
  <c r="U20" i="840"/>
  <c r="U19" i="840"/>
  <c r="U18" i="840"/>
  <c r="U17" i="840"/>
  <c r="U16" i="840"/>
  <c r="U15" i="840"/>
  <c r="U14" i="840"/>
  <c r="U13" i="840"/>
  <c r="U12" i="840"/>
  <c r="U11" i="840"/>
  <c r="U10" i="840"/>
  <c r="U9" i="840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28" i="825"/>
  <c r="K29" i="825"/>
  <c r="K30" i="825"/>
  <c r="K31" i="825"/>
  <c r="K32" i="825"/>
  <c r="K33" i="825"/>
  <c r="K34" i="825"/>
  <c r="K35" i="825"/>
  <c r="K36" i="825"/>
  <c r="K37" i="825"/>
  <c r="K38" i="825"/>
  <c r="K39" i="825"/>
  <c r="K40" i="825"/>
  <c r="K41" i="825"/>
  <c r="K42" i="825"/>
  <c r="K43" i="825"/>
  <c r="K44" i="825"/>
  <c r="K45" i="825"/>
  <c r="K46" i="825"/>
  <c r="K47" i="825"/>
  <c r="K48" i="825"/>
  <c r="K49" i="825"/>
  <c r="K50" i="825"/>
  <c r="K51" i="825"/>
  <c r="K52" i="825"/>
  <c r="K53" i="825"/>
  <c r="K54" i="825"/>
  <c r="K55" i="825"/>
  <c r="K56" i="825"/>
  <c r="K57" i="825"/>
  <c r="K58" i="825"/>
  <c r="K59" i="825"/>
  <c r="K60" i="825"/>
  <c r="K61" i="825"/>
  <c r="K62" i="825"/>
  <c r="K63" i="825"/>
  <c r="K64" i="825"/>
  <c r="K65" i="825"/>
  <c r="K66" i="825"/>
  <c r="K67" i="825"/>
  <c r="K68" i="825"/>
  <c r="K69" i="825"/>
  <c r="K70" i="825"/>
  <c r="K71" i="825"/>
  <c r="K72" i="825"/>
  <c r="K73" i="825"/>
  <c r="K74" i="825"/>
  <c r="K75" i="825"/>
  <c r="K76" i="825"/>
  <c r="K77" i="825"/>
  <c r="K78" i="825"/>
  <c r="K79" i="825"/>
  <c r="K80" i="825"/>
  <c r="K81" i="825"/>
  <c r="K82" i="825"/>
  <c r="K83" i="825"/>
  <c r="K84" i="825"/>
  <c r="K85" i="825"/>
  <c r="K86" i="825"/>
  <c r="K87" i="825"/>
  <c r="K18" i="824"/>
  <c r="K19" i="824"/>
  <c r="K20" i="824"/>
  <c r="K21" i="824"/>
  <c r="K22" i="824"/>
  <c r="K23" i="824"/>
  <c r="K24" i="824"/>
  <c r="K25" i="824"/>
  <c r="K26" i="824"/>
  <c r="K27" i="824"/>
  <c r="K28" i="824"/>
  <c r="K29" i="824"/>
  <c r="K30" i="824"/>
  <c r="K31" i="824"/>
  <c r="K32" i="824"/>
  <c r="K33" i="824"/>
  <c r="K34" i="824"/>
  <c r="K35" i="824"/>
  <c r="K36" i="824"/>
  <c r="K37" i="824"/>
  <c r="K38" i="824"/>
  <c r="K39" i="824"/>
  <c r="K40" i="824"/>
  <c r="K41" i="824"/>
  <c r="K42" i="824"/>
  <c r="K43" i="824"/>
  <c r="K44" i="824"/>
  <c r="K45" i="824"/>
  <c r="K46" i="824"/>
  <c r="K47" i="824"/>
  <c r="K48" i="824"/>
  <c r="K49" i="824"/>
  <c r="K50" i="824"/>
  <c r="K51" i="824"/>
  <c r="K52" i="824"/>
  <c r="K53" i="824"/>
  <c r="K54" i="824"/>
  <c r="K55" i="824"/>
  <c r="K56" i="824"/>
  <c r="K57" i="824"/>
  <c r="K58" i="824"/>
  <c r="K59" i="824"/>
  <c r="K60" i="824"/>
  <c r="K61" i="824"/>
  <c r="K62" i="824"/>
  <c r="K63" i="824"/>
  <c r="K64" i="824"/>
  <c r="K65" i="824"/>
  <c r="K66" i="824"/>
  <c r="K67" i="824"/>
  <c r="K68" i="824"/>
  <c r="K69" i="824"/>
  <c r="K70" i="824"/>
  <c r="K71" i="824"/>
  <c r="K72" i="824"/>
  <c r="K73" i="824"/>
  <c r="K74" i="824"/>
  <c r="K75" i="824"/>
  <c r="K76" i="824"/>
  <c r="K77" i="824"/>
  <c r="K78" i="824"/>
  <c r="K79" i="824"/>
  <c r="K80" i="824"/>
  <c r="K81" i="824"/>
  <c r="K82" i="824"/>
  <c r="K83" i="824"/>
  <c r="K84" i="824"/>
  <c r="K85" i="824"/>
  <c r="K86" i="824"/>
  <c r="K87" i="824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R10" i="834"/>
  <c r="Y91" i="841"/>
  <c r="V90" i="841"/>
  <c r="S90" i="841"/>
  <c r="N89" i="841"/>
  <c r="AZ87" i="841"/>
  <c r="AY87" i="841"/>
  <c r="AX87" i="841"/>
  <c r="AV87" i="841"/>
  <c r="AU87" i="841" a="1"/>
  <c r="AS87" i="841"/>
  <c r="AR87" i="841"/>
  <c r="AN87" i="841"/>
  <c r="AG87" i="841"/>
  <c r="AF87" i="841"/>
  <c r="AE87" i="841"/>
  <c r="AD87" i="841"/>
  <c r="AC87" i="841"/>
  <c r="AA87" i="841" a="1"/>
  <c r="Y87" i="841"/>
  <c r="X87" i="841"/>
  <c r="V87" i="841"/>
  <c r="U87" i="841"/>
  <c r="S87" i="841"/>
  <c r="K87" i="841"/>
  <c r="J87" i="841"/>
  <c r="I87" i="841"/>
  <c r="AZ86" i="841"/>
  <c r="AY86" i="841"/>
  <c r="AX86" i="841"/>
  <c r="AV86" i="841"/>
  <c r="AU86" i="841" a="1"/>
  <c r="AS86" i="841"/>
  <c r="AR86" i="841"/>
  <c r="AN86" i="841"/>
  <c r="AG86" i="841"/>
  <c r="AF86" i="841"/>
  <c r="AE86" i="841"/>
  <c r="AD86" i="841"/>
  <c r="AC86" i="841"/>
  <c r="AA86" i="841" a="1"/>
  <c r="Y86" i="841"/>
  <c r="X86" i="841"/>
  <c r="V86" i="841"/>
  <c r="U86" i="841"/>
  <c r="S86" i="841"/>
  <c r="K86" i="841"/>
  <c r="J86" i="841"/>
  <c r="I86" i="841"/>
  <c r="AZ85" i="841"/>
  <c r="AY85" i="841"/>
  <c r="AX85" i="841"/>
  <c r="AV85" i="841"/>
  <c r="AU85" i="841" a="1"/>
  <c r="AS85" i="841"/>
  <c r="AR85" i="841"/>
  <c r="AN85" i="841"/>
  <c r="AG85" i="841"/>
  <c r="AF85" i="841"/>
  <c r="AE85" i="841"/>
  <c r="AD85" i="841"/>
  <c r="AC85" i="841"/>
  <c r="AA85" i="841" a="1"/>
  <c r="Y85" i="841"/>
  <c r="X85" i="841"/>
  <c r="V85" i="841"/>
  <c r="U85" i="841"/>
  <c r="S85" i="841"/>
  <c r="K85" i="841"/>
  <c r="J85" i="841"/>
  <c r="I85" i="841"/>
  <c r="AZ84" i="841"/>
  <c r="AY84" i="841"/>
  <c r="AX84" i="841"/>
  <c r="AV84" i="841"/>
  <c r="AU84" i="841" a="1"/>
  <c r="AS84" i="841"/>
  <c r="AR84" i="841"/>
  <c r="AN84" i="841"/>
  <c r="AG84" i="841"/>
  <c r="AF84" i="841"/>
  <c r="AE84" i="841"/>
  <c r="AD84" i="841"/>
  <c r="AC84" i="841"/>
  <c r="AA84" i="841" a="1"/>
  <c r="Y84" i="841"/>
  <c r="X84" i="841"/>
  <c r="V84" i="841"/>
  <c r="U84" i="841"/>
  <c r="S84" i="841"/>
  <c r="K84" i="841"/>
  <c r="J84" i="841"/>
  <c r="I84" i="841"/>
  <c r="AZ83" i="841"/>
  <c r="AY83" i="841"/>
  <c r="AX83" i="841"/>
  <c r="AV83" i="841"/>
  <c r="AU83" i="841" a="1"/>
  <c r="AS83" i="841"/>
  <c r="AR83" i="841"/>
  <c r="AN83" i="841"/>
  <c r="AG83" i="841"/>
  <c r="AF83" i="841"/>
  <c r="AE83" i="841"/>
  <c r="AD83" i="841"/>
  <c r="AC83" i="841"/>
  <c r="AA83" i="841" a="1"/>
  <c r="Y83" i="841"/>
  <c r="X83" i="841"/>
  <c r="V83" i="841"/>
  <c r="U83" i="841"/>
  <c r="S83" i="841"/>
  <c r="K83" i="841"/>
  <c r="J83" i="841"/>
  <c r="I83" i="841"/>
  <c r="AZ82" i="841"/>
  <c r="AY82" i="841"/>
  <c r="AX82" i="841"/>
  <c r="AV82" i="841"/>
  <c r="AU82" i="841" a="1"/>
  <c r="AS82" i="841"/>
  <c r="AR82" i="841"/>
  <c r="AN82" i="841"/>
  <c r="AG82" i="841"/>
  <c r="AF82" i="841"/>
  <c r="AE82" i="841"/>
  <c r="AD82" i="841"/>
  <c r="AC82" i="841"/>
  <c r="AA82" i="841" a="1"/>
  <c r="Y82" i="841"/>
  <c r="X82" i="841"/>
  <c r="V82" i="841"/>
  <c r="U82" i="841"/>
  <c r="S82" i="841"/>
  <c r="K82" i="841"/>
  <c r="J82" i="841"/>
  <c r="I82" i="841"/>
  <c r="AZ81" i="841"/>
  <c r="AY81" i="841"/>
  <c r="AX81" i="841"/>
  <c r="AV81" i="841"/>
  <c r="AU81" i="841" a="1"/>
  <c r="AS81" i="841"/>
  <c r="AR81" i="841"/>
  <c r="AN81" i="841"/>
  <c r="AG81" i="841"/>
  <c r="AF81" i="841"/>
  <c r="AE81" i="841"/>
  <c r="AD81" i="841"/>
  <c r="AC81" i="841"/>
  <c r="AA81" i="841" a="1"/>
  <c r="Y81" i="841"/>
  <c r="X81" i="841"/>
  <c r="V81" i="841"/>
  <c r="U81" i="841"/>
  <c r="S81" i="841"/>
  <c r="K81" i="841"/>
  <c r="J81" i="841"/>
  <c r="I81" i="841"/>
  <c r="AZ80" i="841"/>
  <c r="AY80" i="841"/>
  <c r="AX80" i="841"/>
  <c r="AV80" i="841"/>
  <c r="AU80" i="841" a="1"/>
  <c r="AS80" i="841"/>
  <c r="AR80" i="841"/>
  <c r="AN80" i="841"/>
  <c r="AG80" i="841"/>
  <c r="AF80" i="841"/>
  <c r="AE80" i="841"/>
  <c r="AD80" i="841"/>
  <c r="AC80" i="841"/>
  <c r="AA80" i="841" a="1"/>
  <c r="Y80" i="841"/>
  <c r="X80" i="841"/>
  <c r="V80" i="841"/>
  <c r="U80" i="841"/>
  <c r="S80" i="841"/>
  <c r="K80" i="841"/>
  <c r="J80" i="841"/>
  <c r="I80" i="841"/>
  <c r="AZ79" i="841"/>
  <c r="AY79" i="841"/>
  <c r="AX79" i="841"/>
  <c r="AV79" i="841"/>
  <c r="AU79" i="841" a="1"/>
  <c r="AS79" i="841"/>
  <c r="AR79" i="841"/>
  <c r="AN79" i="841"/>
  <c r="AG79" i="841"/>
  <c r="AF79" i="841"/>
  <c r="AE79" i="841"/>
  <c r="AD79" i="841"/>
  <c r="AC79" i="841"/>
  <c r="AA79" i="841" a="1"/>
  <c r="Y79" i="841"/>
  <c r="X79" i="841"/>
  <c r="V79" i="841"/>
  <c r="U79" i="841"/>
  <c r="S79" i="841"/>
  <c r="K79" i="841"/>
  <c r="J79" i="841"/>
  <c r="I79" i="841"/>
  <c r="AZ78" i="841"/>
  <c r="AY78" i="841"/>
  <c r="AX78" i="841"/>
  <c r="AV78" i="841"/>
  <c r="AU78" i="841" a="1"/>
  <c r="AS78" i="841"/>
  <c r="AR78" i="841"/>
  <c r="AN78" i="841"/>
  <c r="AG78" i="841"/>
  <c r="AF78" i="841"/>
  <c r="AE78" i="841"/>
  <c r="AD78" i="841"/>
  <c r="AC78" i="841"/>
  <c r="AA78" i="841" a="1"/>
  <c r="Y78" i="841"/>
  <c r="X78" i="841"/>
  <c r="V78" i="841"/>
  <c r="U78" i="841"/>
  <c r="S78" i="841"/>
  <c r="K78" i="841"/>
  <c r="J78" i="841"/>
  <c r="I78" i="841"/>
  <c r="AZ77" i="841"/>
  <c r="AY77" i="841"/>
  <c r="AX77" i="841"/>
  <c r="AV77" i="841"/>
  <c r="AU77" i="841" a="1"/>
  <c r="AS77" i="841"/>
  <c r="AR77" i="841"/>
  <c r="AN77" i="841"/>
  <c r="AG77" i="841"/>
  <c r="AF77" i="841"/>
  <c r="AE77" i="841"/>
  <c r="AD77" i="841"/>
  <c r="AC77" i="841"/>
  <c r="AA77" i="841" a="1"/>
  <c r="Y77" i="841"/>
  <c r="X77" i="841"/>
  <c r="V77" i="841"/>
  <c r="U77" i="841"/>
  <c r="S77" i="841"/>
  <c r="K77" i="841"/>
  <c r="J77" i="841"/>
  <c r="I77" i="841"/>
  <c r="AZ76" i="841"/>
  <c r="AY76" i="841"/>
  <c r="AX76" i="841"/>
  <c r="AV76" i="841"/>
  <c r="AU76" i="841" a="1"/>
  <c r="AS76" i="841"/>
  <c r="AR76" i="841"/>
  <c r="AN76" i="841"/>
  <c r="AG76" i="841"/>
  <c r="AF76" i="841"/>
  <c r="AE76" i="841"/>
  <c r="AD76" i="841"/>
  <c r="AC76" i="841"/>
  <c r="AA76" i="841" a="1"/>
  <c r="Y76" i="841"/>
  <c r="X76" i="841"/>
  <c r="V76" i="841"/>
  <c r="U76" i="841"/>
  <c r="S76" i="841"/>
  <c r="K76" i="841"/>
  <c r="J76" i="841"/>
  <c r="I76" i="841"/>
  <c r="AZ75" i="841"/>
  <c r="AY75" i="841"/>
  <c r="AX75" i="841"/>
  <c r="AV75" i="841"/>
  <c r="AU75" i="841" a="1"/>
  <c r="AS75" i="841"/>
  <c r="AR75" i="841"/>
  <c r="AN75" i="841"/>
  <c r="AG75" i="841"/>
  <c r="AF75" i="841"/>
  <c r="AE75" i="841"/>
  <c r="AD75" i="841"/>
  <c r="AC75" i="841"/>
  <c r="AA75" i="841" a="1"/>
  <c r="Y75" i="841"/>
  <c r="X75" i="841"/>
  <c r="V75" i="841"/>
  <c r="U75" i="841"/>
  <c r="S75" i="841"/>
  <c r="K75" i="841"/>
  <c r="J75" i="841"/>
  <c r="I75" i="841"/>
  <c r="AZ74" i="841"/>
  <c r="AY74" i="841"/>
  <c r="AX74" i="841"/>
  <c r="AV74" i="841"/>
  <c r="AU74" i="841" a="1"/>
  <c r="AS74" i="841"/>
  <c r="AR74" i="841"/>
  <c r="AN74" i="841"/>
  <c r="AG74" i="841"/>
  <c r="AF74" i="841"/>
  <c r="AE74" i="841"/>
  <c r="AD74" i="841"/>
  <c r="AC74" i="841"/>
  <c r="AA74" i="841" a="1"/>
  <c r="Y74" i="841"/>
  <c r="X74" i="841"/>
  <c r="V74" i="841"/>
  <c r="U74" i="841"/>
  <c r="S74" i="841"/>
  <c r="K74" i="841"/>
  <c r="J74" i="841"/>
  <c r="I74" i="841"/>
  <c r="AZ73" i="841"/>
  <c r="AY73" i="841"/>
  <c r="AX73" i="841"/>
  <c r="AV73" i="841"/>
  <c r="AU73" i="841" a="1"/>
  <c r="AS73" i="841"/>
  <c r="AR73" i="841"/>
  <c r="AN73" i="841"/>
  <c r="AG73" i="841"/>
  <c r="AF73" i="841"/>
  <c r="AE73" i="841"/>
  <c r="AD73" i="841"/>
  <c r="AC73" i="841"/>
  <c r="AA73" i="841" a="1"/>
  <c r="Y73" i="841"/>
  <c r="X73" i="841"/>
  <c r="V73" i="841"/>
  <c r="U73" i="841"/>
  <c r="S73" i="841"/>
  <c r="K73" i="841"/>
  <c r="J73" i="841"/>
  <c r="I73" i="841"/>
  <c r="AZ72" i="841"/>
  <c r="AY72" i="841"/>
  <c r="AX72" i="841"/>
  <c r="AV72" i="841"/>
  <c r="AU72" i="841" a="1"/>
  <c r="AS72" i="841"/>
  <c r="AR72" i="841"/>
  <c r="AN72" i="841"/>
  <c r="AG72" i="841"/>
  <c r="AF72" i="841"/>
  <c r="AE72" i="841"/>
  <c r="AD72" i="841"/>
  <c r="AC72" i="841"/>
  <c r="AA72" i="841" a="1"/>
  <c r="Y72" i="841"/>
  <c r="X72" i="841"/>
  <c r="V72" i="841"/>
  <c r="U72" i="841"/>
  <c r="S72" i="841"/>
  <c r="K72" i="841"/>
  <c r="J72" i="841"/>
  <c r="I72" i="841"/>
  <c r="AZ71" i="841"/>
  <c r="AY71" i="841"/>
  <c r="AX71" i="841"/>
  <c r="AV71" i="841"/>
  <c r="AU71" i="841" a="1"/>
  <c r="AS71" i="841"/>
  <c r="AR71" i="841"/>
  <c r="AN71" i="841"/>
  <c r="AG71" i="841"/>
  <c r="AF71" i="841"/>
  <c r="AE71" i="841"/>
  <c r="AD71" i="841"/>
  <c r="AC71" i="841"/>
  <c r="AA71" i="841" a="1"/>
  <c r="Y71" i="841"/>
  <c r="X71" i="841"/>
  <c r="V71" i="841"/>
  <c r="U71" i="841"/>
  <c r="S71" i="841"/>
  <c r="K71" i="841"/>
  <c r="J71" i="841"/>
  <c r="I71" i="841"/>
  <c r="AZ70" i="841"/>
  <c r="AY70" i="841"/>
  <c r="AX70" i="841"/>
  <c r="AV70" i="841"/>
  <c r="AU70" i="841" a="1"/>
  <c r="AS70" i="841"/>
  <c r="AR70" i="841"/>
  <c r="AN70" i="841"/>
  <c r="AG70" i="841"/>
  <c r="AF70" i="841"/>
  <c r="AE70" i="841"/>
  <c r="AD70" i="841"/>
  <c r="AC70" i="841"/>
  <c r="AA70" i="841" a="1"/>
  <c r="Y70" i="841"/>
  <c r="X70" i="841"/>
  <c r="V70" i="841"/>
  <c r="U70" i="841"/>
  <c r="S70" i="841"/>
  <c r="K70" i="841"/>
  <c r="J70" i="841"/>
  <c r="I70" i="841"/>
  <c r="AZ69" i="841"/>
  <c r="AY69" i="841"/>
  <c r="AX69" i="841"/>
  <c r="AV69" i="841"/>
  <c r="AU69" i="841" a="1"/>
  <c r="AS69" i="841"/>
  <c r="AR69" i="841"/>
  <c r="AN69" i="841"/>
  <c r="AG69" i="841"/>
  <c r="AF69" i="841"/>
  <c r="AE69" i="841"/>
  <c r="AD69" i="841"/>
  <c r="AC69" i="841"/>
  <c r="AA69" i="841" a="1"/>
  <c r="Y69" i="841"/>
  <c r="X69" i="841"/>
  <c r="V69" i="841"/>
  <c r="U69" i="841"/>
  <c r="S69" i="841"/>
  <c r="K69" i="841"/>
  <c r="J69" i="841"/>
  <c r="I69" i="841"/>
  <c r="AZ68" i="841"/>
  <c r="AY68" i="841"/>
  <c r="AX68" i="841"/>
  <c r="AV68" i="841"/>
  <c r="AU68" i="841" a="1"/>
  <c r="AS68" i="841"/>
  <c r="AR68" i="841"/>
  <c r="AN68" i="841"/>
  <c r="AG68" i="841"/>
  <c r="AF68" i="841"/>
  <c r="AE68" i="841"/>
  <c r="AD68" i="841"/>
  <c r="AC68" i="841"/>
  <c r="AA68" i="841" a="1"/>
  <c r="Y68" i="841"/>
  <c r="X68" i="841"/>
  <c r="V68" i="841"/>
  <c r="U68" i="841"/>
  <c r="S68" i="841"/>
  <c r="K68" i="841"/>
  <c r="J68" i="841"/>
  <c r="I68" i="841"/>
  <c r="AZ67" i="841"/>
  <c r="AY67" i="841"/>
  <c r="AX67" i="841"/>
  <c r="AV67" i="841"/>
  <c r="AU67" i="841" a="1"/>
  <c r="AS67" i="841"/>
  <c r="AR67" i="841"/>
  <c r="AN67" i="841"/>
  <c r="AG67" i="841"/>
  <c r="AF67" i="841"/>
  <c r="AE67" i="841"/>
  <c r="AD67" i="841"/>
  <c r="AC67" i="841"/>
  <c r="AA67" i="841" a="1"/>
  <c r="Y67" i="841"/>
  <c r="X67" i="841"/>
  <c r="V67" i="841"/>
  <c r="U67" i="841"/>
  <c r="S67" i="841"/>
  <c r="K67" i="841"/>
  <c r="J67" i="841"/>
  <c r="I67" i="841"/>
  <c r="AZ66" i="841"/>
  <c r="AY66" i="841"/>
  <c r="AX66" i="841"/>
  <c r="AV66" i="841"/>
  <c r="AU66" i="841" a="1"/>
  <c r="AS66" i="841"/>
  <c r="AR66" i="841"/>
  <c r="AN66" i="841"/>
  <c r="AG66" i="841"/>
  <c r="AF66" i="841"/>
  <c r="AE66" i="841"/>
  <c r="AD66" i="841"/>
  <c r="AC66" i="841"/>
  <c r="AA66" i="841" a="1"/>
  <c r="Y66" i="841"/>
  <c r="X66" i="841"/>
  <c r="V66" i="841"/>
  <c r="U66" i="841"/>
  <c r="S66" i="841"/>
  <c r="K66" i="841"/>
  <c r="J66" i="841"/>
  <c r="I66" i="841"/>
  <c r="AZ65" i="841"/>
  <c r="AY65" i="841"/>
  <c r="AX65" i="841"/>
  <c r="AV65" i="841"/>
  <c r="AU65" i="841" a="1"/>
  <c r="AS65" i="841"/>
  <c r="AR65" i="841"/>
  <c r="AN65" i="841"/>
  <c r="AG65" i="841"/>
  <c r="AF65" i="841"/>
  <c r="AE65" i="841"/>
  <c r="AD65" i="841"/>
  <c r="AC65" i="841"/>
  <c r="AA65" i="841" a="1"/>
  <c r="Y65" i="841"/>
  <c r="X65" i="841"/>
  <c r="V65" i="841"/>
  <c r="U65" i="841"/>
  <c r="S65" i="841"/>
  <c r="K65" i="841"/>
  <c r="J65" i="841"/>
  <c r="I65" i="841"/>
  <c r="AZ64" i="841"/>
  <c r="AY64" i="841"/>
  <c r="AX64" i="841"/>
  <c r="AV64" i="841"/>
  <c r="AU64" i="841" a="1"/>
  <c r="AS64" i="841"/>
  <c r="AR64" i="841"/>
  <c r="AN64" i="841"/>
  <c r="AG64" i="841"/>
  <c r="AF64" i="841"/>
  <c r="AE64" i="841"/>
  <c r="AD64" i="841"/>
  <c r="AC64" i="841"/>
  <c r="AA64" i="841" a="1"/>
  <c r="Y64" i="841"/>
  <c r="X64" i="841"/>
  <c r="V64" i="841"/>
  <c r="U64" i="841"/>
  <c r="S64" i="841"/>
  <c r="K64" i="841"/>
  <c r="J64" i="841"/>
  <c r="I64" i="841"/>
  <c r="AZ63" i="841"/>
  <c r="AY63" i="841"/>
  <c r="AX63" i="841"/>
  <c r="AV63" i="841"/>
  <c r="AU63" i="841" a="1"/>
  <c r="AS63" i="841"/>
  <c r="AR63" i="841"/>
  <c r="AN63" i="841"/>
  <c r="AG63" i="841"/>
  <c r="AF63" i="841"/>
  <c r="AE63" i="841"/>
  <c r="AD63" i="841"/>
  <c r="AC63" i="841"/>
  <c r="AA63" i="841" a="1"/>
  <c r="Y63" i="841"/>
  <c r="X63" i="841"/>
  <c r="V63" i="841"/>
  <c r="U63" i="841"/>
  <c r="S63" i="841"/>
  <c r="K63" i="841"/>
  <c r="J63" i="841"/>
  <c r="I63" i="841"/>
  <c r="AZ62" i="841"/>
  <c r="AY62" i="841"/>
  <c r="AX62" i="841"/>
  <c r="AV62" i="841"/>
  <c r="AU62" i="841" a="1"/>
  <c r="AS62" i="841"/>
  <c r="AR62" i="841"/>
  <c r="AN62" i="841"/>
  <c r="AG62" i="841"/>
  <c r="AF62" i="841"/>
  <c r="AE62" i="841"/>
  <c r="AD62" i="841"/>
  <c r="AC62" i="841"/>
  <c r="AA62" i="841" a="1"/>
  <c r="Y62" i="841"/>
  <c r="X62" i="841"/>
  <c r="V62" i="841"/>
  <c r="U62" i="841"/>
  <c r="S62" i="841"/>
  <c r="K62" i="841"/>
  <c r="J62" i="841"/>
  <c r="I62" i="841"/>
  <c r="AZ61" i="841"/>
  <c r="AY61" i="841"/>
  <c r="AX61" i="841"/>
  <c r="AV61" i="841"/>
  <c r="AU61" i="841" a="1"/>
  <c r="AS61" i="841"/>
  <c r="AR61" i="841"/>
  <c r="AN61" i="841"/>
  <c r="AG61" i="841"/>
  <c r="AF61" i="841"/>
  <c r="AE61" i="841"/>
  <c r="AD61" i="841"/>
  <c r="AC61" i="841"/>
  <c r="AA61" i="841" a="1"/>
  <c r="Y61" i="841"/>
  <c r="X61" i="841"/>
  <c r="V61" i="841"/>
  <c r="U61" i="841"/>
  <c r="S61" i="841"/>
  <c r="K61" i="841"/>
  <c r="J61" i="841"/>
  <c r="I61" i="841"/>
  <c r="AZ60" i="841"/>
  <c r="AY60" i="841"/>
  <c r="AX60" i="841"/>
  <c r="AV60" i="841"/>
  <c r="AU60" i="841" a="1"/>
  <c r="AS60" i="841"/>
  <c r="AR60" i="841"/>
  <c r="AN60" i="841"/>
  <c r="AG60" i="841"/>
  <c r="AF60" i="841"/>
  <c r="AE60" i="841"/>
  <c r="AD60" i="841"/>
  <c r="AC60" i="841"/>
  <c r="AA60" i="841" a="1"/>
  <c r="Y60" i="841"/>
  <c r="X60" i="841"/>
  <c r="V60" i="841"/>
  <c r="U60" i="841"/>
  <c r="S60" i="841"/>
  <c r="K60" i="841"/>
  <c r="J60" i="841"/>
  <c r="I60" i="841"/>
  <c r="AZ59" i="841"/>
  <c r="AY59" i="841"/>
  <c r="AX59" i="841"/>
  <c r="AV59" i="841"/>
  <c r="AU59" i="841" a="1"/>
  <c r="AS59" i="841"/>
  <c r="AR59" i="841"/>
  <c r="AN59" i="841"/>
  <c r="AG59" i="841"/>
  <c r="AF59" i="841"/>
  <c r="AE59" i="841"/>
  <c r="AD59" i="841"/>
  <c r="AC59" i="841"/>
  <c r="AA59" i="841" a="1"/>
  <c r="Y59" i="841"/>
  <c r="X59" i="841"/>
  <c r="V59" i="841"/>
  <c r="U59" i="841"/>
  <c r="S59" i="841"/>
  <c r="K59" i="841"/>
  <c r="J59" i="841"/>
  <c r="I59" i="841"/>
  <c r="AZ58" i="841"/>
  <c r="AY58" i="841"/>
  <c r="AX58" i="841"/>
  <c r="AV58" i="841"/>
  <c r="AU58" i="841" a="1"/>
  <c r="AS58" i="841"/>
  <c r="AR58" i="841"/>
  <c r="AN58" i="841"/>
  <c r="AG58" i="841"/>
  <c r="AF58" i="841"/>
  <c r="AE58" i="841"/>
  <c r="AD58" i="841"/>
  <c r="AC58" i="841"/>
  <c r="AA58" i="841" a="1"/>
  <c r="Y58" i="841"/>
  <c r="X58" i="841"/>
  <c r="V58" i="841"/>
  <c r="U58" i="841"/>
  <c r="S58" i="841"/>
  <c r="K58" i="841"/>
  <c r="J58" i="841"/>
  <c r="I58" i="841"/>
  <c r="AZ57" i="841"/>
  <c r="AY57" i="841"/>
  <c r="AX57" i="841"/>
  <c r="AV57" i="841"/>
  <c r="AU57" i="841" a="1"/>
  <c r="AS57" i="841"/>
  <c r="AR57" i="841"/>
  <c r="AN57" i="841"/>
  <c r="AG57" i="841"/>
  <c r="AF57" i="841"/>
  <c r="AE57" i="841"/>
  <c r="AD57" i="841"/>
  <c r="AC57" i="841"/>
  <c r="AA57" i="841" a="1"/>
  <c r="Y57" i="841"/>
  <c r="X57" i="841"/>
  <c r="V57" i="841"/>
  <c r="U57" i="841"/>
  <c r="S57" i="841"/>
  <c r="K57" i="841"/>
  <c r="J57" i="841"/>
  <c r="I57" i="841"/>
  <c r="AZ56" i="841"/>
  <c r="AY56" i="841"/>
  <c r="AX56" i="841"/>
  <c r="AV56" i="841"/>
  <c r="AU56" i="841" a="1"/>
  <c r="AS56" i="841"/>
  <c r="AR56" i="841"/>
  <c r="AN56" i="841"/>
  <c r="AG56" i="841"/>
  <c r="AF56" i="841"/>
  <c r="AE56" i="841"/>
  <c r="AD56" i="841"/>
  <c r="AC56" i="841"/>
  <c r="AA56" i="841" a="1"/>
  <c r="Y56" i="841"/>
  <c r="X56" i="841"/>
  <c r="V56" i="841"/>
  <c r="U56" i="841"/>
  <c r="S56" i="841"/>
  <c r="K56" i="841"/>
  <c r="J56" i="841"/>
  <c r="I56" i="841"/>
  <c r="AZ55" i="841"/>
  <c r="AY55" i="841"/>
  <c r="AX55" i="841"/>
  <c r="AV55" i="841"/>
  <c r="AU55" i="841" a="1"/>
  <c r="AS55" i="841"/>
  <c r="AR55" i="841"/>
  <c r="AN55" i="841"/>
  <c r="AG55" i="841"/>
  <c r="AF55" i="841"/>
  <c r="AE55" i="841"/>
  <c r="AD55" i="841"/>
  <c r="AC55" i="841"/>
  <c r="AA55" i="841" a="1"/>
  <c r="Y55" i="841"/>
  <c r="X55" i="841"/>
  <c r="V55" i="841"/>
  <c r="U55" i="841"/>
  <c r="S55" i="841"/>
  <c r="K55" i="841"/>
  <c r="J55" i="841"/>
  <c r="I55" i="841"/>
  <c r="AZ54" i="841"/>
  <c r="AY54" i="841"/>
  <c r="AX54" i="841"/>
  <c r="AV54" i="841"/>
  <c r="AU54" i="841" a="1"/>
  <c r="AS54" i="841"/>
  <c r="AR54" i="841"/>
  <c r="AN54" i="841"/>
  <c r="AG54" i="841"/>
  <c r="AF54" i="841"/>
  <c r="AE54" i="841"/>
  <c r="AD54" i="841"/>
  <c r="AC54" i="841"/>
  <c r="AA54" i="841" a="1"/>
  <c r="Y54" i="841"/>
  <c r="X54" i="841"/>
  <c r="V54" i="841"/>
  <c r="U54" i="841"/>
  <c r="S54" i="841"/>
  <c r="K54" i="841"/>
  <c r="J54" i="841"/>
  <c r="I54" i="841"/>
  <c r="AZ53" i="841"/>
  <c r="AY53" i="841"/>
  <c r="AX53" i="841"/>
  <c r="AV53" i="841"/>
  <c r="AU53" i="841" a="1"/>
  <c r="AS53" i="841"/>
  <c r="AR53" i="841"/>
  <c r="AN53" i="841"/>
  <c r="AG53" i="841"/>
  <c r="AF53" i="841"/>
  <c r="AE53" i="841"/>
  <c r="AD53" i="841"/>
  <c r="AC53" i="841"/>
  <c r="AA53" i="841" a="1"/>
  <c r="Y53" i="841"/>
  <c r="X53" i="841"/>
  <c r="V53" i="841"/>
  <c r="U53" i="841"/>
  <c r="S53" i="841"/>
  <c r="K53" i="841"/>
  <c r="J53" i="841"/>
  <c r="I53" i="841"/>
  <c r="AZ52" i="841"/>
  <c r="AY52" i="841"/>
  <c r="AX52" i="841"/>
  <c r="AV52" i="841"/>
  <c r="AU52" i="841" a="1"/>
  <c r="AS52" i="841"/>
  <c r="AR52" i="841"/>
  <c r="AN52" i="841"/>
  <c r="AG52" i="841"/>
  <c r="AF52" i="841"/>
  <c r="AE52" i="841"/>
  <c r="AD52" i="841"/>
  <c r="AC52" i="841"/>
  <c r="AA52" i="841" a="1"/>
  <c r="Y52" i="841"/>
  <c r="X52" i="841"/>
  <c r="V52" i="841"/>
  <c r="U52" i="841"/>
  <c r="S52" i="841"/>
  <c r="K52" i="841"/>
  <c r="J52" i="841"/>
  <c r="I52" i="841"/>
  <c r="AZ51" i="841"/>
  <c r="AY51" i="841"/>
  <c r="AX51" i="841"/>
  <c r="AV51" i="841"/>
  <c r="AU51" i="841" a="1"/>
  <c r="AS51" i="841"/>
  <c r="AR51" i="841"/>
  <c r="AN51" i="841"/>
  <c r="AG51" i="841"/>
  <c r="AF51" i="841"/>
  <c r="AE51" i="841"/>
  <c r="AD51" i="841"/>
  <c r="AC51" i="841"/>
  <c r="AA51" i="841" a="1"/>
  <c r="Y51" i="841"/>
  <c r="X51" i="841"/>
  <c r="V51" i="841"/>
  <c r="U51" i="841"/>
  <c r="S51" i="841"/>
  <c r="K51" i="841"/>
  <c r="J51" i="841"/>
  <c r="I51" i="841"/>
  <c r="AZ50" i="841"/>
  <c r="AY50" i="841"/>
  <c r="AX50" i="841"/>
  <c r="AV50" i="841"/>
  <c r="AU50" i="841" a="1"/>
  <c r="AS50" i="841"/>
  <c r="AR50" i="841"/>
  <c r="AN50" i="841"/>
  <c r="AG50" i="841"/>
  <c r="AF50" i="841"/>
  <c r="AE50" i="841"/>
  <c r="AD50" i="841"/>
  <c r="AC50" i="841"/>
  <c r="AA50" i="841" a="1"/>
  <c r="Y50" i="841"/>
  <c r="X50" i="841"/>
  <c r="V50" i="841"/>
  <c r="U50" i="841"/>
  <c r="S50" i="841"/>
  <c r="K50" i="841"/>
  <c r="J50" i="841"/>
  <c r="I50" i="841"/>
  <c r="AZ49" i="841"/>
  <c r="AY49" i="841"/>
  <c r="AX49" i="841"/>
  <c r="AV49" i="841"/>
  <c r="AU49" i="841" a="1"/>
  <c r="AS49" i="841"/>
  <c r="AR49" i="841"/>
  <c r="AN49" i="841"/>
  <c r="AG49" i="841"/>
  <c r="AF49" i="841"/>
  <c r="AE49" i="841"/>
  <c r="AD49" i="841"/>
  <c r="AC49" i="841"/>
  <c r="AA49" i="841" a="1"/>
  <c r="Y49" i="841"/>
  <c r="X49" i="841"/>
  <c r="V49" i="841"/>
  <c r="U49" i="841"/>
  <c r="S49" i="841"/>
  <c r="K49" i="841"/>
  <c r="J49" i="841"/>
  <c r="I49" i="841"/>
  <c r="AZ48" i="841"/>
  <c r="AY48" i="841"/>
  <c r="AX48" i="841"/>
  <c r="AV48" i="841"/>
  <c r="AU48" i="841" a="1"/>
  <c r="AS48" i="841"/>
  <c r="AR48" i="841"/>
  <c r="AN48" i="841"/>
  <c r="AG48" i="841"/>
  <c r="AF48" i="841"/>
  <c r="AE48" i="841"/>
  <c r="AD48" i="841"/>
  <c r="AC48" i="841"/>
  <c r="AA48" i="841" a="1"/>
  <c r="Y48" i="841"/>
  <c r="X48" i="841"/>
  <c r="V48" i="841"/>
  <c r="U48" i="841"/>
  <c r="S48" i="841"/>
  <c r="K48" i="841"/>
  <c r="J48" i="841"/>
  <c r="I48" i="841"/>
  <c r="AZ47" i="841"/>
  <c r="AY47" i="841"/>
  <c r="AX47" i="841"/>
  <c r="AV47" i="841"/>
  <c r="AU47" i="841" a="1"/>
  <c r="AS47" i="841"/>
  <c r="AR47" i="841"/>
  <c r="AN47" i="841"/>
  <c r="AG47" i="841"/>
  <c r="AF47" i="841"/>
  <c r="AE47" i="841"/>
  <c r="AD47" i="841"/>
  <c r="AC47" i="841"/>
  <c r="AA47" i="841" a="1"/>
  <c r="Y47" i="841"/>
  <c r="X47" i="841"/>
  <c r="V47" i="841"/>
  <c r="U47" i="841"/>
  <c r="S47" i="841"/>
  <c r="K47" i="841"/>
  <c r="J47" i="841"/>
  <c r="I47" i="841"/>
  <c r="AZ46" i="841"/>
  <c r="AY46" i="841"/>
  <c r="AX46" i="841"/>
  <c r="AV46" i="841"/>
  <c r="AU46" i="841" a="1"/>
  <c r="AS46" i="841"/>
  <c r="AR46" i="841"/>
  <c r="AN46" i="841"/>
  <c r="AG46" i="841"/>
  <c r="AF46" i="841"/>
  <c r="AE46" i="841"/>
  <c r="AD46" i="841"/>
  <c r="AC46" i="841"/>
  <c r="AA46" i="841" a="1"/>
  <c r="Y46" i="841"/>
  <c r="X46" i="841"/>
  <c r="V46" i="841"/>
  <c r="U46" i="841"/>
  <c r="S46" i="841"/>
  <c r="K46" i="841"/>
  <c r="J46" i="841"/>
  <c r="I46" i="841"/>
  <c r="AZ45" i="841"/>
  <c r="AY45" i="841"/>
  <c r="AX45" i="841"/>
  <c r="AV45" i="841"/>
  <c r="AU45" i="841" a="1"/>
  <c r="AS45" i="841"/>
  <c r="AR45" i="841"/>
  <c r="AN45" i="841"/>
  <c r="AG45" i="841"/>
  <c r="AF45" i="841"/>
  <c r="AE45" i="841"/>
  <c r="AD45" i="841"/>
  <c r="AC45" i="841"/>
  <c r="AA45" i="841" a="1"/>
  <c r="Y45" i="841"/>
  <c r="X45" i="841"/>
  <c r="V45" i="841"/>
  <c r="U45" i="841"/>
  <c r="S45" i="841"/>
  <c r="K45" i="841"/>
  <c r="J45" i="841"/>
  <c r="I45" i="841"/>
  <c r="AZ44" i="841"/>
  <c r="AY44" i="841"/>
  <c r="AX44" i="841"/>
  <c r="AV44" i="841"/>
  <c r="AU44" i="841" a="1"/>
  <c r="AS44" i="841"/>
  <c r="AR44" i="841"/>
  <c r="AN44" i="841"/>
  <c r="AG44" i="841"/>
  <c r="AF44" i="841"/>
  <c r="AE44" i="841"/>
  <c r="AD44" i="841"/>
  <c r="AC44" i="841"/>
  <c r="AA44" i="841" a="1"/>
  <c r="Y44" i="841"/>
  <c r="X44" i="841"/>
  <c r="V44" i="841"/>
  <c r="U44" i="841"/>
  <c r="S44" i="841"/>
  <c r="K44" i="841"/>
  <c r="J44" i="841"/>
  <c r="I44" i="841"/>
  <c r="AZ43" i="841"/>
  <c r="AY43" i="841"/>
  <c r="AX43" i="841"/>
  <c r="AV43" i="841"/>
  <c r="AU43" i="841" a="1"/>
  <c r="AS43" i="841"/>
  <c r="AR43" i="841"/>
  <c r="AN43" i="841"/>
  <c r="AG43" i="841"/>
  <c r="AF43" i="841"/>
  <c r="AE43" i="841"/>
  <c r="AD43" i="841"/>
  <c r="AC43" i="841"/>
  <c r="AA43" i="841" a="1"/>
  <c r="Y43" i="841"/>
  <c r="X43" i="841"/>
  <c r="V43" i="841"/>
  <c r="U43" i="841"/>
  <c r="S43" i="841"/>
  <c r="K43" i="841"/>
  <c r="J43" i="841"/>
  <c r="I43" i="841"/>
  <c r="AZ42" i="841"/>
  <c r="AY42" i="841"/>
  <c r="AX42" i="841"/>
  <c r="AV42" i="841"/>
  <c r="AU42" i="841" a="1"/>
  <c r="AS42" i="841"/>
  <c r="AR42" i="841"/>
  <c r="AN42" i="841"/>
  <c r="AG42" i="841"/>
  <c r="AF42" i="841"/>
  <c r="AE42" i="841"/>
  <c r="AD42" i="841"/>
  <c r="AC42" i="841"/>
  <c r="AA42" i="841" a="1"/>
  <c r="Y42" i="841"/>
  <c r="X42" i="841"/>
  <c r="V42" i="841"/>
  <c r="U42" i="841"/>
  <c r="S42" i="841"/>
  <c r="K42" i="841"/>
  <c r="J42" i="841"/>
  <c r="I42" i="841"/>
  <c r="AZ41" i="841"/>
  <c r="AY41" i="841"/>
  <c r="AX41" i="841"/>
  <c r="AV41" i="841"/>
  <c r="AU41" i="841" a="1"/>
  <c r="AS41" i="841"/>
  <c r="AR41" i="841"/>
  <c r="AN41" i="841"/>
  <c r="AG41" i="841"/>
  <c r="AF41" i="841"/>
  <c r="AE41" i="841"/>
  <c r="AD41" i="841"/>
  <c r="AC41" i="841"/>
  <c r="AA41" i="841" a="1"/>
  <c r="Y41" i="841"/>
  <c r="X41" i="841"/>
  <c r="V41" i="841"/>
  <c r="U41" i="841"/>
  <c r="S41" i="841"/>
  <c r="K41" i="841"/>
  <c r="J41" i="841"/>
  <c r="I41" i="841"/>
  <c r="AZ40" i="841"/>
  <c r="AY40" i="841"/>
  <c r="AX40" i="841"/>
  <c r="AV40" i="841"/>
  <c r="AU40" i="841" a="1"/>
  <c r="AS40" i="841"/>
  <c r="AR40" i="841"/>
  <c r="AN40" i="841"/>
  <c r="AG40" i="841"/>
  <c r="AF40" i="841"/>
  <c r="AE40" i="841"/>
  <c r="AD40" i="841"/>
  <c r="AC40" i="841"/>
  <c r="AA40" i="841" a="1"/>
  <c r="Y40" i="841"/>
  <c r="X40" i="841"/>
  <c r="V40" i="841"/>
  <c r="U40" i="841"/>
  <c r="S40" i="841"/>
  <c r="K40" i="841"/>
  <c r="J40" i="841"/>
  <c r="I40" i="841"/>
  <c r="AZ39" i="841"/>
  <c r="AY39" i="841"/>
  <c r="AX39" i="841"/>
  <c r="AV39" i="841"/>
  <c r="AU39" i="841" a="1"/>
  <c r="AS39" i="841"/>
  <c r="AR39" i="841"/>
  <c r="AN39" i="841"/>
  <c r="AG39" i="841"/>
  <c r="AF39" i="841"/>
  <c r="AE39" i="841"/>
  <c r="AD39" i="841"/>
  <c r="AC39" i="841"/>
  <c r="AA39" i="841" a="1"/>
  <c r="Y39" i="841"/>
  <c r="X39" i="841"/>
  <c r="V39" i="841"/>
  <c r="U39" i="841"/>
  <c r="S39" i="841"/>
  <c r="K39" i="841"/>
  <c r="J39" i="841"/>
  <c r="I39" i="841"/>
  <c r="AZ38" i="841"/>
  <c r="AY38" i="841"/>
  <c r="AX38" i="841"/>
  <c r="AV38" i="841"/>
  <c r="AU38" i="841" a="1"/>
  <c r="AS38" i="841"/>
  <c r="AR38" i="841"/>
  <c r="AN38" i="841"/>
  <c r="AG38" i="841"/>
  <c r="AF38" i="841"/>
  <c r="AE38" i="841"/>
  <c r="AD38" i="841"/>
  <c r="AC38" i="841"/>
  <c r="AA38" i="841" a="1"/>
  <c r="Y38" i="841"/>
  <c r="X38" i="841"/>
  <c r="V38" i="841"/>
  <c r="U38" i="841"/>
  <c r="S38" i="841"/>
  <c r="K38" i="841"/>
  <c r="J38" i="841"/>
  <c r="I38" i="841"/>
  <c r="AZ37" i="841"/>
  <c r="AY37" i="841"/>
  <c r="AX37" i="841"/>
  <c r="AV37" i="841"/>
  <c r="AU37" i="841" a="1"/>
  <c r="AS37" i="841"/>
  <c r="AR37" i="841"/>
  <c r="AN37" i="841"/>
  <c r="AG37" i="841"/>
  <c r="AF37" i="841"/>
  <c r="AE37" i="841"/>
  <c r="AD37" i="841"/>
  <c r="AC37" i="841"/>
  <c r="AA37" i="841" a="1"/>
  <c r="Y37" i="841"/>
  <c r="X37" i="841"/>
  <c r="V37" i="841"/>
  <c r="U37" i="841"/>
  <c r="S37" i="841"/>
  <c r="K37" i="841"/>
  <c r="J37" i="841"/>
  <c r="I37" i="841"/>
  <c r="AZ36" i="841"/>
  <c r="AY36" i="841"/>
  <c r="AX36" i="841"/>
  <c r="AV36" i="841"/>
  <c r="AU36" i="841" a="1"/>
  <c r="AS36" i="841"/>
  <c r="AR36" i="841"/>
  <c r="AN36" i="841"/>
  <c r="AG36" i="841"/>
  <c r="AF36" i="841"/>
  <c r="AE36" i="841"/>
  <c r="AD36" i="841"/>
  <c r="AC36" i="841"/>
  <c r="AA36" i="841" a="1"/>
  <c r="Y36" i="841"/>
  <c r="X36" i="841"/>
  <c r="V36" i="841"/>
  <c r="U36" i="841"/>
  <c r="S36" i="841"/>
  <c r="K36" i="841"/>
  <c r="J36" i="841"/>
  <c r="I36" i="841"/>
  <c r="AZ35" i="841"/>
  <c r="AY35" i="841"/>
  <c r="AX35" i="841"/>
  <c r="AV35" i="841"/>
  <c r="AU35" i="841" a="1"/>
  <c r="AS35" i="841"/>
  <c r="AR35" i="841"/>
  <c r="AN35" i="841"/>
  <c r="AG35" i="841"/>
  <c r="AF35" i="841"/>
  <c r="AE35" i="841"/>
  <c r="AD35" i="841"/>
  <c r="AC35" i="841"/>
  <c r="AA35" i="841" a="1"/>
  <c r="Y35" i="841"/>
  <c r="X35" i="841"/>
  <c r="V35" i="841"/>
  <c r="U35" i="841"/>
  <c r="S35" i="841"/>
  <c r="K35" i="841"/>
  <c r="J35" i="841"/>
  <c r="I35" i="841"/>
  <c r="AZ34" i="841"/>
  <c r="AY34" i="841"/>
  <c r="AX34" i="841"/>
  <c r="AV34" i="841"/>
  <c r="AU34" i="841" a="1"/>
  <c r="AS34" i="841"/>
  <c r="AR34" i="841"/>
  <c r="AN34" i="841"/>
  <c r="AG34" i="841"/>
  <c r="AF34" i="841"/>
  <c r="AE34" i="841"/>
  <c r="AD34" i="841"/>
  <c r="AC34" i="841"/>
  <c r="AA34" i="841" a="1"/>
  <c r="Y34" i="841"/>
  <c r="X34" i="841"/>
  <c r="V34" i="841"/>
  <c r="U34" i="841"/>
  <c r="S34" i="841"/>
  <c r="K34" i="841"/>
  <c r="J34" i="841"/>
  <c r="I34" i="841"/>
  <c r="AZ33" i="841"/>
  <c r="AY33" i="841"/>
  <c r="AX33" i="841"/>
  <c r="AV33" i="841"/>
  <c r="AU33" i="841" a="1"/>
  <c r="AS33" i="841"/>
  <c r="AR33" i="841"/>
  <c r="AN33" i="841"/>
  <c r="AG33" i="841"/>
  <c r="AF33" i="841"/>
  <c r="AE33" i="841"/>
  <c r="AD33" i="841"/>
  <c r="AC33" i="841"/>
  <c r="AA33" i="841" a="1"/>
  <c r="Y33" i="841"/>
  <c r="X33" i="841"/>
  <c r="V33" i="841"/>
  <c r="U33" i="841"/>
  <c r="S33" i="841"/>
  <c r="K33" i="841"/>
  <c r="J33" i="841"/>
  <c r="I33" i="841"/>
  <c r="AZ32" i="841"/>
  <c r="AY32" i="841"/>
  <c r="AX32" i="841"/>
  <c r="AV32" i="841"/>
  <c r="AU32" i="841" a="1"/>
  <c r="AS32" i="841"/>
  <c r="AR32" i="841"/>
  <c r="AN32" i="841"/>
  <c r="AG32" i="841"/>
  <c r="AF32" i="841"/>
  <c r="AE32" i="841"/>
  <c r="AD32" i="841"/>
  <c r="AC32" i="841"/>
  <c r="AA32" i="841" a="1"/>
  <c r="Y32" i="841"/>
  <c r="X32" i="841"/>
  <c r="V32" i="841"/>
  <c r="U32" i="841"/>
  <c r="S32" i="841"/>
  <c r="K32" i="841"/>
  <c r="J32" i="841"/>
  <c r="I32" i="841"/>
  <c r="AZ31" i="841"/>
  <c r="AY31" i="841"/>
  <c r="AX31" i="841"/>
  <c r="AV31" i="841"/>
  <c r="AU31" i="841" a="1"/>
  <c r="AS31" i="841"/>
  <c r="AR31" i="841"/>
  <c r="AN31" i="841"/>
  <c r="AG31" i="841"/>
  <c r="AF31" i="841"/>
  <c r="AE31" i="841"/>
  <c r="AD31" i="841"/>
  <c r="AC31" i="841"/>
  <c r="AA31" i="841" a="1"/>
  <c r="Y31" i="841"/>
  <c r="X31" i="841"/>
  <c r="V31" i="841"/>
  <c r="U31" i="841"/>
  <c r="S31" i="841"/>
  <c r="K31" i="841"/>
  <c r="J31" i="841"/>
  <c r="I31" i="841"/>
  <c r="AZ30" i="841"/>
  <c r="AY30" i="841"/>
  <c r="AX30" i="841"/>
  <c r="AV30" i="841"/>
  <c r="AU30" i="841" a="1"/>
  <c r="AS30" i="841"/>
  <c r="AR30" i="841"/>
  <c r="AN30" i="841"/>
  <c r="AG30" i="841"/>
  <c r="AF30" i="841"/>
  <c r="AE30" i="841"/>
  <c r="AD30" i="841"/>
  <c r="AC30" i="841"/>
  <c r="AA30" i="841" a="1"/>
  <c r="Y30" i="841"/>
  <c r="X30" i="841"/>
  <c r="V30" i="841"/>
  <c r="U30" i="841"/>
  <c r="S30" i="841"/>
  <c r="K30" i="841"/>
  <c r="J30" i="841"/>
  <c r="I30" i="841"/>
  <c r="AZ29" i="841"/>
  <c r="AY29" i="841"/>
  <c r="AX29" i="841"/>
  <c r="AV29" i="841"/>
  <c r="AU29" i="841" a="1"/>
  <c r="AS29" i="841"/>
  <c r="AR29" i="841"/>
  <c r="AN29" i="841"/>
  <c r="AG29" i="841"/>
  <c r="AF29" i="841"/>
  <c r="AE29" i="841"/>
  <c r="AD29" i="841"/>
  <c r="AC29" i="841"/>
  <c r="AA29" i="841" a="1"/>
  <c r="Y29" i="841"/>
  <c r="X29" i="841"/>
  <c r="V29" i="841"/>
  <c r="U29" i="841"/>
  <c r="S29" i="841"/>
  <c r="K29" i="841"/>
  <c r="J29" i="841"/>
  <c r="I29" i="841"/>
  <c r="AZ28" i="841"/>
  <c r="AY28" i="841"/>
  <c r="AX28" i="841"/>
  <c r="AV28" i="841"/>
  <c r="AU28" i="841" a="1"/>
  <c r="AS28" i="841"/>
  <c r="AR28" i="841"/>
  <c r="AN28" i="841"/>
  <c r="AG28" i="841"/>
  <c r="AF28" i="841"/>
  <c r="AE28" i="841"/>
  <c r="AD28" i="841"/>
  <c r="AC28" i="841"/>
  <c r="AA28" i="841" a="1"/>
  <c r="Y28" i="841"/>
  <c r="X28" i="841"/>
  <c r="V28" i="841"/>
  <c r="U28" i="841"/>
  <c r="S28" i="841"/>
  <c r="K28" i="841"/>
  <c r="J28" i="841"/>
  <c r="I28" i="841"/>
  <c r="AZ27" i="841"/>
  <c r="AY27" i="841"/>
  <c r="AX27" i="841"/>
  <c r="AV27" i="841"/>
  <c r="AU27" i="841" a="1"/>
  <c r="AS27" i="841"/>
  <c r="AR27" i="841"/>
  <c r="AN27" i="841"/>
  <c r="AG27" i="841"/>
  <c r="AF27" i="841"/>
  <c r="AE27" i="841"/>
  <c r="AD27" i="841"/>
  <c r="AC27" i="841"/>
  <c r="AA27" i="841" a="1"/>
  <c r="Y27" i="841"/>
  <c r="X27" i="841"/>
  <c r="V27" i="841"/>
  <c r="U27" i="841"/>
  <c r="S27" i="841"/>
  <c r="K27" i="841"/>
  <c r="J27" i="841"/>
  <c r="I27" i="841"/>
  <c r="AZ26" i="841"/>
  <c r="AY26" i="841"/>
  <c r="AX26" i="841"/>
  <c r="AV26" i="841"/>
  <c r="AU26" i="841" a="1"/>
  <c r="AS26" i="841"/>
  <c r="AR26" i="841"/>
  <c r="AN26" i="841"/>
  <c r="AG26" i="841"/>
  <c r="AF26" i="841"/>
  <c r="AE26" i="841"/>
  <c r="AD26" i="841"/>
  <c r="AC26" i="841"/>
  <c r="AA26" i="841" a="1"/>
  <c r="Y26" i="841"/>
  <c r="X26" i="841"/>
  <c r="V26" i="841"/>
  <c r="U26" i="841"/>
  <c r="S26" i="841"/>
  <c r="K26" i="841"/>
  <c r="J26" i="841"/>
  <c r="I26" i="841"/>
  <c r="AZ25" i="841"/>
  <c r="AY25" i="841"/>
  <c r="AX25" i="841"/>
  <c r="AV25" i="841"/>
  <c r="AU25" i="841" a="1"/>
  <c r="AS25" i="841"/>
  <c r="AR25" i="841"/>
  <c r="AN25" i="841"/>
  <c r="AG25" i="841"/>
  <c r="AF25" i="841"/>
  <c r="AE25" i="841"/>
  <c r="AD25" i="841"/>
  <c r="AC25" i="841"/>
  <c r="AA25" i="841" a="1"/>
  <c r="Y25" i="841"/>
  <c r="X25" i="841"/>
  <c r="V25" i="841"/>
  <c r="U25" i="841"/>
  <c r="S25" i="841"/>
  <c r="K25" i="841"/>
  <c r="J25" i="841"/>
  <c r="I25" i="841"/>
  <c r="AZ24" i="841"/>
  <c r="AY24" i="841"/>
  <c r="AX24" i="841"/>
  <c r="AV24" i="841"/>
  <c r="AU24" i="841" a="1"/>
  <c r="AS24" i="841"/>
  <c r="AR24" i="841"/>
  <c r="AN24" i="841"/>
  <c r="AG24" i="841"/>
  <c r="AF24" i="841"/>
  <c r="AE24" i="841"/>
  <c r="AD24" i="841"/>
  <c r="AC24" i="841"/>
  <c r="AA24" i="841" a="1"/>
  <c r="Y24" i="841"/>
  <c r="X24" i="841"/>
  <c r="V24" i="841"/>
  <c r="U24" i="841"/>
  <c r="S24" i="841"/>
  <c r="K24" i="841"/>
  <c r="J24" i="841"/>
  <c r="I24" i="841"/>
  <c r="AZ23" i="841"/>
  <c r="AY23" i="841"/>
  <c r="AX23" i="841"/>
  <c r="AV23" i="841"/>
  <c r="AU23" i="841" a="1"/>
  <c r="AS23" i="841"/>
  <c r="AR23" i="841"/>
  <c r="AN23" i="841"/>
  <c r="AG23" i="841"/>
  <c r="AF23" i="841"/>
  <c r="AE23" i="841"/>
  <c r="AD23" i="841"/>
  <c r="AC23" i="841"/>
  <c r="AA23" i="841" a="1"/>
  <c r="Y23" i="841"/>
  <c r="X23" i="841"/>
  <c r="V23" i="841"/>
  <c r="U23" i="841"/>
  <c r="S23" i="841"/>
  <c r="K23" i="841"/>
  <c r="J23" i="841"/>
  <c r="I23" i="841"/>
  <c r="AZ22" i="841"/>
  <c r="AY22" i="841"/>
  <c r="AX22" i="841"/>
  <c r="AV22" i="841"/>
  <c r="AU22" i="841" a="1"/>
  <c r="AS22" i="841"/>
  <c r="AR22" i="841"/>
  <c r="AN22" i="841"/>
  <c r="AG22" i="841"/>
  <c r="AF22" i="841"/>
  <c r="AE22" i="841"/>
  <c r="AD22" i="841"/>
  <c r="AC22" i="841"/>
  <c r="AA22" i="841" a="1"/>
  <c r="Y22" i="841"/>
  <c r="X22" i="841"/>
  <c r="V22" i="841"/>
  <c r="U22" i="841"/>
  <c r="S22" i="841"/>
  <c r="K22" i="841"/>
  <c r="J22" i="841"/>
  <c r="I22" i="841"/>
  <c r="AZ21" i="841"/>
  <c r="AY21" i="841"/>
  <c r="AX21" i="841"/>
  <c r="AV21" i="841"/>
  <c r="AU21" i="841" a="1"/>
  <c r="AS21" i="841"/>
  <c r="AR21" i="841"/>
  <c r="AN21" i="841"/>
  <c r="AG21" i="841"/>
  <c r="AF21" i="841"/>
  <c r="AE21" i="841"/>
  <c r="AD21" i="841"/>
  <c r="AC21" i="841"/>
  <c r="AA21" i="841" a="1"/>
  <c r="Y21" i="841"/>
  <c r="X21" i="841"/>
  <c r="V21" i="841"/>
  <c r="U21" i="841"/>
  <c r="S21" i="841"/>
  <c r="K21" i="841"/>
  <c r="J21" i="841"/>
  <c r="I21" i="841"/>
  <c r="AZ20" i="841"/>
  <c r="AY20" i="841"/>
  <c r="AX20" i="841"/>
  <c r="AV20" i="841"/>
  <c r="AU20" i="841" a="1"/>
  <c r="AS20" i="841"/>
  <c r="AR20" i="841"/>
  <c r="AN20" i="841"/>
  <c r="AG20" i="841"/>
  <c r="AF20" i="841"/>
  <c r="AE20" i="841"/>
  <c r="AD20" i="841"/>
  <c r="AC20" i="841"/>
  <c r="AA20" i="841" a="1"/>
  <c r="Y20" i="841"/>
  <c r="X20" i="841"/>
  <c r="V20" i="841"/>
  <c r="U20" i="841"/>
  <c r="S20" i="841"/>
  <c r="K20" i="841"/>
  <c r="J20" i="841"/>
  <c r="I20" i="841"/>
  <c r="F20" i="841"/>
  <c r="D20" i="841"/>
  <c r="AZ19" i="841"/>
  <c r="AY19" i="841"/>
  <c r="AX19" i="841"/>
  <c r="AV19" i="841"/>
  <c r="AU19" i="841" a="1"/>
  <c r="AS19" i="841"/>
  <c r="AR19" i="841"/>
  <c r="AN19" i="841"/>
  <c r="AG19" i="841"/>
  <c r="AF19" i="841"/>
  <c r="AE19" i="841"/>
  <c r="AD19" i="841"/>
  <c r="AC19" i="841"/>
  <c r="AA19" i="841" a="1"/>
  <c r="Y19" i="841"/>
  <c r="X19" i="841"/>
  <c r="V19" i="841"/>
  <c r="U19" i="841"/>
  <c r="S19" i="841"/>
  <c r="K19" i="841"/>
  <c r="J19" i="841"/>
  <c r="I19" i="841"/>
  <c r="D19" i="841"/>
  <c r="AZ18" i="841"/>
  <c r="AY18" i="841"/>
  <c r="AX18" i="841"/>
  <c r="AV18" i="841"/>
  <c r="AU18" i="841" a="1"/>
  <c r="AS18" i="841"/>
  <c r="AR18" i="841"/>
  <c r="AN18" i="841"/>
  <c r="AG18" i="841"/>
  <c r="AF18" i="841"/>
  <c r="AE18" i="841"/>
  <c r="AD18" i="841"/>
  <c r="AC18" i="841"/>
  <c r="AA18" i="841" a="1"/>
  <c r="Y18" i="841"/>
  <c r="X18" i="841"/>
  <c r="V18" i="841"/>
  <c r="U18" i="841"/>
  <c r="S18" i="841"/>
  <c r="K18" i="841"/>
  <c r="J18" i="841"/>
  <c r="I18" i="841"/>
  <c r="C18" i="841"/>
  <c r="AZ17" i="841"/>
  <c r="AY17" i="841"/>
  <c r="AX17" i="841"/>
  <c r="AV17" i="841"/>
  <c r="AU17" i="841" a="1"/>
  <c r="AS17" i="841"/>
  <c r="AR17" i="841"/>
  <c r="AN17" i="841"/>
  <c r="AG17" i="841"/>
  <c r="AF17" i="841"/>
  <c r="AE17" i="841"/>
  <c r="AD17" i="841"/>
  <c r="AC17" i="841"/>
  <c r="AA17" i="841" a="1"/>
  <c r="Y17" i="841"/>
  <c r="X17" i="841"/>
  <c r="V17" i="841"/>
  <c r="U17" i="841"/>
  <c r="S17" i="841"/>
  <c r="K17" i="841"/>
  <c r="J17" i="841"/>
  <c r="I17" i="841"/>
  <c r="F17" i="841"/>
  <c r="D17" i="841"/>
  <c r="C17" i="841"/>
  <c r="AZ16" i="841"/>
  <c r="AY16" i="841"/>
  <c r="AX16" i="841"/>
  <c r="AV16" i="841"/>
  <c r="AU16" i="841" a="1"/>
  <c r="AS16" i="841"/>
  <c r="AR16" i="841"/>
  <c r="AN16" i="841"/>
  <c r="AG16" i="841"/>
  <c r="AF16" i="841"/>
  <c r="AE16" i="841"/>
  <c r="AD16" i="841"/>
  <c r="AC16" i="841"/>
  <c r="AA16" i="841" a="1"/>
  <c r="Y16" i="841"/>
  <c r="X16" i="841"/>
  <c r="V16" i="841"/>
  <c r="U16" i="841"/>
  <c r="S16" i="841"/>
  <c r="K16" i="841"/>
  <c r="J16" i="841"/>
  <c r="I16" i="841"/>
  <c r="AZ15" i="841"/>
  <c r="AY15" i="841"/>
  <c r="AX15" i="841"/>
  <c r="AV15" i="841"/>
  <c r="AU15" i="841" a="1"/>
  <c r="AS15" i="841"/>
  <c r="AR15" i="841"/>
  <c r="AN15" i="841"/>
  <c r="AG15" i="841"/>
  <c r="AF15" i="841"/>
  <c r="AE15" i="841"/>
  <c r="AD15" i="841"/>
  <c r="AC15" i="841"/>
  <c r="AA15" i="841" a="1"/>
  <c r="Y15" i="841"/>
  <c r="X15" i="841"/>
  <c r="V15" i="841"/>
  <c r="U15" i="841"/>
  <c r="S15" i="841"/>
  <c r="K15" i="841"/>
  <c r="J15" i="841"/>
  <c r="I15" i="841"/>
  <c r="F15" i="841"/>
  <c r="D15" i="841"/>
  <c r="AZ14" i="841"/>
  <c r="AY14" i="841"/>
  <c r="AX14" i="841"/>
  <c r="AV14" i="841"/>
  <c r="AU14" i="841" a="1"/>
  <c r="AS14" i="841"/>
  <c r="AR14" i="841"/>
  <c r="AN14" i="841"/>
  <c r="AG14" i="841"/>
  <c r="AF14" i="841"/>
  <c r="AE14" i="841"/>
  <c r="AD14" i="841"/>
  <c r="AC14" i="841"/>
  <c r="AA14" i="841" a="1"/>
  <c r="Y14" i="841"/>
  <c r="X14" i="841"/>
  <c r="V14" i="841"/>
  <c r="U14" i="841"/>
  <c r="S14" i="841"/>
  <c r="K14" i="841"/>
  <c r="J14" i="841"/>
  <c r="I14" i="841"/>
  <c r="AZ13" i="841"/>
  <c r="AY13" i="841"/>
  <c r="AX13" i="841"/>
  <c r="AV13" i="841"/>
  <c r="AU13" i="841" a="1"/>
  <c r="AS13" i="841"/>
  <c r="AR13" i="841"/>
  <c r="AN13" i="841"/>
  <c r="AG13" i="841"/>
  <c r="AF13" i="841"/>
  <c r="AE13" i="841"/>
  <c r="AD13" i="841"/>
  <c r="AC13" i="841"/>
  <c r="AA13" i="841" a="1"/>
  <c r="Y13" i="841"/>
  <c r="X13" i="841"/>
  <c r="V13" i="841"/>
  <c r="U13" i="841"/>
  <c r="S13" i="841"/>
  <c r="K13" i="841"/>
  <c r="J13" i="841"/>
  <c r="I13" i="841"/>
  <c r="F13" i="841"/>
  <c r="D13" i="841"/>
  <c r="AZ12" i="841"/>
  <c r="AY12" i="841"/>
  <c r="AX12" i="841"/>
  <c r="AV12" i="841"/>
  <c r="AU12" i="841" a="1"/>
  <c r="AS12" i="841"/>
  <c r="AR12" i="841"/>
  <c r="AN12" i="841"/>
  <c r="AG12" i="841"/>
  <c r="AF12" i="841"/>
  <c r="AE12" i="841"/>
  <c r="AD12" i="841"/>
  <c r="AC12" i="841"/>
  <c r="AA12" i="841" a="1"/>
  <c r="Y12" i="841"/>
  <c r="X12" i="841"/>
  <c r="V12" i="841"/>
  <c r="U12" i="841"/>
  <c r="S12" i="841"/>
  <c r="K12" i="841"/>
  <c r="J12" i="841"/>
  <c r="I12" i="841"/>
  <c r="AZ11" i="841"/>
  <c r="AY11" i="841"/>
  <c r="AX11" i="841"/>
  <c r="AV11" i="841"/>
  <c r="AU11" i="841" a="1"/>
  <c r="AS11" i="841"/>
  <c r="AR11" i="841"/>
  <c r="AN11" i="841"/>
  <c r="AG11" i="841"/>
  <c r="AF11" i="841"/>
  <c r="AE11" i="841"/>
  <c r="AD11" i="841"/>
  <c r="AC11" i="841"/>
  <c r="AA11" i="841" a="1"/>
  <c r="Y11" i="841"/>
  <c r="X11" i="841"/>
  <c r="V11" i="841"/>
  <c r="U11" i="841"/>
  <c r="S11" i="841"/>
  <c r="K11" i="841"/>
  <c r="J11" i="841"/>
  <c r="I11" i="841"/>
  <c r="E11" i="841"/>
  <c r="AZ10" i="841"/>
  <c r="AY10" i="841"/>
  <c r="AX10" i="841"/>
  <c r="AV10" i="841"/>
  <c r="AU10" i="841" a="1"/>
  <c r="AS10" i="841"/>
  <c r="AR10" i="841"/>
  <c r="AN10" i="841"/>
  <c r="AG10" i="841"/>
  <c r="AF10" i="841"/>
  <c r="AE10" i="841"/>
  <c r="AD10" i="841"/>
  <c r="AC10" i="841"/>
  <c r="AA10" i="841" a="1"/>
  <c r="Y10" i="841"/>
  <c r="X10" i="841"/>
  <c r="V10" i="841"/>
  <c r="U10" i="841"/>
  <c r="S10" i="841"/>
  <c r="K10" i="841"/>
  <c r="J10" i="841"/>
  <c r="I10" i="841"/>
  <c r="AZ9" i="841"/>
  <c r="AY9" i="841"/>
  <c r="AX9" i="841"/>
  <c r="AV9" i="841"/>
  <c r="AU9" i="841" a="1"/>
  <c r="AS9" i="841"/>
  <c r="AR9" i="841"/>
  <c r="AN9" i="841"/>
  <c r="AG9" i="841"/>
  <c r="AF9" i="841"/>
  <c r="AE9" i="841"/>
  <c r="AD9" i="841"/>
  <c r="AC9" i="841"/>
  <c r="AA9" i="841" a="1"/>
  <c r="Y9" i="841"/>
  <c r="X9" i="841"/>
  <c r="V9" i="841"/>
  <c r="U9" i="841"/>
  <c r="S9" i="841"/>
  <c r="K9" i="841"/>
  <c r="J9" i="841"/>
  <c r="I9" i="841"/>
  <c r="D9" i="841"/>
  <c r="AC8" i="841"/>
  <c r="X8" i="841"/>
  <c r="V8" i="841"/>
  <c r="S8" i="841"/>
  <c r="J8" i="841"/>
  <c r="I8" i="841"/>
  <c r="AC7" i="841"/>
  <c r="X6" i="841"/>
  <c r="V6" i="841"/>
  <c r="S6" i="841"/>
  <c r="E6" i="841"/>
  <c r="N4" i="841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M6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15" i="838"/>
  <c r="J16" i="838"/>
  <c r="J17" i="838"/>
  <c r="J18" i="838"/>
  <c r="J19" i="838"/>
  <c r="J20" i="838"/>
  <c r="J21" i="838"/>
  <c r="J22" i="838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Y28" i="825"/>
  <c r="Y29" i="825"/>
  <c r="Y30" i="825"/>
  <c r="Y31" i="825"/>
  <c r="Y32" i="825"/>
  <c r="Y33" i="825"/>
  <c r="Y34" i="825"/>
  <c r="Y35" i="825"/>
  <c r="Y36" i="825"/>
  <c r="Y37" i="825"/>
  <c r="Y38" i="825"/>
  <c r="Y39" i="825"/>
  <c r="Y40" i="825"/>
  <c r="Y41" i="825"/>
  <c r="Y42" i="825"/>
  <c r="Y43" i="825"/>
  <c r="Y44" i="825"/>
  <c r="Y45" i="825"/>
  <c r="Y46" i="825"/>
  <c r="Y47" i="825"/>
  <c r="Y48" i="825"/>
  <c r="Y49" i="825"/>
  <c r="Y50" i="825"/>
  <c r="Y51" i="825"/>
  <c r="Y52" i="825"/>
  <c r="Y53" i="825"/>
  <c r="Y54" i="825"/>
  <c r="Y55" i="825"/>
  <c r="Y56" i="825"/>
  <c r="Y57" i="825"/>
  <c r="Y58" i="825"/>
  <c r="Y59" i="825"/>
  <c r="Y60" i="825"/>
  <c r="Y61" i="825"/>
  <c r="Y62" i="825"/>
  <c r="Y63" i="825"/>
  <c r="Y64" i="825"/>
  <c r="Y65" i="825"/>
  <c r="Y66" i="825"/>
  <c r="Y67" i="825"/>
  <c r="Y68" i="825"/>
  <c r="Y69" i="825"/>
  <c r="Y70" i="825"/>
  <c r="Y71" i="825"/>
  <c r="Y72" i="825"/>
  <c r="Y73" i="825"/>
  <c r="Y74" i="825"/>
  <c r="Y75" i="825"/>
  <c r="Y76" i="825"/>
  <c r="Y77" i="825"/>
  <c r="Y78" i="825"/>
  <c r="Y79" i="825"/>
  <c r="Y80" i="825"/>
  <c r="Y81" i="825"/>
  <c r="Y82" i="825"/>
  <c r="Y83" i="825"/>
  <c r="Y84" i="825"/>
  <c r="Y85" i="825"/>
  <c r="Y86" i="825"/>
  <c r="Y87" i="825"/>
  <c r="U28" i="825"/>
  <c r="U29" i="825"/>
  <c r="U30" i="825"/>
  <c r="U31" i="825"/>
  <c r="U32" i="825"/>
  <c r="U33" i="825"/>
  <c r="U34" i="825"/>
  <c r="U35" i="825"/>
  <c r="U36" i="825"/>
  <c r="U37" i="825"/>
  <c r="U38" i="825"/>
  <c r="U39" i="825"/>
  <c r="U40" i="825"/>
  <c r="U41" i="825"/>
  <c r="U42" i="825"/>
  <c r="U43" i="825"/>
  <c r="U44" i="825"/>
  <c r="U45" i="825"/>
  <c r="U46" i="825"/>
  <c r="U47" i="825"/>
  <c r="U48" i="825"/>
  <c r="U49" i="825"/>
  <c r="U50" i="825"/>
  <c r="U51" i="825"/>
  <c r="U52" i="825"/>
  <c r="U53" i="825"/>
  <c r="U54" i="825"/>
  <c r="U55" i="825"/>
  <c r="U56" i="825"/>
  <c r="U57" i="825"/>
  <c r="U58" i="825"/>
  <c r="U59" i="825"/>
  <c r="U60" i="825"/>
  <c r="U61" i="825"/>
  <c r="U62" i="825"/>
  <c r="U63" i="825"/>
  <c r="U64" i="825"/>
  <c r="U65" i="825"/>
  <c r="U66" i="825"/>
  <c r="U67" i="825"/>
  <c r="U68" i="825"/>
  <c r="U69" i="825"/>
  <c r="U70" i="825"/>
  <c r="U71" i="825"/>
  <c r="U72" i="825"/>
  <c r="U73" i="825"/>
  <c r="U74" i="825"/>
  <c r="U75" i="825"/>
  <c r="U76" i="825"/>
  <c r="U77" i="825"/>
  <c r="U78" i="825"/>
  <c r="U79" i="825"/>
  <c r="U80" i="825"/>
  <c r="U81" i="825"/>
  <c r="U82" i="825"/>
  <c r="U83" i="825"/>
  <c r="U84" i="825"/>
  <c r="U85" i="825"/>
  <c r="U86" i="825"/>
  <c r="U87" i="825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8" i="292"/>
  <c r="L9" i="292"/>
  <c r="L10" i="292"/>
  <c r="L11" i="292"/>
  <c r="L12" i="292"/>
  <c r="L13" i="292"/>
  <c r="L14" i="292"/>
  <c r="L15" i="292"/>
  <c r="L16" i="292"/>
  <c r="L17" i="292"/>
  <c r="L18" i="292"/>
  <c r="L19" i="292"/>
  <c r="L20" i="292"/>
  <c r="L21" i="292"/>
  <c r="L22" i="292"/>
  <c r="L7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X14" i="805"/>
  <c r="V15" i="805"/>
  <c r="X15" i="805"/>
  <c r="V16" i="805"/>
  <c r="X16" i="805"/>
  <c r="V17" i="805"/>
  <c r="X17" i="805"/>
  <c r="V18" i="805"/>
  <c r="X18" i="805"/>
  <c r="V19" i="805"/>
  <c r="X19" i="805"/>
  <c r="V20" i="805"/>
  <c r="X20" i="805"/>
  <c r="V21" i="805"/>
  <c r="X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C74" i="4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70" i="4"/>
  <c r="C71" i="4"/>
  <c r="C72" i="4" s="1"/>
  <c r="C73" i="4" s="1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55" i="4"/>
  <c r="C56" i="4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W204" i="825"/>
  <c r="BU204" i="825"/>
  <c r="BT204" i="825"/>
  <c r="BS204" i="825"/>
  <c r="BQ204" i="825"/>
  <c r="BN204" i="825"/>
  <c r="BM204" i="825"/>
  <c r="BG204" i="825"/>
  <c r="BE204" i="825"/>
  <c r="BC204" i="825"/>
  <c r="BB204" i="825"/>
  <c r="BA204" i="825"/>
  <c r="AY204" i="825"/>
  <c r="AU204" i="825"/>
  <c r="BY203" i="825"/>
  <c r="BW203" i="825"/>
  <c r="BU203" i="825"/>
  <c r="BT203" i="825"/>
  <c r="BS203" i="825"/>
  <c r="BQ203" i="825"/>
  <c r="BN203" i="825"/>
  <c r="BM203" i="825"/>
  <c r="BG203" i="825"/>
  <c r="BE203" i="825"/>
  <c r="BC203" i="825"/>
  <c r="BB203" i="825"/>
  <c r="BA203" i="825"/>
  <c r="AY203" i="825"/>
  <c r="AU203" i="825"/>
  <c r="BY202" i="825"/>
  <c r="BW202" i="825"/>
  <c r="BU202" i="825"/>
  <c r="BT202" i="825"/>
  <c r="BS202" i="825"/>
  <c r="BQ202" i="825"/>
  <c r="BN202" i="825"/>
  <c r="BM202" i="825"/>
  <c r="BG202" i="825"/>
  <c r="BE202" i="825"/>
  <c r="BC202" i="825"/>
  <c r="BB202" i="825"/>
  <c r="BA202" i="825"/>
  <c r="AY202" i="825"/>
  <c r="AU202" i="825"/>
  <c r="BY201" i="825"/>
  <c r="BW201" i="825"/>
  <c r="BU201" i="825"/>
  <c r="BT201" i="825"/>
  <c r="BS201" i="825"/>
  <c r="BQ201" i="825"/>
  <c r="BN201" i="825"/>
  <c r="BM201" i="825"/>
  <c r="BG201" i="825"/>
  <c r="BE201" i="825"/>
  <c r="BC201" i="825"/>
  <c r="BB201" i="825"/>
  <c r="BA201" i="825"/>
  <c r="AY201" i="825"/>
  <c r="AU201" i="825"/>
  <c r="BY200" i="825"/>
  <c r="BW200" i="825"/>
  <c r="BU200" i="825"/>
  <c r="BT200" i="825"/>
  <c r="BS200" i="825"/>
  <c r="BQ200" i="825"/>
  <c r="BN200" i="825"/>
  <c r="BM200" i="825"/>
  <c r="BG200" i="825"/>
  <c r="BE200" i="825"/>
  <c r="BC200" i="825"/>
  <c r="BB200" i="825"/>
  <c r="BA200" i="825"/>
  <c r="AY200" i="825"/>
  <c r="AU200" i="825"/>
  <c r="BY199" i="825"/>
  <c r="BW199" i="825"/>
  <c r="BU199" i="825"/>
  <c r="BT199" i="825"/>
  <c r="BS199" i="825"/>
  <c r="BQ199" i="825"/>
  <c r="BN199" i="825"/>
  <c r="BM199" i="825"/>
  <c r="BG199" i="825"/>
  <c r="BE199" i="825"/>
  <c r="BC199" i="825"/>
  <c r="BB199" i="825"/>
  <c r="BA199" i="825"/>
  <c r="AY199" i="825"/>
  <c r="AU199" i="825"/>
  <c r="BY198" i="825"/>
  <c r="BW198" i="825"/>
  <c r="BU198" i="825"/>
  <c r="BT198" i="825"/>
  <c r="BS198" i="825"/>
  <c r="BQ198" i="825"/>
  <c r="BN198" i="825"/>
  <c r="BM198" i="825"/>
  <c r="BG198" i="825"/>
  <c r="BE198" i="825"/>
  <c r="BC198" i="825"/>
  <c r="BB198" i="825"/>
  <c r="BA198" i="825"/>
  <c r="AY198" i="825"/>
  <c r="AU198" i="825"/>
  <c r="BY197" i="825"/>
  <c r="BW197" i="825"/>
  <c r="BU197" i="825"/>
  <c r="BT197" i="825"/>
  <c r="BS197" i="825"/>
  <c r="BQ197" i="825"/>
  <c r="BN197" i="825"/>
  <c r="BM197" i="825"/>
  <c r="BG197" i="825"/>
  <c r="BE197" i="825"/>
  <c r="BC197" i="825"/>
  <c r="BB197" i="825"/>
  <c r="BA197" i="825"/>
  <c r="AY197" i="825"/>
  <c r="AU197" i="825"/>
  <c r="BY196" i="825"/>
  <c r="BW196" i="825"/>
  <c r="BU196" i="825"/>
  <c r="BT196" i="825"/>
  <c r="BS196" i="825"/>
  <c r="BQ196" i="825"/>
  <c r="BN196" i="825"/>
  <c r="BM196" i="825"/>
  <c r="BG196" i="825"/>
  <c r="BE196" i="825"/>
  <c r="BC196" i="825"/>
  <c r="BB196" i="825"/>
  <c r="BA196" i="825"/>
  <c r="AY196" i="825"/>
  <c r="AU196" i="825"/>
  <c r="BY195" i="825"/>
  <c r="BW195" i="825"/>
  <c r="BU195" i="825"/>
  <c r="BT195" i="825"/>
  <c r="BS195" i="825"/>
  <c r="BQ195" i="825"/>
  <c r="BN195" i="825"/>
  <c r="BM195" i="825"/>
  <c r="BG195" i="825"/>
  <c r="BE195" i="825"/>
  <c r="BC195" i="825"/>
  <c r="BB195" i="825"/>
  <c r="BA195" i="825"/>
  <c r="AY195" i="825"/>
  <c r="AU195" i="825"/>
  <c r="BY194" i="825"/>
  <c r="BW194" i="825"/>
  <c r="BU194" i="825"/>
  <c r="BT194" i="825"/>
  <c r="BS194" i="825"/>
  <c r="BQ194" i="825"/>
  <c r="BN194" i="825"/>
  <c r="BM194" i="825"/>
  <c r="BG194" i="825"/>
  <c r="BE194" i="825"/>
  <c r="BC194" i="825"/>
  <c r="BB194" i="825"/>
  <c r="BA194" i="825"/>
  <c r="AY194" i="825"/>
  <c r="AU194" i="825"/>
  <c r="BY193" i="825"/>
  <c r="BW193" i="825"/>
  <c r="BU193" i="825"/>
  <c r="BT193" i="825"/>
  <c r="BS193" i="825"/>
  <c r="BQ193" i="825"/>
  <c r="BN193" i="825"/>
  <c r="BM193" i="825"/>
  <c r="BG193" i="825"/>
  <c r="BE193" i="825"/>
  <c r="BC193" i="825"/>
  <c r="BB193" i="825"/>
  <c r="BA193" i="825"/>
  <c r="AY193" i="825"/>
  <c r="AU193" i="825"/>
  <c r="BY192" i="825"/>
  <c r="BW192" i="825"/>
  <c r="BU192" i="825"/>
  <c r="BT192" i="825"/>
  <c r="BS192" i="825"/>
  <c r="BQ192" i="825"/>
  <c r="BN192" i="825"/>
  <c r="BM192" i="825"/>
  <c r="BG192" i="825"/>
  <c r="BE192" i="825"/>
  <c r="BC192" i="825"/>
  <c r="BB192" i="825"/>
  <c r="BA192" i="825"/>
  <c r="AY192" i="825"/>
  <c r="AU192" i="825"/>
  <c r="BY191" i="825"/>
  <c r="BW191" i="825"/>
  <c r="BU191" i="825"/>
  <c r="BT191" i="825"/>
  <c r="BS191" i="825"/>
  <c r="BQ191" i="825"/>
  <c r="BN191" i="825"/>
  <c r="BM191" i="825"/>
  <c r="BG191" i="825"/>
  <c r="BE191" i="825"/>
  <c r="BC191" i="825"/>
  <c r="BB191" i="825"/>
  <c r="BA191" i="825"/>
  <c r="AY191" i="825"/>
  <c r="AU191" i="825"/>
  <c r="BY190" i="825"/>
  <c r="BW190" i="825"/>
  <c r="BU190" i="825"/>
  <c r="BT190" i="825"/>
  <c r="BS190" i="825"/>
  <c r="BQ190" i="825"/>
  <c r="BN190" i="825"/>
  <c r="BM190" i="825"/>
  <c r="BG190" i="825"/>
  <c r="BE190" i="825"/>
  <c r="BC190" i="825"/>
  <c r="BB190" i="825"/>
  <c r="BA190" i="825"/>
  <c r="AY190" i="825"/>
  <c r="AU190" i="825"/>
  <c r="BY189" i="825"/>
  <c r="BW189" i="825"/>
  <c r="BU189" i="825"/>
  <c r="BT189" i="825"/>
  <c r="BS189" i="825"/>
  <c r="BQ189" i="825"/>
  <c r="BN189" i="825"/>
  <c r="BM189" i="825"/>
  <c r="BG189" i="825"/>
  <c r="BE189" i="825"/>
  <c r="BC189" i="825"/>
  <c r="BB189" i="825"/>
  <c r="BA189" i="825"/>
  <c r="AY189" i="825"/>
  <c r="AU189" i="825"/>
  <c r="BY188" i="825"/>
  <c r="BW188" i="825"/>
  <c r="BU188" i="825"/>
  <c r="BT188" i="825"/>
  <c r="BS188" i="825"/>
  <c r="BQ188" i="825"/>
  <c r="BN188" i="825"/>
  <c r="BM188" i="825"/>
  <c r="BG188" i="825"/>
  <c r="BE188" i="825"/>
  <c r="BC188" i="825"/>
  <c r="BB188" i="825"/>
  <c r="BA188" i="825"/>
  <c r="AY188" i="825"/>
  <c r="AU188" i="825"/>
  <c r="BY187" i="825"/>
  <c r="BW187" i="825"/>
  <c r="BU187" i="825"/>
  <c r="BT187" i="825"/>
  <c r="BS187" i="825"/>
  <c r="BQ187" i="825"/>
  <c r="BN187" i="825"/>
  <c r="BM187" i="825"/>
  <c r="BG187" i="825"/>
  <c r="BE187" i="825"/>
  <c r="BC187" i="825"/>
  <c r="BB187" i="825"/>
  <c r="BA187" i="825"/>
  <c r="AY187" i="825"/>
  <c r="AU187" i="825"/>
  <c r="BY186" i="825"/>
  <c r="BW186" i="825"/>
  <c r="BU186" i="825"/>
  <c r="BT186" i="825"/>
  <c r="BS186" i="825"/>
  <c r="BQ186" i="825"/>
  <c r="BN186" i="825"/>
  <c r="BM186" i="825"/>
  <c r="BG186" i="825"/>
  <c r="BE186" i="825"/>
  <c r="BC186" i="825"/>
  <c r="BB186" i="825"/>
  <c r="BA186" i="825"/>
  <c r="AY186" i="825"/>
  <c r="AU186" i="825"/>
  <c r="BY185" i="825"/>
  <c r="BW185" i="825"/>
  <c r="BU185" i="825"/>
  <c r="BT185" i="825"/>
  <c r="BS185" i="825"/>
  <c r="BQ185" i="825"/>
  <c r="BN185" i="825"/>
  <c r="BM185" i="825"/>
  <c r="BG185" i="825"/>
  <c r="BE185" i="825"/>
  <c r="BC185" i="825"/>
  <c r="BB185" i="825"/>
  <c r="BA185" i="825"/>
  <c r="AY185" i="825"/>
  <c r="AU185" i="825"/>
  <c r="BY184" i="825"/>
  <c r="BW184" i="825"/>
  <c r="BU184" i="825"/>
  <c r="BT184" i="825"/>
  <c r="BS184" i="825"/>
  <c r="BQ184" i="825"/>
  <c r="BN184" i="825"/>
  <c r="BM184" i="825"/>
  <c r="BG184" i="825"/>
  <c r="BE184" i="825"/>
  <c r="BC184" i="825"/>
  <c r="BB184" i="825"/>
  <c r="BA184" i="825"/>
  <c r="AY184" i="825"/>
  <c r="AU184" i="825"/>
  <c r="BY183" i="825"/>
  <c r="BW183" i="825"/>
  <c r="BU183" i="825"/>
  <c r="BT183" i="825"/>
  <c r="BS183" i="825"/>
  <c r="BQ183" i="825"/>
  <c r="BN183" i="825"/>
  <c r="BM183" i="825"/>
  <c r="BG183" i="825"/>
  <c r="BE183" i="825"/>
  <c r="BC183" i="825"/>
  <c r="BB183" i="825"/>
  <c r="BA183" i="825"/>
  <c r="AY183" i="825"/>
  <c r="AU183" i="825"/>
  <c r="BY182" i="825"/>
  <c r="BW182" i="825"/>
  <c r="BU182" i="825"/>
  <c r="BT182" i="825"/>
  <c r="BS182" i="825"/>
  <c r="BQ182" i="825"/>
  <c r="BN182" i="825"/>
  <c r="BM182" i="825"/>
  <c r="BG182" i="825"/>
  <c r="BE182" i="825"/>
  <c r="BC182" i="825"/>
  <c r="BB182" i="825"/>
  <c r="BA182" i="825"/>
  <c r="AY182" i="825"/>
  <c r="AU182" i="825"/>
  <c r="BY181" i="825"/>
  <c r="BW181" i="825"/>
  <c r="BU181" i="825"/>
  <c r="BT181" i="825"/>
  <c r="BS181" i="825"/>
  <c r="BQ181" i="825"/>
  <c r="BN181" i="825"/>
  <c r="BM181" i="825"/>
  <c r="BG181" i="825"/>
  <c r="BE181" i="825"/>
  <c r="BC181" i="825"/>
  <c r="BB181" i="825"/>
  <c r="BA181" i="825"/>
  <c r="AY181" i="825"/>
  <c r="AU181" i="825"/>
  <c r="BY180" i="825"/>
  <c r="BW180" i="825"/>
  <c r="BU180" i="825"/>
  <c r="BT180" i="825"/>
  <c r="BS180" i="825"/>
  <c r="BQ180" i="825"/>
  <c r="BN180" i="825"/>
  <c r="BM180" i="825"/>
  <c r="BG180" i="825"/>
  <c r="BE180" i="825"/>
  <c r="BC180" i="825"/>
  <c r="BB180" i="825"/>
  <c r="BA180" i="825"/>
  <c r="AY180" i="825"/>
  <c r="AU180" i="825"/>
  <c r="BY179" i="825"/>
  <c r="BW179" i="825"/>
  <c r="BU179" i="825"/>
  <c r="BT179" i="825"/>
  <c r="BS179" i="825"/>
  <c r="BQ179" i="825"/>
  <c r="BN179" i="825"/>
  <c r="BM179" i="825"/>
  <c r="BG179" i="825"/>
  <c r="BE179" i="825"/>
  <c r="BC179" i="825"/>
  <c r="BB179" i="825"/>
  <c r="BA179" i="825"/>
  <c r="AY179" i="825"/>
  <c r="AU179" i="825"/>
  <c r="BY178" i="825"/>
  <c r="BW178" i="825"/>
  <c r="BU178" i="825"/>
  <c r="BT178" i="825"/>
  <c r="BS178" i="825"/>
  <c r="BQ178" i="825"/>
  <c r="BN178" i="825"/>
  <c r="BM178" i="825"/>
  <c r="BG178" i="825"/>
  <c r="BE178" i="825"/>
  <c r="BC178" i="825"/>
  <c r="BB178" i="825"/>
  <c r="BA178" i="825"/>
  <c r="AY178" i="825"/>
  <c r="AU178" i="825"/>
  <c r="BY177" i="825"/>
  <c r="BW177" i="825"/>
  <c r="BU177" i="825"/>
  <c r="BT177" i="825"/>
  <c r="BS177" i="825"/>
  <c r="BQ177" i="825"/>
  <c r="BN177" i="825"/>
  <c r="BM177" i="825"/>
  <c r="BG177" i="825"/>
  <c r="BE177" i="825"/>
  <c r="BC177" i="825"/>
  <c r="BB177" i="825"/>
  <c r="BA177" i="825"/>
  <c r="AY177" i="825"/>
  <c r="AU177" i="825"/>
  <c r="BY176" i="825"/>
  <c r="BW176" i="825"/>
  <c r="BU176" i="825"/>
  <c r="BT176" i="825"/>
  <c r="BS176" i="825"/>
  <c r="BQ176" i="825"/>
  <c r="BN176" i="825"/>
  <c r="BM176" i="825"/>
  <c r="BG176" i="825"/>
  <c r="BE176" i="825"/>
  <c r="BC176" i="825"/>
  <c r="BB176" i="825"/>
  <c r="BA176" i="825"/>
  <c r="AY176" i="825"/>
  <c r="AU176" i="825"/>
  <c r="BY175" i="825"/>
  <c r="BW175" i="825"/>
  <c r="BU175" i="825"/>
  <c r="BT175" i="825"/>
  <c r="BS175" i="825"/>
  <c r="BQ175" i="825"/>
  <c r="BN175" i="825"/>
  <c r="BM175" i="825"/>
  <c r="BG175" i="825"/>
  <c r="BE175" i="825"/>
  <c r="BC175" i="825"/>
  <c r="BB175" i="825"/>
  <c r="BA175" i="825"/>
  <c r="AY175" i="825"/>
  <c r="AU175" i="825"/>
  <c r="BY174" i="825"/>
  <c r="BW174" i="825"/>
  <c r="BU174" i="825"/>
  <c r="BT174" i="825"/>
  <c r="BS174" i="825"/>
  <c r="BQ174" i="825"/>
  <c r="BN174" i="825"/>
  <c r="BM174" i="825"/>
  <c r="BG174" i="825"/>
  <c r="BE174" i="825"/>
  <c r="BC174" i="825"/>
  <c r="BB174" i="825"/>
  <c r="BA174" i="825"/>
  <c r="AY174" i="825"/>
  <c r="AU174" i="825"/>
  <c r="BY173" i="825"/>
  <c r="BW173" i="825"/>
  <c r="BU173" i="825"/>
  <c r="BT173" i="825"/>
  <c r="BS173" i="825"/>
  <c r="BQ173" i="825"/>
  <c r="BN173" i="825"/>
  <c r="BM173" i="825"/>
  <c r="BG173" i="825"/>
  <c r="BE173" i="825"/>
  <c r="BC173" i="825"/>
  <c r="BB173" i="825"/>
  <c r="BA173" i="825"/>
  <c r="AY173" i="825"/>
  <c r="AU173" i="825"/>
  <c r="BY172" i="825"/>
  <c r="BW172" i="825"/>
  <c r="BU172" i="825"/>
  <c r="BT172" i="825"/>
  <c r="BS172" i="825"/>
  <c r="BQ172" i="825"/>
  <c r="BN172" i="825"/>
  <c r="BM172" i="825"/>
  <c r="BG172" i="825"/>
  <c r="BE172" i="825"/>
  <c r="BC172" i="825"/>
  <c r="BB172" i="825"/>
  <c r="BA172" i="825"/>
  <c r="AY172" i="825"/>
  <c r="AU172" i="825"/>
  <c r="BY171" i="825"/>
  <c r="BW171" i="825"/>
  <c r="BU171" i="825"/>
  <c r="BT171" i="825"/>
  <c r="BS171" i="825"/>
  <c r="BQ171" i="825"/>
  <c r="BN171" i="825"/>
  <c r="BM171" i="825"/>
  <c r="BG171" i="825"/>
  <c r="BE171" i="825"/>
  <c r="BC171" i="825"/>
  <c r="BB171" i="825"/>
  <c r="BA171" i="825"/>
  <c r="AY171" i="825"/>
  <c r="AU171" i="825"/>
  <c r="BY170" i="825"/>
  <c r="BW170" i="825"/>
  <c r="BU170" i="825"/>
  <c r="BT170" i="825"/>
  <c r="BS170" i="825"/>
  <c r="BQ170" i="825"/>
  <c r="BN170" i="825"/>
  <c r="BM170" i="825"/>
  <c r="BG170" i="825"/>
  <c r="BE170" i="825"/>
  <c r="BC170" i="825"/>
  <c r="BB170" i="825"/>
  <c r="BA170" i="825"/>
  <c r="AY170" i="825"/>
  <c r="AU170" i="825"/>
  <c r="BY169" i="825"/>
  <c r="BW169" i="825"/>
  <c r="BU169" i="825"/>
  <c r="BT169" i="825"/>
  <c r="BS169" i="825"/>
  <c r="BQ169" i="825"/>
  <c r="BN169" i="825"/>
  <c r="BM169" i="825"/>
  <c r="BG169" i="825"/>
  <c r="BE169" i="825"/>
  <c r="BC169" i="825"/>
  <c r="BB169" i="825"/>
  <c r="BA169" i="825"/>
  <c r="AY169" i="825"/>
  <c r="AU169" i="825"/>
  <c r="BY168" i="825"/>
  <c r="BW168" i="825"/>
  <c r="BU168" i="825"/>
  <c r="BT168" i="825"/>
  <c r="BS168" i="825"/>
  <c r="BQ168" i="825"/>
  <c r="BN168" i="825"/>
  <c r="BM168" i="825"/>
  <c r="BG168" i="825"/>
  <c r="BE168" i="825"/>
  <c r="BC168" i="825"/>
  <c r="BB168" i="825"/>
  <c r="BA168" i="825"/>
  <c r="AY168" i="825"/>
  <c r="AU168" i="825"/>
  <c r="BY167" i="825"/>
  <c r="BW167" i="825"/>
  <c r="BU167" i="825"/>
  <c r="BT167" i="825"/>
  <c r="BS167" i="825"/>
  <c r="BQ167" i="825"/>
  <c r="BN167" i="825"/>
  <c r="BM167" i="825"/>
  <c r="BG167" i="825"/>
  <c r="BE167" i="825"/>
  <c r="BC167" i="825"/>
  <c r="BB167" i="825"/>
  <c r="BA167" i="825"/>
  <c r="AY167" i="825"/>
  <c r="AU167" i="825"/>
  <c r="BY166" i="825"/>
  <c r="BW166" i="825"/>
  <c r="BU166" i="825"/>
  <c r="BT166" i="825"/>
  <c r="BS166" i="825"/>
  <c r="BQ166" i="825"/>
  <c r="BN166" i="825"/>
  <c r="BM166" i="825"/>
  <c r="BG166" i="825"/>
  <c r="BE166" i="825"/>
  <c r="BC166" i="825"/>
  <c r="BB166" i="825"/>
  <c r="BA166" i="825"/>
  <c r="AY166" i="825"/>
  <c r="AU166" i="825"/>
  <c r="BY165" i="825"/>
  <c r="BW165" i="825"/>
  <c r="BU165" i="825"/>
  <c r="BT165" i="825"/>
  <c r="BS165" i="825"/>
  <c r="BQ165" i="825"/>
  <c r="BN165" i="825"/>
  <c r="BM165" i="825"/>
  <c r="BG165" i="825"/>
  <c r="BE165" i="825"/>
  <c r="BC165" i="825"/>
  <c r="BB165" i="825"/>
  <c r="BA165" i="825"/>
  <c r="AY165" i="825"/>
  <c r="AU165" i="825"/>
  <c r="BY164" i="825"/>
  <c r="BW164" i="825"/>
  <c r="BU164" i="825"/>
  <c r="BT164" i="825"/>
  <c r="BS164" i="825"/>
  <c r="BQ164" i="825"/>
  <c r="BN164" i="825"/>
  <c r="BM164" i="825"/>
  <c r="BG164" i="825"/>
  <c r="BE164" i="825"/>
  <c r="BC164" i="825"/>
  <c r="BB164" i="825"/>
  <c r="BA164" i="825"/>
  <c r="AY164" i="825"/>
  <c r="AU164" i="825"/>
  <c r="BY163" i="825"/>
  <c r="BW163" i="825"/>
  <c r="BU163" i="825"/>
  <c r="BT163" i="825"/>
  <c r="BS163" i="825"/>
  <c r="BQ163" i="825"/>
  <c r="BN163" i="825"/>
  <c r="BM163" i="825"/>
  <c r="BG163" i="825"/>
  <c r="BE163" i="825"/>
  <c r="BC163" i="825"/>
  <c r="BB163" i="825"/>
  <c r="BA163" i="825"/>
  <c r="AY163" i="825"/>
  <c r="AU163" i="825"/>
  <c r="BY162" i="825"/>
  <c r="BW162" i="825"/>
  <c r="BU162" i="825"/>
  <c r="BT162" i="825"/>
  <c r="BS162" i="825"/>
  <c r="BQ162" i="825"/>
  <c r="BN162" i="825"/>
  <c r="BM162" i="825"/>
  <c r="BG162" i="825"/>
  <c r="BE162" i="825"/>
  <c r="BC162" i="825"/>
  <c r="BB162" i="825"/>
  <c r="BA162" i="825"/>
  <c r="AY162" i="825"/>
  <c r="AU162" i="825"/>
  <c r="BY161" i="825"/>
  <c r="BW161" i="825"/>
  <c r="BU161" i="825"/>
  <c r="BT161" i="825"/>
  <c r="BS161" i="825"/>
  <c r="BQ161" i="825"/>
  <c r="BN161" i="825"/>
  <c r="BM161" i="825"/>
  <c r="BG161" i="825"/>
  <c r="BE161" i="825"/>
  <c r="BC161" i="825"/>
  <c r="BB161" i="825"/>
  <c r="BA161" i="825"/>
  <c r="AY161" i="825"/>
  <c r="AU161" i="825"/>
  <c r="BY160" i="825"/>
  <c r="BW160" i="825"/>
  <c r="BU160" i="825"/>
  <c r="BT160" i="825"/>
  <c r="BS160" i="825"/>
  <c r="BQ160" i="825"/>
  <c r="BN160" i="825"/>
  <c r="BM160" i="825"/>
  <c r="BG160" i="825"/>
  <c r="BE160" i="825"/>
  <c r="BC160" i="825"/>
  <c r="BB160" i="825"/>
  <c r="BA160" i="825"/>
  <c r="AY160" i="825"/>
  <c r="AU160" i="825"/>
  <c r="BY159" i="825"/>
  <c r="BW159" i="825"/>
  <c r="BU159" i="825"/>
  <c r="BT159" i="825"/>
  <c r="BS159" i="825"/>
  <c r="BQ159" i="825"/>
  <c r="BN159" i="825"/>
  <c r="BM159" i="825"/>
  <c r="BG159" i="825"/>
  <c r="BE159" i="825"/>
  <c r="BC159" i="825"/>
  <c r="BB159" i="825"/>
  <c r="BA159" i="825"/>
  <c r="AY159" i="825"/>
  <c r="AU159" i="825"/>
  <c r="BY158" i="825"/>
  <c r="BW158" i="825"/>
  <c r="BU158" i="825"/>
  <c r="BT158" i="825"/>
  <c r="BS158" i="825"/>
  <c r="BQ158" i="825"/>
  <c r="BN158" i="825"/>
  <c r="BM158" i="825"/>
  <c r="BG158" i="825"/>
  <c r="BE158" i="825"/>
  <c r="BC158" i="825"/>
  <c r="BB158" i="825"/>
  <c r="BA158" i="825"/>
  <c r="AY158" i="825"/>
  <c r="AU158" i="825"/>
  <c r="BY157" i="825"/>
  <c r="BW157" i="825"/>
  <c r="BU157" i="825"/>
  <c r="BT157" i="825"/>
  <c r="BS157" i="825"/>
  <c r="BQ157" i="825"/>
  <c r="BN157" i="825"/>
  <c r="BM157" i="825"/>
  <c r="BG157" i="825"/>
  <c r="BE157" i="825"/>
  <c r="BC157" i="825"/>
  <c r="BB157" i="825"/>
  <c r="BA157" i="825"/>
  <c r="AY157" i="825"/>
  <c r="AU157" i="825"/>
  <c r="BY156" i="825"/>
  <c r="BW156" i="825"/>
  <c r="BU156" i="825"/>
  <c r="BT156" i="825"/>
  <c r="BS156" i="825"/>
  <c r="BQ156" i="825"/>
  <c r="BN156" i="825"/>
  <c r="BM156" i="825"/>
  <c r="BG156" i="825"/>
  <c r="BE156" i="825"/>
  <c r="BC156" i="825"/>
  <c r="BB156" i="825"/>
  <c r="BA156" i="825"/>
  <c r="AY156" i="825"/>
  <c r="AU156" i="825"/>
  <c r="BY155" i="825"/>
  <c r="BW155" i="825"/>
  <c r="BU155" i="825"/>
  <c r="BT155" i="825"/>
  <c r="BS155" i="825"/>
  <c r="BQ155" i="825"/>
  <c r="BN155" i="825"/>
  <c r="BM155" i="825"/>
  <c r="BG155" i="825"/>
  <c r="BE155" i="825"/>
  <c r="BC155" i="825"/>
  <c r="BB155" i="825"/>
  <c r="BA155" i="825"/>
  <c r="AY155" i="825"/>
  <c r="AU155" i="825"/>
  <c r="BY154" i="825"/>
  <c r="BW154" i="825"/>
  <c r="BU154" i="825"/>
  <c r="BT154" i="825"/>
  <c r="BS154" i="825"/>
  <c r="BQ154" i="825"/>
  <c r="BN154" i="825"/>
  <c r="BM154" i="825"/>
  <c r="BG154" i="825"/>
  <c r="BE154" i="825"/>
  <c r="BC154" i="825"/>
  <c r="BB154" i="825"/>
  <c r="BA154" i="825"/>
  <c r="AY154" i="825"/>
  <c r="AU154" i="825"/>
  <c r="BY153" i="825"/>
  <c r="BW153" i="825"/>
  <c r="BU153" i="825"/>
  <c r="BT153" i="825"/>
  <c r="BS153" i="825"/>
  <c r="BQ153" i="825"/>
  <c r="BN153" i="825"/>
  <c r="BM153" i="825"/>
  <c r="BG153" i="825"/>
  <c r="BE153" i="825"/>
  <c r="BC153" i="825"/>
  <c r="BB153" i="825"/>
  <c r="BA153" i="825"/>
  <c r="AY153" i="825"/>
  <c r="AU153" i="825"/>
  <c r="BY152" i="825"/>
  <c r="BW152" i="825"/>
  <c r="BU152" i="825"/>
  <c r="BT152" i="825"/>
  <c r="BS152" i="825"/>
  <c r="BQ152" i="825"/>
  <c r="BN152" i="825"/>
  <c r="BM152" i="825"/>
  <c r="BG152" i="825"/>
  <c r="BE152" i="825"/>
  <c r="BC152" i="825"/>
  <c r="BB152" i="825"/>
  <c r="BA152" i="825"/>
  <c r="AY152" i="825"/>
  <c r="AU152" i="825"/>
  <c r="BY151" i="825"/>
  <c r="BW151" i="825"/>
  <c r="BU151" i="825"/>
  <c r="BT151" i="825"/>
  <c r="BS151" i="825"/>
  <c r="BQ151" i="825"/>
  <c r="BN151" i="825"/>
  <c r="BM151" i="825"/>
  <c r="BG151" i="825"/>
  <c r="BE151" i="825"/>
  <c r="BC151" i="825"/>
  <c r="BB151" i="825"/>
  <c r="BA151" i="825"/>
  <c r="AY151" i="825"/>
  <c r="AU151" i="825"/>
  <c r="BY150" i="825"/>
  <c r="BW150" i="825"/>
  <c r="BU150" i="825"/>
  <c r="BT150" i="825"/>
  <c r="BS150" i="825"/>
  <c r="BQ150" i="825"/>
  <c r="BN150" i="825"/>
  <c r="BM150" i="825"/>
  <c r="BG150" i="825"/>
  <c r="BE150" i="825"/>
  <c r="BC150" i="825"/>
  <c r="BB150" i="825"/>
  <c r="BA150" i="825"/>
  <c r="AY150" i="825"/>
  <c r="AU150" i="825"/>
  <c r="BY149" i="825"/>
  <c r="BW149" i="825"/>
  <c r="BU149" i="825"/>
  <c r="BT149" i="825"/>
  <c r="BS149" i="825"/>
  <c r="BQ149" i="825"/>
  <c r="BN149" i="825"/>
  <c r="BM149" i="825"/>
  <c r="BG149" i="825"/>
  <c r="BE149" i="825"/>
  <c r="BC149" i="825"/>
  <c r="BB149" i="825"/>
  <c r="BA149" i="825"/>
  <c r="AY149" i="825"/>
  <c r="AU149" i="825"/>
  <c r="BY148" i="825"/>
  <c r="BW148" i="825"/>
  <c r="BU148" i="825"/>
  <c r="BT148" i="825"/>
  <c r="BS148" i="825"/>
  <c r="BQ148" i="825"/>
  <c r="BN148" i="825"/>
  <c r="BM148" i="825"/>
  <c r="BG148" i="825"/>
  <c r="BE148" i="825"/>
  <c r="BC148" i="825"/>
  <c r="BB148" i="825"/>
  <c r="BA148" i="825"/>
  <c r="AY148" i="825"/>
  <c r="AU148" i="825"/>
  <c r="BY147" i="825"/>
  <c r="BW147" i="825"/>
  <c r="BU147" i="825"/>
  <c r="BT147" i="825"/>
  <c r="BS147" i="825"/>
  <c r="BQ147" i="825"/>
  <c r="BN147" i="825"/>
  <c r="BM147" i="825"/>
  <c r="BG147" i="825"/>
  <c r="BE147" i="825"/>
  <c r="BC147" i="825"/>
  <c r="BB147" i="825"/>
  <c r="BA147" i="825"/>
  <c r="AY147" i="825"/>
  <c r="AU147" i="825"/>
  <c r="BY146" i="825"/>
  <c r="BW146" i="825"/>
  <c r="BU146" i="825"/>
  <c r="BT146" i="825"/>
  <c r="BS146" i="825"/>
  <c r="BQ146" i="825"/>
  <c r="BN146" i="825"/>
  <c r="BM146" i="825"/>
  <c r="BG146" i="825"/>
  <c r="BE146" i="825"/>
  <c r="BC146" i="825"/>
  <c r="BB146" i="825"/>
  <c r="BA146" i="825"/>
  <c r="AY146" i="825"/>
  <c r="AU146" i="825"/>
  <c r="BY145" i="825"/>
  <c r="BW145" i="825"/>
  <c r="BU145" i="825"/>
  <c r="BT145" i="825"/>
  <c r="BS145" i="825"/>
  <c r="BQ145" i="825"/>
  <c r="BN145" i="825"/>
  <c r="BM145" i="825"/>
  <c r="BG145" i="825"/>
  <c r="BE145" i="825"/>
  <c r="BC145" i="825"/>
  <c r="BB145" i="825"/>
  <c r="BA145" i="825"/>
  <c r="AY145" i="825"/>
  <c r="AU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J87" i="825"/>
  <c r="I87" i="825"/>
  <c r="X86" i="825"/>
  <c r="V86" i="825"/>
  <c r="S86" i="825"/>
  <c r="J86" i="825"/>
  <c r="I86" i="825"/>
  <c r="X85" i="825"/>
  <c r="V85" i="825"/>
  <c r="S85" i="825"/>
  <c r="J85" i="825"/>
  <c r="I85" i="825"/>
  <c r="X84" i="825"/>
  <c r="V84" i="825"/>
  <c r="S84" i="825"/>
  <c r="J84" i="825"/>
  <c r="I84" i="825"/>
  <c r="X83" i="825"/>
  <c r="V83" i="825"/>
  <c r="S83" i="825"/>
  <c r="J83" i="825"/>
  <c r="I83" i="825"/>
  <c r="X82" i="825"/>
  <c r="V82" i="825"/>
  <c r="S82" i="825"/>
  <c r="J82" i="825"/>
  <c r="I82" i="825"/>
  <c r="X81" i="825"/>
  <c r="V81" i="825"/>
  <c r="S81" i="825"/>
  <c r="J81" i="825"/>
  <c r="I81" i="825"/>
  <c r="AF81" i="825" s="1"/>
  <c r="X80" i="825"/>
  <c r="V80" i="825"/>
  <c r="S80" i="825"/>
  <c r="J80" i="825"/>
  <c r="I80" i="825"/>
  <c r="AF80" i="825" s="1"/>
  <c r="X79" i="825"/>
  <c r="V79" i="825"/>
  <c r="S79" i="825"/>
  <c r="J79" i="825"/>
  <c r="I79" i="825"/>
  <c r="AF79" i="825" s="1"/>
  <c r="X78" i="825"/>
  <c r="V78" i="825"/>
  <c r="S78" i="825"/>
  <c r="J78" i="825"/>
  <c r="I78" i="825"/>
  <c r="AF78" i="825" s="1"/>
  <c r="X77" i="825"/>
  <c r="V77" i="825"/>
  <c r="S77" i="825"/>
  <c r="J77" i="825"/>
  <c r="I77" i="825"/>
  <c r="AF77" i="825" s="1"/>
  <c r="X76" i="825"/>
  <c r="V76" i="825"/>
  <c r="S76" i="825"/>
  <c r="J76" i="825"/>
  <c r="I76" i="825"/>
  <c r="AF76" i="825" s="1"/>
  <c r="X75" i="825"/>
  <c r="V75" i="825"/>
  <c r="S75" i="825"/>
  <c r="J75" i="825"/>
  <c r="I75" i="825"/>
  <c r="AF75" i="825" s="1"/>
  <c r="X74" i="825"/>
  <c r="V74" i="825"/>
  <c r="S74" i="825"/>
  <c r="J74" i="825"/>
  <c r="I74" i="825"/>
  <c r="AF74" i="825" s="1"/>
  <c r="X73" i="825"/>
  <c r="V73" i="825"/>
  <c r="S73" i="825"/>
  <c r="J73" i="825"/>
  <c r="I73" i="825"/>
  <c r="AF73" i="825" s="1"/>
  <c r="X72" i="825"/>
  <c r="V72" i="825"/>
  <c r="S72" i="825"/>
  <c r="J72" i="825"/>
  <c r="I72" i="825"/>
  <c r="AF72" i="825" s="1"/>
  <c r="X71" i="825"/>
  <c r="V71" i="825"/>
  <c r="S71" i="825"/>
  <c r="J71" i="825"/>
  <c r="I71" i="825"/>
  <c r="AF71" i="825" s="1"/>
  <c r="X70" i="825"/>
  <c r="V70" i="825"/>
  <c r="S70" i="825"/>
  <c r="J70" i="825"/>
  <c r="I70" i="825"/>
  <c r="AF70" i="825" s="1"/>
  <c r="X69" i="825"/>
  <c r="V69" i="825"/>
  <c r="S69" i="825"/>
  <c r="J69" i="825"/>
  <c r="I69" i="825"/>
  <c r="AF69" i="825" s="1"/>
  <c r="X68" i="825"/>
  <c r="V68" i="825"/>
  <c r="S68" i="825"/>
  <c r="J68" i="825"/>
  <c r="I68" i="825"/>
  <c r="AF68" i="825" s="1"/>
  <c r="X67" i="825"/>
  <c r="V67" i="825"/>
  <c r="S67" i="825"/>
  <c r="J67" i="825"/>
  <c r="I67" i="825"/>
  <c r="AF67" i="825" s="1"/>
  <c r="X66" i="825"/>
  <c r="V66" i="825"/>
  <c r="S66" i="825"/>
  <c r="J66" i="825"/>
  <c r="I66" i="825"/>
  <c r="AF66" i="825" s="1"/>
  <c r="X65" i="825"/>
  <c r="V65" i="825"/>
  <c r="S65" i="825"/>
  <c r="J65" i="825"/>
  <c r="I65" i="825"/>
  <c r="AF65" i="825" s="1"/>
  <c r="X64" i="825"/>
  <c r="V64" i="825"/>
  <c r="S64" i="825"/>
  <c r="J64" i="825"/>
  <c r="I64" i="825"/>
  <c r="AF64" i="825" s="1"/>
  <c r="X63" i="825"/>
  <c r="V63" i="825"/>
  <c r="S63" i="825"/>
  <c r="J63" i="825"/>
  <c r="I63" i="825"/>
  <c r="AF63" i="825" s="1"/>
  <c r="X62" i="825"/>
  <c r="V62" i="825"/>
  <c r="S62" i="825"/>
  <c r="J62" i="825"/>
  <c r="I62" i="825"/>
  <c r="AF62" i="825" s="1"/>
  <c r="X61" i="825"/>
  <c r="V61" i="825"/>
  <c r="S61" i="825"/>
  <c r="J61" i="825"/>
  <c r="I61" i="825"/>
  <c r="AF61" i="825" s="1"/>
  <c r="X60" i="825"/>
  <c r="V60" i="825"/>
  <c r="S60" i="825"/>
  <c r="J60" i="825"/>
  <c r="I60" i="825"/>
  <c r="AF60" i="825" s="1"/>
  <c r="X59" i="825"/>
  <c r="V59" i="825"/>
  <c r="S59" i="825"/>
  <c r="J59" i="825"/>
  <c r="I59" i="825"/>
  <c r="AF59" i="825" s="1"/>
  <c r="X58" i="825"/>
  <c r="V58" i="825"/>
  <c r="S58" i="825"/>
  <c r="J58" i="825"/>
  <c r="I58" i="825"/>
  <c r="AF58" i="825" s="1"/>
  <c r="X57" i="825"/>
  <c r="V57" i="825"/>
  <c r="S57" i="825"/>
  <c r="J57" i="825"/>
  <c r="I57" i="825"/>
  <c r="AF57" i="825" s="1"/>
  <c r="X56" i="825"/>
  <c r="V56" i="825"/>
  <c r="S56" i="825"/>
  <c r="J56" i="825"/>
  <c r="I56" i="825"/>
  <c r="AF56" i="825" s="1"/>
  <c r="X55" i="825"/>
  <c r="V55" i="825"/>
  <c r="S55" i="825"/>
  <c r="J55" i="825"/>
  <c r="I55" i="825"/>
  <c r="AF55" i="825" s="1"/>
  <c r="X54" i="825"/>
  <c r="V54" i="825"/>
  <c r="S54" i="825"/>
  <c r="J54" i="825"/>
  <c r="I54" i="825"/>
  <c r="AF54" i="825" s="1"/>
  <c r="X53" i="825"/>
  <c r="V53" i="825"/>
  <c r="S53" i="825"/>
  <c r="J53" i="825"/>
  <c r="I53" i="825"/>
  <c r="AF53" i="825" s="1"/>
  <c r="X52" i="825"/>
  <c r="V52" i="825"/>
  <c r="S52" i="825"/>
  <c r="J52" i="825"/>
  <c r="I52" i="825"/>
  <c r="AF52" i="825" s="1"/>
  <c r="X51" i="825"/>
  <c r="V51" i="825"/>
  <c r="S51" i="825"/>
  <c r="J51" i="825"/>
  <c r="I51" i="825"/>
  <c r="AF51" i="825" s="1"/>
  <c r="X50" i="825"/>
  <c r="V50" i="825"/>
  <c r="S50" i="825"/>
  <c r="J50" i="825"/>
  <c r="I50" i="825"/>
  <c r="AF50" i="825" s="1"/>
  <c r="X49" i="825"/>
  <c r="V49" i="825"/>
  <c r="S49" i="825"/>
  <c r="J49" i="825"/>
  <c r="I49" i="825"/>
  <c r="AF49" i="825" s="1"/>
  <c r="X48" i="825"/>
  <c r="V48" i="825"/>
  <c r="S48" i="825"/>
  <c r="J48" i="825"/>
  <c r="I48" i="825"/>
  <c r="AF48" i="825" s="1"/>
  <c r="X47" i="825"/>
  <c r="V47" i="825"/>
  <c r="S47" i="825"/>
  <c r="J47" i="825"/>
  <c r="I47" i="825"/>
  <c r="AF47" i="825" s="1"/>
  <c r="X46" i="825"/>
  <c r="V46" i="825"/>
  <c r="S46" i="825"/>
  <c r="J46" i="825"/>
  <c r="I46" i="825"/>
  <c r="AF46" i="825" s="1"/>
  <c r="X45" i="825"/>
  <c r="V45" i="825"/>
  <c r="S45" i="825"/>
  <c r="J45" i="825"/>
  <c r="I45" i="825"/>
  <c r="AF45" i="825" s="1"/>
  <c r="X44" i="825"/>
  <c r="V44" i="825"/>
  <c r="S44" i="825"/>
  <c r="J44" i="825"/>
  <c r="I44" i="825"/>
  <c r="AF44" i="825" s="1"/>
  <c r="X43" i="825"/>
  <c r="V43" i="825"/>
  <c r="S43" i="825"/>
  <c r="J43" i="825"/>
  <c r="I43" i="825"/>
  <c r="AF43" i="825" s="1"/>
  <c r="X42" i="825"/>
  <c r="V42" i="825"/>
  <c r="S42" i="825"/>
  <c r="J42" i="825"/>
  <c r="I42" i="825"/>
  <c r="AF42" i="825" s="1"/>
  <c r="X41" i="825"/>
  <c r="V41" i="825"/>
  <c r="S41" i="825"/>
  <c r="J41" i="825"/>
  <c r="I41" i="825"/>
  <c r="AF41" i="825" s="1"/>
  <c r="X40" i="825"/>
  <c r="V40" i="825"/>
  <c r="S40" i="825"/>
  <c r="J40" i="825"/>
  <c r="I40" i="825"/>
  <c r="AF40" i="825" s="1"/>
  <c r="X39" i="825"/>
  <c r="V39" i="825"/>
  <c r="S39" i="825"/>
  <c r="J39" i="825"/>
  <c r="I39" i="825"/>
  <c r="AF39" i="825" s="1"/>
  <c r="X38" i="825"/>
  <c r="V38" i="825"/>
  <c r="S38" i="825"/>
  <c r="J38" i="825"/>
  <c r="I38" i="825"/>
  <c r="AF38" i="825" s="1"/>
  <c r="X37" i="825"/>
  <c r="V37" i="825"/>
  <c r="S37" i="825"/>
  <c r="J37" i="825"/>
  <c r="I37" i="825"/>
  <c r="AF37" i="825" s="1"/>
  <c r="X36" i="825"/>
  <c r="V36" i="825"/>
  <c r="S36" i="825"/>
  <c r="J36" i="825"/>
  <c r="I36" i="825"/>
  <c r="AF36" i="825" s="1"/>
  <c r="X35" i="825"/>
  <c r="V35" i="825"/>
  <c r="S35" i="825"/>
  <c r="J35" i="825"/>
  <c r="I35" i="825"/>
  <c r="AF35" i="825" s="1"/>
  <c r="X34" i="825"/>
  <c r="V34" i="825"/>
  <c r="S34" i="825"/>
  <c r="J34" i="825"/>
  <c r="I34" i="825"/>
  <c r="AF34" i="825" s="1"/>
  <c r="X33" i="825"/>
  <c r="V33" i="825"/>
  <c r="S33" i="825"/>
  <c r="J33" i="825"/>
  <c r="I33" i="825"/>
  <c r="AF33" i="825" s="1"/>
  <c r="X32" i="825"/>
  <c r="V32" i="825"/>
  <c r="S32" i="825"/>
  <c r="J32" i="825"/>
  <c r="I32" i="825"/>
  <c r="AF32" i="825" s="1"/>
  <c r="X31" i="825"/>
  <c r="V31" i="825"/>
  <c r="S31" i="825"/>
  <c r="J31" i="825"/>
  <c r="I31" i="825"/>
  <c r="AF31" i="825" s="1"/>
  <c r="X30" i="825"/>
  <c r="V30" i="825"/>
  <c r="S30" i="825"/>
  <c r="J30" i="825"/>
  <c r="I30" i="825"/>
  <c r="AF30" i="825" s="1"/>
  <c r="X29" i="825"/>
  <c r="V29" i="825"/>
  <c r="S29" i="825"/>
  <c r="J29" i="825"/>
  <c r="I29" i="825"/>
  <c r="AF29" i="825" s="1"/>
  <c r="X28" i="825"/>
  <c r="V28" i="825"/>
  <c r="S28" i="825"/>
  <c r="J28" i="825"/>
  <c r="I28" i="825"/>
  <c r="AF28" i="825" s="1"/>
  <c r="X27" i="825"/>
  <c r="V27" i="825"/>
  <c r="S27" i="825"/>
  <c r="I27" i="825"/>
  <c r="AF27" i="825" s="1"/>
  <c r="X26" i="825"/>
  <c r="V26" i="825"/>
  <c r="S26" i="825"/>
  <c r="I26" i="825"/>
  <c r="AF26" i="825" s="1"/>
  <c r="X25" i="825"/>
  <c r="V25" i="825"/>
  <c r="S25" i="825"/>
  <c r="I25" i="825"/>
  <c r="AF25" i="825" s="1"/>
  <c r="X24" i="825"/>
  <c r="V24" i="825"/>
  <c r="S24" i="825"/>
  <c r="I24" i="825"/>
  <c r="AF24" i="825" s="1"/>
  <c r="X23" i="825"/>
  <c r="V23" i="825"/>
  <c r="S23" i="825"/>
  <c r="I23" i="825"/>
  <c r="AF23" i="825" s="1"/>
  <c r="X22" i="825"/>
  <c r="V22" i="825"/>
  <c r="S22" i="825"/>
  <c r="I22" i="825"/>
  <c r="AF22" i="825" s="1"/>
  <c r="X21" i="825"/>
  <c r="V21" i="825"/>
  <c r="S21" i="825"/>
  <c r="I21" i="825"/>
  <c r="AF21" i="825" s="1"/>
  <c r="X20" i="825"/>
  <c r="V20" i="825"/>
  <c r="S20" i="825"/>
  <c r="I20" i="825"/>
  <c r="AF20" i="825" s="1"/>
  <c r="F20" i="825"/>
  <c r="F21" i="825" s="1"/>
  <c r="D20" i="825"/>
  <c r="X19" i="825"/>
  <c r="V19" i="825"/>
  <c r="S19" i="825"/>
  <c r="I19" i="825"/>
  <c r="AF19" i="825" s="1"/>
  <c r="X18" i="825"/>
  <c r="V18" i="825"/>
  <c r="S18" i="825"/>
  <c r="I18" i="825"/>
  <c r="AF18" i="825" s="1"/>
  <c r="C18" i="825"/>
  <c r="X17" i="825"/>
  <c r="V17" i="825"/>
  <c r="S17" i="825"/>
  <c r="I17" i="825"/>
  <c r="V16" i="825"/>
  <c r="I16" i="825"/>
  <c r="V15" i="825"/>
  <c r="I15" i="825"/>
  <c r="AS15" i="825" s="1"/>
  <c r="V14" i="825"/>
  <c r="I14" i="825"/>
  <c r="V13" i="825"/>
  <c r="I13" i="825"/>
  <c r="D13" i="825"/>
  <c r="V12" i="825"/>
  <c r="I12" i="825"/>
  <c r="V11" i="825"/>
  <c r="I11" i="825"/>
  <c r="V10" i="825"/>
  <c r="I10" i="825"/>
  <c r="AT10" i="825" s="1"/>
  <c r="AH10" i="825" s="1"/>
  <c r="V9" i="825"/>
  <c r="I9" i="825"/>
  <c r="AT9" i="825" s="1"/>
  <c r="AH9" i="825" s="1"/>
  <c r="D9" i="825"/>
  <c r="J9" i="825"/>
  <c r="J10" i="825" s="1"/>
  <c r="I8" i="825"/>
  <c r="AT8" i="825" s="1"/>
  <c r="AH8" i="825" s="1"/>
  <c r="E6" i="825"/>
  <c r="N4" i="805"/>
  <c r="F20" i="805"/>
  <c r="C7" i="823"/>
  <c r="C6" i="823"/>
  <c r="AE8" i="4"/>
  <c r="AE7" i="4"/>
  <c r="C18" i="805"/>
  <c r="H5" i="781"/>
  <c r="M9" i="836" l="1"/>
  <c r="M10" i="836"/>
  <c r="M17" i="836"/>
  <c r="M18" i="836"/>
  <c r="M19" i="836"/>
  <c r="M20" i="836"/>
  <c r="M21" i="836"/>
  <c r="M23" i="836"/>
  <c r="M29" i="836"/>
  <c r="M34" i="836"/>
  <c r="M42" i="836"/>
  <c r="M24" i="836"/>
  <c r="M15" i="836"/>
  <c r="M22" i="836"/>
  <c r="M28" i="836"/>
  <c r="M33" i="836"/>
  <c r="M41" i="836"/>
  <c r="M16" i="836"/>
  <c r="M25" i="836"/>
  <c r="M35" i="836"/>
  <c r="M40" i="836"/>
  <c r="M13" i="836"/>
  <c r="M31" i="836"/>
  <c r="M38" i="836"/>
  <c r="M45" i="836"/>
  <c r="M11" i="836"/>
  <c r="M26" i="836"/>
  <c r="M36" i="836"/>
  <c r="M44" i="836"/>
  <c r="M12" i="836"/>
  <c r="M27" i="836"/>
  <c r="M32" i="836"/>
  <c r="M39" i="836"/>
  <c r="M46" i="836"/>
  <c r="M14" i="836"/>
  <c r="M30" i="836"/>
  <c r="M37" i="836"/>
  <c r="M43" i="836"/>
  <c r="AO59" i="805"/>
  <c r="AT59" i="805"/>
  <c r="AO76" i="805"/>
  <c r="AT76" i="805"/>
  <c r="AM78" i="825"/>
  <c r="AQ78" i="825"/>
  <c r="AM80" i="825"/>
  <c r="AQ80" i="825"/>
  <c r="AF87" i="825"/>
  <c r="AB87" i="825"/>
  <c r="AG16" i="825"/>
  <c r="AI16" i="825"/>
  <c r="AJ16" i="825"/>
  <c r="AK16" i="825"/>
  <c r="AL16" i="825"/>
  <c r="AS16" i="825"/>
  <c r="AF16" i="825" s="1"/>
  <c r="AK13" i="825"/>
  <c r="AL13" i="825"/>
  <c r="AS13" i="825"/>
  <c r="AF13" i="825" s="1"/>
  <c r="AT17" i="825"/>
  <c r="AH17" i="825" s="1"/>
  <c r="AD17" i="825"/>
  <c r="AE17" i="825"/>
  <c r="AG17" i="825"/>
  <c r="AI17" i="825"/>
  <c r="AJ17" i="825"/>
  <c r="AK17" i="825"/>
  <c r="AL17" i="825"/>
  <c r="AS17" i="825"/>
  <c r="AF17" i="825" s="1"/>
  <c r="AF15" i="825"/>
  <c r="AA16" i="825" a="1"/>
  <c r="AP16" i="825" s="1"/>
  <c r="AR16" i="825" a="1"/>
  <c r="AO16" i="825" s="1"/>
  <c r="AN16" i="825" s="1"/>
  <c r="AT16" i="825"/>
  <c r="AH16" i="825" s="1"/>
  <c r="AE16" i="825"/>
  <c r="AD16" i="825"/>
  <c r="AT15" i="825"/>
  <c r="AH15" i="825" s="1"/>
  <c r="AD15" i="825"/>
  <c r="AE15" i="825"/>
  <c r="AG15" i="825"/>
  <c r="AI15" i="825"/>
  <c r="AJ15" i="825"/>
  <c r="AK15" i="825"/>
  <c r="AL15" i="825"/>
  <c r="AT14" i="825"/>
  <c r="AH14" i="825" s="1"/>
  <c r="AD14" i="825"/>
  <c r="AE14" i="825"/>
  <c r="AG14" i="825"/>
  <c r="AI14" i="825"/>
  <c r="AJ14" i="825"/>
  <c r="AK14" i="825"/>
  <c r="AL14" i="825"/>
  <c r="AS14" i="825"/>
  <c r="AF14" i="825" s="1"/>
  <c r="AA13" i="825" a="1"/>
  <c r="AP13" i="825" s="1"/>
  <c r="AR13" i="825" a="1"/>
  <c r="AO13" i="825" s="1"/>
  <c r="AN13" i="825" s="1"/>
  <c r="AT13" i="825"/>
  <c r="AH13" i="825" s="1"/>
  <c r="AD13" i="825"/>
  <c r="AE13" i="825"/>
  <c r="AG13" i="825"/>
  <c r="AI13" i="825"/>
  <c r="AJ13" i="825"/>
  <c r="AT12" i="825"/>
  <c r="AH12" i="825" s="1"/>
  <c r="AD12" i="825"/>
  <c r="AE12" i="825"/>
  <c r="AG12" i="825"/>
  <c r="AI12" i="825"/>
  <c r="AJ12" i="825"/>
  <c r="AK12" i="825"/>
  <c r="AL12" i="825"/>
  <c r="AS12" i="825"/>
  <c r="AF12" i="825" s="1"/>
  <c r="AT11" i="825"/>
  <c r="AH11" i="825" s="1"/>
  <c r="AD11" i="825"/>
  <c r="AE11" i="825"/>
  <c r="AG11" i="825"/>
  <c r="AI11" i="825"/>
  <c r="AJ11" i="825"/>
  <c r="AK11" i="825"/>
  <c r="AL11" i="825"/>
  <c r="AS11" i="825"/>
  <c r="AF11" i="825" s="1"/>
  <c r="AM16" i="825"/>
  <c r="AQ16" i="825"/>
  <c r="AM23" i="825"/>
  <c r="AQ23" i="825"/>
  <c r="AM79" i="825"/>
  <c r="AQ79" i="825"/>
  <c r="AF86" i="825"/>
  <c r="AB86" i="825"/>
  <c r="AF85" i="825"/>
  <c r="AB85" i="825"/>
  <c r="AF84" i="825"/>
  <c r="AB84" i="825"/>
  <c r="AM19" i="825"/>
  <c r="AQ19" i="825"/>
  <c r="AM75" i="825"/>
  <c r="AQ75" i="825"/>
  <c r="AF83" i="825"/>
  <c r="AB83" i="825"/>
  <c r="AF82" i="825"/>
  <c r="AB82" i="825"/>
  <c r="AN67" i="825"/>
  <c r="AM20" i="825"/>
  <c r="AQ20" i="825"/>
  <c r="AM42" i="825"/>
  <c r="AQ42" i="825"/>
  <c r="AO36" i="805"/>
  <c r="AT36" i="805"/>
  <c r="AO41" i="805"/>
  <c r="AT41" i="805"/>
  <c r="AO69" i="805"/>
  <c r="AT69" i="805"/>
  <c r="AM22" i="825"/>
  <c r="AQ22" i="825"/>
  <c r="AN18" i="825"/>
  <c r="AM73" i="825"/>
  <c r="AQ73" i="825"/>
  <c r="AM74" i="825"/>
  <c r="AQ74" i="825"/>
  <c r="AM77" i="825"/>
  <c r="AQ77" i="825"/>
  <c r="AM81" i="825"/>
  <c r="AQ81" i="825"/>
  <c r="AB81" i="825"/>
  <c r="AB80" i="825"/>
  <c r="AB79" i="825"/>
  <c r="AB78" i="825"/>
  <c r="AB69" i="825"/>
  <c r="AB68" i="825"/>
  <c r="AB67" i="825"/>
  <c r="AB66" i="825"/>
  <c r="AB65" i="825"/>
  <c r="AB64" i="825"/>
  <c r="AB63" i="825"/>
  <c r="AB62" i="825"/>
  <c r="AB61" i="825"/>
  <c r="AB60" i="825"/>
  <c r="AB59" i="825"/>
  <c r="AB58" i="825"/>
  <c r="AB57" i="825"/>
  <c r="AB56" i="825"/>
  <c r="AB55" i="825"/>
  <c r="AB54" i="825"/>
  <c r="AB53" i="825"/>
  <c r="AB52" i="825"/>
  <c r="AB51" i="825"/>
  <c r="AB50" i="825"/>
  <c r="AB49" i="825"/>
  <c r="AB48" i="825"/>
  <c r="AB47" i="825"/>
  <c r="AB46" i="825"/>
  <c r="AB45" i="825"/>
  <c r="AB44" i="825"/>
  <c r="AB43" i="825"/>
  <c r="AB42" i="825"/>
  <c r="AB41" i="825"/>
  <c r="AB40" i="825"/>
  <c r="AB39" i="825"/>
  <c r="AB38" i="825"/>
  <c r="AB37" i="825"/>
  <c r="AB36" i="825"/>
  <c r="AB35" i="825"/>
  <c r="AB34" i="825"/>
  <c r="AB33" i="825"/>
  <c r="AB32" i="825"/>
  <c r="AB31" i="825"/>
  <c r="AB30" i="825"/>
  <c r="AB29" i="825"/>
  <c r="AN72" i="825"/>
  <c r="AM18" i="825"/>
  <c r="AQ18" i="825"/>
  <c r="AM28" i="825"/>
  <c r="AQ28" i="825"/>
  <c r="AM35" i="825"/>
  <c r="AQ35" i="825"/>
  <c r="AM45" i="825"/>
  <c r="AQ45" i="825"/>
  <c r="AM50" i="825"/>
  <c r="AQ50" i="825"/>
  <c r="AM52" i="825"/>
  <c r="AQ52" i="825"/>
  <c r="AM53" i="825"/>
  <c r="AQ53" i="825"/>
  <c r="AM55" i="825"/>
  <c r="AQ55" i="825"/>
  <c r="AM70" i="825"/>
  <c r="AQ70" i="825"/>
  <c r="AQ72" i="825"/>
  <c r="AM72" i="825"/>
  <c r="AM86" i="825"/>
  <c r="AQ86" i="825"/>
  <c r="AG8" i="825"/>
  <c r="AO81" i="805"/>
  <c r="AT81" i="805"/>
  <c r="AM25" i="825"/>
  <c r="AQ25" i="825"/>
  <c r="AM26" i="825"/>
  <c r="AQ26" i="825"/>
  <c r="AM29" i="825"/>
  <c r="AQ29" i="825"/>
  <c r="AM59" i="825"/>
  <c r="AQ59" i="825"/>
  <c r="AM65" i="825"/>
  <c r="AQ65" i="825"/>
  <c r="AM68" i="825"/>
  <c r="AQ68" i="825"/>
  <c r="AM83" i="825"/>
  <c r="AQ83" i="825"/>
  <c r="AM40" i="825"/>
  <c r="AQ40" i="825"/>
  <c r="AM47" i="825"/>
  <c r="AQ47" i="825"/>
  <c r="AM56" i="825"/>
  <c r="AQ56" i="825"/>
  <c r="AM57" i="825"/>
  <c r="AQ57" i="82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M24" i="825"/>
  <c r="AQ24" i="825"/>
  <c r="AM31" i="825"/>
  <c r="AQ31" i="825"/>
  <c r="AM32" i="825"/>
  <c r="AQ32" i="825"/>
  <c r="AQ36" i="825"/>
  <c r="AM36" i="825"/>
  <c r="AM38" i="825"/>
  <c r="AQ38" i="825"/>
  <c r="AM48" i="825"/>
  <c r="AQ48" i="825"/>
  <c r="AM54" i="825"/>
  <c r="AQ54" i="825"/>
  <c r="AM60" i="825"/>
  <c r="AQ60" i="825"/>
  <c r="AM62" i="825"/>
  <c r="AQ62" i="825"/>
  <c r="AM84" i="825"/>
  <c r="AQ84" i="825"/>
  <c r="AM85" i="825"/>
  <c r="AQ85" i="825"/>
  <c r="AB77" i="825"/>
  <c r="AB76" i="825"/>
  <c r="AB71" i="825"/>
  <c r="AB70" i="825"/>
  <c r="AB19" i="825"/>
  <c r="AB18" i="825"/>
  <c r="AB17" i="825"/>
  <c r="AB16" i="825"/>
  <c r="AB15" i="825"/>
  <c r="AB14" i="825"/>
  <c r="AB13" i="825"/>
  <c r="AB12" i="825"/>
  <c r="AB11" i="825"/>
  <c r="AL10" i="825"/>
  <c r="AQ10" i="825" s="1"/>
  <c r="AM10" i="825" s="1"/>
  <c r="AS10" i="825"/>
  <c r="AF10" i="825" s="1"/>
  <c r="AN71" i="825"/>
  <c r="AN44" i="825"/>
  <c r="AN69" i="825"/>
  <c r="AM27" i="825"/>
  <c r="AQ27" i="825"/>
  <c r="AM30" i="825"/>
  <c r="AQ30" i="825"/>
  <c r="AM33" i="825"/>
  <c r="AQ33" i="825"/>
  <c r="AM34" i="825"/>
  <c r="AQ34" i="825"/>
  <c r="AM37" i="825"/>
  <c r="AQ37" i="825"/>
  <c r="AM39" i="825"/>
  <c r="AQ39" i="825"/>
  <c r="AM41" i="825"/>
  <c r="AQ41" i="825"/>
  <c r="AM43" i="825"/>
  <c r="AQ43" i="825"/>
  <c r="AM44" i="825"/>
  <c r="AQ44" i="825"/>
  <c r="AM46" i="825"/>
  <c r="AQ46" i="825"/>
  <c r="AM49" i="825"/>
  <c r="AQ49" i="825"/>
  <c r="AM51" i="825"/>
  <c r="AQ51" i="825"/>
  <c r="AM61" i="825"/>
  <c r="AQ61" i="825"/>
  <c r="AM63" i="825"/>
  <c r="AQ63" i="825"/>
  <c r="AM64" i="825"/>
  <c r="AQ64" i="825"/>
  <c r="AM66" i="825"/>
  <c r="AQ66" i="825"/>
  <c r="AM67" i="825"/>
  <c r="AQ67" i="825"/>
  <c r="AM69" i="825"/>
  <c r="AQ69" i="825"/>
  <c r="AM71" i="825"/>
  <c r="AQ71" i="825"/>
  <c r="AM87" i="825"/>
  <c r="AQ87" i="825"/>
  <c r="AB75" i="825"/>
  <c r="AB74" i="825"/>
  <c r="AB73" i="825"/>
  <c r="AB72" i="825"/>
  <c r="AB9" i="825"/>
  <c r="AD9" i="825"/>
  <c r="AE9" i="825"/>
  <c r="AG9" i="825"/>
  <c r="AI9" i="825"/>
  <c r="AJ9" i="825"/>
  <c r="AK9" i="825"/>
  <c r="AL9" i="825"/>
  <c r="AS9" i="825"/>
  <c r="AF9" i="825" s="1"/>
  <c r="AD10" i="825"/>
  <c r="AE10" i="825"/>
  <c r="AG10" i="825"/>
  <c r="AI10" i="825"/>
  <c r="AJ10" i="825"/>
  <c r="AK10" i="825"/>
  <c r="AB10" i="825"/>
  <c r="AQ58" i="825"/>
  <c r="AM58" i="825"/>
  <c r="AQ82" i="825"/>
  <c r="AM82" i="825"/>
  <c r="AS8" i="825"/>
  <c r="AF8" i="825" s="1"/>
  <c r="AK8" i="825"/>
  <c r="AJ8" i="825"/>
  <c r="AI8" i="825"/>
  <c r="AO61" i="805"/>
  <c r="AT61" i="805"/>
  <c r="AP62" i="805"/>
  <c r="AO24" i="805"/>
  <c r="AT24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25" i="805"/>
  <c r="AT2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22" i="805"/>
  <c r="AT22" i="805"/>
  <c r="AO75" i="805"/>
  <c r="AT75" i="805"/>
  <c r="AO82" i="805"/>
  <c r="AT82" i="805"/>
  <c r="AP53" i="805"/>
  <c r="AP48" i="805"/>
  <c r="AO23" i="805"/>
  <c r="AT23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AG70" i="824"/>
  <c r="AF70" i="824"/>
  <c r="AF22" i="824"/>
  <c r="AF44" i="824"/>
  <c r="AF19" i="824"/>
  <c r="AF38" i="824"/>
  <c r="AF60" i="824"/>
  <c r="AF62" i="824"/>
  <c r="AF63" i="824"/>
  <c r="AF65" i="824"/>
  <c r="AF68" i="824"/>
  <c r="AF71" i="824"/>
  <c r="AF73" i="824"/>
  <c r="AF20" i="824"/>
  <c r="AF23" i="824"/>
  <c r="AF41" i="824"/>
  <c r="AF49" i="824"/>
  <c r="AF50" i="824"/>
  <c r="AF32" i="824"/>
  <c r="AF34" i="824"/>
  <c r="AF52" i="824"/>
  <c r="AF33" i="824"/>
  <c r="AF43" i="824"/>
  <c r="AF46" i="824"/>
  <c r="AF55" i="824"/>
  <c r="AF40" i="824"/>
  <c r="AF51" i="824"/>
  <c r="AF85" i="824"/>
  <c r="AF56" i="824"/>
  <c r="AF77" i="824"/>
  <c r="AJ58" i="824"/>
  <c r="AF58" i="824" s="1"/>
  <c r="AJ66" i="824"/>
  <c r="AF66" i="824" s="1"/>
  <c r="AJ69" i="824"/>
  <c r="AF69" i="824" s="1"/>
  <c r="AJ78" i="824"/>
  <c r="AF78" i="824" s="1"/>
  <c r="AJ83" i="824"/>
  <c r="AF83" i="824" s="1"/>
  <c r="AX27" i="847"/>
  <c r="AZ27" i="847" a="1"/>
  <c r="AY219" i="847"/>
  <c r="BA219" i="847" a="1"/>
  <c r="AZ219" i="847" a="1"/>
  <c r="AX219" i="847"/>
  <c r="AY218" i="847"/>
  <c r="BA218" i="847" a="1"/>
  <c r="AZ218" i="847" a="1"/>
  <c r="AX218" i="847"/>
  <c r="AY217" i="847"/>
  <c r="BA217" i="847" a="1"/>
  <c r="AZ217" i="847" a="1"/>
  <c r="AX217" i="847"/>
  <c r="AY216" i="847"/>
  <c r="BA216" i="847" a="1"/>
  <c r="AZ216" i="847" a="1"/>
  <c r="AX216" i="847"/>
  <c r="AY215" i="847"/>
  <c r="BA215" i="847" a="1"/>
  <c r="AZ215" i="847" a="1"/>
  <c r="AX215" i="847"/>
  <c r="AY214" i="847"/>
  <c r="BA214" i="847" a="1"/>
  <c r="AX214" i="847"/>
  <c r="AZ214" i="847" a="1"/>
  <c r="AY213" i="847"/>
  <c r="BA213" i="847" a="1"/>
  <c r="AZ213" i="847" a="1"/>
  <c r="AX213" i="847"/>
  <c r="AY212" i="847"/>
  <c r="BA212" i="847" a="1"/>
  <c r="AZ212" i="847" a="1"/>
  <c r="AX212" i="847"/>
  <c r="AY211" i="847"/>
  <c r="BA211" i="847" a="1"/>
  <c r="AZ211" i="847" a="1"/>
  <c r="AX211" i="847"/>
  <c r="AY210" i="847"/>
  <c r="BA210" i="847" a="1"/>
  <c r="AZ210" i="847" a="1"/>
  <c r="AX210" i="847"/>
  <c r="AY209" i="847"/>
  <c r="BA209" i="847" a="1"/>
  <c r="AX209" i="847"/>
  <c r="AZ209" i="847" a="1"/>
  <c r="AY208" i="847"/>
  <c r="BA208" i="847" a="1"/>
  <c r="AZ208" i="847" a="1"/>
  <c r="AX208" i="847"/>
  <c r="AY207" i="847"/>
  <c r="BA207" i="847" a="1"/>
  <c r="AZ207" i="847" a="1"/>
  <c r="AX207" i="847"/>
  <c r="AX206" i="847"/>
  <c r="AZ206" i="847" a="1"/>
  <c r="AY206" i="847"/>
  <c r="BA206" i="847" a="1"/>
  <c r="AY205" i="847"/>
  <c r="BA205" i="847" a="1"/>
  <c r="AZ205" i="847" a="1"/>
  <c r="AX205" i="847"/>
  <c r="AX204" i="847"/>
  <c r="AZ204" i="847" a="1"/>
  <c r="AY204" i="847"/>
  <c r="BA204" i="847" a="1"/>
  <c r="AX203" i="847"/>
  <c r="AZ203" i="847" a="1"/>
  <c r="AY203" i="847"/>
  <c r="BA203" i="847" a="1"/>
  <c r="AZ202" i="847" a="1"/>
  <c r="AX202" i="847"/>
  <c r="AY202" i="847"/>
  <c r="BA202" i="847" a="1"/>
  <c r="AZ201" i="847" a="1"/>
  <c r="AX201" i="847"/>
  <c r="AY201" i="847"/>
  <c r="BA201" i="847" a="1"/>
  <c r="AZ200" i="847" a="1"/>
  <c r="AX200" i="847"/>
  <c r="AY200" i="847"/>
  <c r="BA200" i="847" a="1"/>
  <c r="AZ199" i="847" a="1"/>
  <c r="AX199" i="847"/>
  <c r="AY199" i="847"/>
  <c r="BA199" i="847" a="1"/>
  <c r="AX198" i="847"/>
  <c r="AZ198" i="847" a="1"/>
  <c r="AY198" i="847"/>
  <c r="BA198" i="847" a="1"/>
  <c r="AZ197" i="847" a="1"/>
  <c r="AX197" i="847"/>
  <c r="BA197" i="847" a="1"/>
  <c r="AY197" i="847"/>
  <c r="AY196" i="847"/>
  <c r="BA196" i="847" a="1"/>
  <c r="AX196" i="847"/>
  <c r="AZ196" i="847" a="1"/>
  <c r="AX195" i="847"/>
  <c r="AZ195" i="847" a="1"/>
  <c r="AY195" i="847"/>
  <c r="BA195" i="847" a="1"/>
  <c r="AX194" i="847"/>
  <c r="AZ194" i="847" a="1"/>
  <c r="AY194" i="847"/>
  <c r="BA194" i="847" a="1"/>
  <c r="AY193" i="847"/>
  <c r="BA193" i="847" a="1"/>
  <c r="AZ193" i="847" a="1"/>
  <c r="AX193" i="847"/>
  <c r="AZ192" i="847" a="1"/>
  <c r="AX192" i="847"/>
  <c r="AY192" i="847"/>
  <c r="BA192" i="847" a="1"/>
  <c r="AX191" i="847"/>
  <c r="AZ191" i="847" a="1"/>
  <c r="AY191" i="847"/>
  <c r="BA191" i="847" a="1"/>
  <c r="AY190" i="847"/>
  <c r="BA190" i="847" a="1"/>
  <c r="AZ190" i="847" a="1"/>
  <c r="AX190" i="847"/>
  <c r="AY189" i="847"/>
  <c r="BA189" i="847" a="1"/>
  <c r="AX189" i="847"/>
  <c r="AZ189" i="847" a="1"/>
  <c r="BA188" i="847" a="1"/>
  <c r="AY188" i="847"/>
  <c r="AX188" i="847"/>
  <c r="AZ188" i="847" a="1"/>
  <c r="BA187" i="847" a="1"/>
  <c r="AY187" i="847"/>
  <c r="AX187" i="847"/>
  <c r="AZ187" i="847" a="1"/>
  <c r="BA186" i="847" a="1"/>
  <c r="AY186" i="847"/>
  <c r="AZ186" i="847" a="1"/>
  <c r="AX186" i="847"/>
  <c r="AY185" i="847"/>
  <c r="BA185" i="847" a="1"/>
  <c r="AX185" i="847"/>
  <c r="AZ185" i="847" a="1"/>
  <c r="AX184" i="847"/>
  <c r="AZ184" i="847" a="1"/>
  <c r="AY184" i="847"/>
  <c r="BA184" i="847" a="1"/>
  <c r="AY183" i="847"/>
  <c r="BA183" i="847" a="1"/>
  <c r="AZ183" i="847" a="1"/>
  <c r="AX183" i="847"/>
  <c r="AZ182" i="847" a="1"/>
  <c r="AX182" i="847"/>
  <c r="BA182" i="847" a="1"/>
  <c r="AY182" i="847"/>
  <c r="AY181" i="847"/>
  <c r="BA181" i="847" a="1"/>
  <c r="AZ181" i="847" a="1"/>
  <c r="AX181" i="847"/>
  <c r="AZ180" i="847" a="1"/>
  <c r="AX180" i="847"/>
  <c r="BA180" i="847" a="1"/>
  <c r="AY180" i="847"/>
  <c r="AX179" i="847"/>
  <c r="AZ179" i="847" a="1"/>
  <c r="AY179" i="847"/>
  <c r="BA179" i="847" a="1"/>
  <c r="AY178" i="847"/>
  <c r="BA178" i="847" a="1"/>
  <c r="AZ178" i="847" a="1"/>
  <c r="AX178" i="847"/>
  <c r="AY177" i="847"/>
  <c r="BA177" i="847" a="1"/>
  <c r="AX177" i="847"/>
  <c r="AZ177" i="847" a="1"/>
  <c r="AZ176" i="847" a="1"/>
  <c r="AX176" i="847"/>
  <c r="BA176" i="847" a="1"/>
  <c r="AY176" i="847"/>
  <c r="AZ175" i="847" a="1"/>
  <c r="AX175" i="847"/>
  <c r="AY175" i="847"/>
  <c r="BA175" i="847" a="1"/>
  <c r="AX174" i="847"/>
  <c r="AZ174" i="847" a="1"/>
  <c r="AY174" i="847"/>
  <c r="BA174" i="847" a="1"/>
  <c r="AY173" i="847"/>
  <c r="BA173" i="847" a="1"/>
  <c r="AX173" i="847"/>
  <c r="AZ173" i="847" a="1"/>
  <c r="AZ172" i="847" a="1"/>
  <c r="AX172" i="847"/>
  <c r="AY172" i="847"/>
  <c r="BA172" i="847" a="1"/>
  <c r="AZ171" i="847" a="1"/>
  <c r="AX171" i="847"/>
  <c r="AY171" i="847"/>
  <c r="BA171" i="847" a="1"/>
  <c r="AY170" i="847"/>
  <c r="BA170" i="847" a="1"/>
  <c r="AX170" i="847"/>
  <c r="AZ170" i="847" a="1"/>
  <c r="AZ169" i="847" a="1"/>
  <c r="AX169" i="847"/>
  <c r="BA169" i="847" a="1"/>
  <c r="AY169" i="847"/>
  <c r="AZ168" i="847" a="1"/>
  <c r="AX168" i="847"/>
  <c r="AY168" i="847"/>
  <c r="BA168" i="847" a="1"/>
  <c r="AY167" i="847"/>
  <c r="BA167" i="847" a="1"/>
  <c r="AX167" i="847"/>
  <c r="AZ167" i="847" a="1"/>
  <c r="AZ166" i="847" a="1"/>
  <c r="AX166" i="847"/>
  <c r="AY166" i="847"/>
  <c r="BA166" i="847" a="1"/>
  <c r="AY165" i="847"/>
  <c r="BA165" i="847" a="1"/>
  <c r="AZ165" i="847" a="1"/>
  <c r="AX165" i="847"/>
  <c r="AZ164" i="847" a="1"/>
  <c r="AX164" i="847"/>
  <c r="BA164" i="847" a="1"/>
  <c r="AY164" i="847"/>
  <c r="AX163" i="847"/>
  <c r="AZ163" i="847" a="1"/>
  <c r="AY163" i="847"/>
  <c r="BA163" i="847" a="1"/>
  <c r="AX162" i="847"/>
  <c r="AZ162" i="847" a="1"/>
  <c r="AY162" i="847"/>
  <c r="BA162" i="847" a="1"/>
  <c r="AZ161" i="847" a="1"/>
  <c r="AX161" i="847"/>
  <c r="AY161" i="847"/>
  <c r="BA161" i="847" a="1"/>
  <c r="AY160" i="847"/>
  <c r="BA160" i="847" a="1"/>
  <c r="AZ160" i="847" a="1"/>
  <c r="AX160" i="847"/>
  <c r="AY159" i="847"/>
  <c r="BA159" i="847" a="1"/>
  <c r="AZ159" i="847" a="1"/>
  <c r="AX159" i="847"/>
  <c r="AY158" i="847"/>
  <c r="BA158" i="847" a="1"/>
  <c r="AX158" i="847"/>
  <c r="AZ158" i="847" a="1"/>
  <c r="AY157" i="847"/>
  <c r="BA157" i="847" a="1"/>
  <c r="AZ157" i="847" a="1"/>
  <c r="AX157" i="847"/>
  <c r="AY156" i="847"/>
  <c r="BA156" i="847" a="1"/>
  <c r="AZ156" i="847" a="1"/>
  <c r="AX156" i="847"/>
  <c r="AY155" i="847"/>
  <c r="BA155" i="847" a="1"/>
  <c r="AX155" i="847"/>
  <c r="AZ155" i="847" a="1"/>
  <c r="AY154" i="847"/>
  <c r="BA154" i="847" a="1"/>
  <c r="AZ154" i="847" a="1"/>
  <c r="AX154" i="847"/>
  <c r="AY153" i="847"/>
  <c r="BA153" i="847" a="1"/>
  <c r="AZ153" i="847" a="1"/>
  <c r="AX153" i="847"/>
  <c r="AY152" i="847"/>
  <c r="BA152" i="847" a="1"/>
  <c r="AZ152" i="847" a="1"/>
  <c r="AX152" i="847"/>
  <c r="AY151" i="847"/>
  <c r="BA151" i="847" a="1"/>
  <c r="AX151" i="847"/>
  <c r="AZ151" i="847" a="1"/>
  <c r="AY150" i="847"/>
  <c r="BA150" i="847" a="1"/>
  <c r="AX150" i="847"/>
  <c r="AZ150" i="847" a="1"/>
  <c r="AY149" i="847"/>
  <c r="BA149" i="847" a="1"/>
  <c r="AZ149" i="847" a="1"/>
  <c r="AX149" i="847"/>
  <c r="AZ148" i="847" a="1"/>
  <c r="AX148" i="847"/>
  <c r="BA148" i="847" a="1"/>
  <c r="AY148" i="847"/>
  <c r="AX147" i="847"/>
  <c r="AZ147" i="847" a="1"/>
  <c r="AY147" i="847"/>
  <c r="BA147" i="847" a="1"/>
  <c r="AZ146" i="847" a="1"/>
  <c r="AX146" i="847"/>
  <c r="AY146" i="847"/>
  <c r="BA146" i="847" a="1"/>
  <c r="AZ145" i="847" a="1"/>
  <c r="AX145" i="847"/>
  <c r="AY145" i="847"/>
  <c r="BA145" i="847" a="1"/>
  <c r="AX144" i="847"/>
  <c r="AZ144" i="847" a="1"/>
  <c r="BA144" i="847" a="1"/>
  <c r="AY144" i="847"/>
  <c r="BA143" i="847" a="1"/>
  <c r="AY143" i="847"/>
  <c r="AX143" i="847"/>
  <c r="AZ143" i="847" a="1"/>
  <c r="AX142" i="847"/>
  <c r="AZ142" i="847" a="1"/>
  <c r="BA142" i="847" a="1"/>
  <c r="AY142" i="847"/>
  <c r="AX141" i="847"/>
  <c r="AZ141" i="847" a="1"/>
  <c r="AY141" i="847"/>
  <c r="BA141" i="847" a="1"/>
  <c r="AZ140" i="847" a="1"/>
  <c r="AX140" i="847"/>
  <c r="AY140" i="847"/>
  <c r="BA140" i="847" a="1"/>
  <c r="AX139" i="847"/>
  <c r="AZ139" i="847" a="1"/>
  <c r="AY139" i="847"/>
  <c r="BA139" i="847" a="1"/>
  <c r="AZ138" i="847" a="1"/>
  <c r="AX138" i="847"/>
  <c r="AY138" i="847"/>
  <c r="BA138" i="847" a="1"/>
  <c r="AZ137" i="847" a="1"/>
  <c r="AX137" i="847"/>
  <c r="AY137" i="847"/>
  <c r="BA137" i="847" a="1"/>
  <c r="AZ136" i="847" a="1"/>
  <c r="AX136" i="847"/>
  <c r="AY136" i="847"/>
  <c r="BA136" i="847" a="1"/>
  <c r="BA135" i="847" a="1"/>
  <c r="AY135" i="847"/>
  <c r="AZ135" i="847" a="1"/>
  <c r="AX135" i="847"/>
  <c r="AY134" i="847"/>
  <c r="BA134" i="847" a="1"/>
  <c r="AZ134" i="847" a="1"/>
  <c r="AX134" i="847"/>
  <c r="AY133" i="847"/>
  <c r="BA133" i="847" a="1"/>
  <c r="AZ133" i="847" a="1"/>
  <c r="AX133" i="847"/>
  <c r="BA132" i="847" a="1"/>
  <c r="AY132" i="847"/>
  <c r="AX132" i="847"/>
  <c r="AZ132" i="847" a="1"/>
  <c r="AY131" i="847"/>
  <c r="BA131" i="847" a="1"/>
  <c r="AX131" i="847"/>
  <c r="AZ131" i="847" a="1"/>
  <c r="BA130" i="847" a="1"/>
  <c r="AY130" i="847"/>
  <c r="AX130" i="847"/>
  <c r="AZ130" i="847" a="1"/>
  <c r="BA129" i="847" a="1"/>
  <c r="AY129" i="847"/>
  <c r="AX129" i="847"/>
  <c r="AZ129" i="847" a="1"/>
  <c r="BA128" i="847" a="1"/>
  <c r="AY128" i="847"/>
  <c r="AZ128" i="847" a="1"/>
  <c r="AX128" i="847"/>
  <c r="BA127" i="847" a="1"/>
  <c r="AY127" i="847"/>
  <c r="AX127" i="847"/>
  <c r="AZ127" i="847" a="1"/>
  <c r="AX126" i="847"/>
  <c r="AZ126" i="847" a="1"/>
  <c r="BA126" i="847" a="1"/>
  <c r="AY126" i="847"/>
  <c r="AZ125" i="847" a="1"/>
  <c r="AX125" i="847"/>
  <c r="AY125" i="847"/>
  <c r="BA125" i="847" a="1"/>
  <c r="AZ124" i="847" a="1"/>
  <c r="AX124" i="847"/>
  <c r="BA124" i="847" a="1"/>
  <c r="AY124" i="847"/>
  <c r="AY123" i="847"/>
  <c r="BA123" i="847" a="1"/>
  <c r="AX123" i="847"/>
  <c r="AZ123" i="847" a="1"/>
  <c r="AY122" i="847"/>
  <c r="BA122" i="847" a="1"/>
  <c r="AX122" i="847"/>
  <c r="AZ122" i="847" a="1"/>
  <c r="AY121" i="847"/>
  <c r="BA121" i="847" a="1"/>
  <c r="AZ121" i="847" a="1"/>
  <c r="AX121" i="847"/>
  <c r="AY120" i="847"/>
  <c r="BA120" i="847" a="1"/>
  <c r="AX120" i="847"/>
  <c r="AZ120" i="847" a="1"/>
  <c r="AY119" i="847"/>
  <c r="BA119" i="847" a="1"/>
  <c r="AX119" i="847"/>
  <c r="AZ119" i="847" a="1"/>
  <c r="AY118" i="847"/>
  <c r="BA118" i="847" a="1"/>
  <c r="AX118" i="847"/>
  <c r="AZ118" i="847" a="1"/>
  <c r="AY117" i="847"/>
  <c r="BA117" i="847" a="1"/>
  <c r="AX117" i="847"/>
  <c r="AZ117" i="847" a="1"/>
  <c r="AY116" i="847"/>
  <c r="BA116" i="847" a="1"/>
  <c r="AZ116" i="847" a="1"/>
  <c r="AX116" i="847"/>
  <c r="AY115" i="847"/>
  <c r="BA115" i="847" a="1"/>
  <c r="AZ115" i="847" a="1"/>
  <c r="AX115" i="847"/>
  <c r="AY114" i="847"/>
  <c r="BA114" i="847" a="1"/>
  <c r="AX114" i="847"/>
  <c r="AZ114" i="847" a="1"/>
  <c r="AY113" i="847"/>
  <c r="BA113" i="847" a="1"/>
  <c r="AX113" i="847"/>
  <c r="AZ113" i="847" a="1"/>
  <c r="AY112" i="847"/>
  <c r="BA112" i="847" a="1"/>
  <c r="AZ112" i="847" a="1"/>
  <c r="AX112" i="847"/>
  <c r="AY111" i="847"/>
  <c r="BA111" i="847" a="1"/>
  <c r="AZ111" i="847" a="1"/>
  <c r="AX111" i="847"/>
  <c r="AY110" i="847"/>
  <c r="BA110" i="847" a="1"/>
  <c r="AZ110" i="847" a="1"/>
  <c r="AX110" i="847"/>
  <c r="AY109" i="847"/>
  <c r="BA109" i="847" a="1"/>
  <c r="AZ109" i="847" a="1"/>
  <c r="AX109" i="847"/>
  <c r="AY108" i="847"/>
  <c r="BA108" i="847" a="1"/>
  <c r="AZ108" i="847" a="1"/>
  <c r="AX108" i="847"/>
  <c r="AY107" i="847"/>
  <c r="BA107" i="847" a="1"/>
  <c r="AZ107" i="847" a="1"/>
  <c r="AX107" i="847"/>
  <c r="AY106" i="847"/>
  <c r="BA106" i="847" a="1"/>
  <c r="AZ106" i="847" a="1"/>
  <c r="AX106" i="847"/>
  <c r="AY105" i="847"/>
  <c r="BA105" i="847" a="1"/>
  <c r="AX105" i="847"/>
  <c r="AZ105" i="847" a="1"/>
  <c r="AY104" i="847"/>
  <c r="BA104" i="847" a="1"/>
  <c r="AZ104" i="847" a="1"/>
  <c r="AX104" i="847"/>
  <c r="AY103" i="847"/>
  <c r="BA103" i="847" a="1"/>
  <c r="AZ103" i="847" a="1"/>
  <c r="AX103" i="847"/>
  <c r="AY102" i="847"/>
  <c r="BA102" i="847" a="1"/>
  <c r="AZ102" i="847" a="1"/>
  <c r="AX102" i="847"/>
  <c r="AY101" i="847"/>
  <c r="BA101" i="847" a="1"/>
  <c r="AX101" i="847"/>
  <c r="AZ101" i="847" a="1"/>
  <c r="AY100" i="847"/>
  <c r="BA100" i="847" a="1"/>
  <c r="AX100" i="847"/>
  <c r="AZ100" i="847" a="1"/>
  <c r="AY99" i="847"/>
  <c r="BA99" i="847" a="1"/>
  <c r="AX99" i="847"/>
  <c r="AZ99" i="847" a="1"/>
  <c r="AY98" i="847"/>
  <c r="BA98" i="847" a="1"/>
  <c r="AX98" i="847"/>
  <c r="AZ98" i="847" a="1"/>
  <c r="AY97" i="847"/>
  <c r="BA97" i="847" a="1"/>
  <c r="AX97" i="847"/>
  <c r="AZ97" i="847" a="1"/>
  <c r="AY96" i="847"/>
  <c r="BA96" i="847" a="1"/>
  <c r="AX96" i="847"/>
  <c r="AZ96" i="847" a="1"/>
  <c r="AY95" i="847"/>
  <c r="BA95" i="847" a="1"/>
  <c r="AX95" i="847"/>
  <c r="AZ95" i="847" a="1"/>
  <c r="AY94" i="847"/>
  <c r="BA94" i="847" a="1"/>
  <c r="AZ94" i="847" a="1"/>
  <c r="AX94" i="847"/>
  <c r="AY93" i="847"/>
  <c r="BA93" i="847" a="1"/>
  <c r="AX93" i="847"/>
  <c r="AZ93" i="847" a="1"/>
  <c r="AY92" i="847"/>
  <c r="BA92" i="847" a="1"/>
  <c r="AZ92" i="847" a="1"/>
  <c r="AX92" i="847"/>
  <c r="AY91" i="847"/>
  <c r="BA91" i="847" a="1"/>
  <c r="AX91" i="847"/>
  <c r="AZ91" i="847" a="1"/>
  <c r="AY90" i="847"/>
  <c r="BA90" i="847" a="1"/>
  <c r="AX90" i="847"/>
  <c r="AZ90" i="847" a="1"/>
  <c r="AY89" i="847"/>
  <c r="BA89" i="847" a="1"/>
  <c r="AZ89" i="847" a="1"/>
  <c r="AX89" i="847"/>
  <c r="AY88" i="847"/>
  <c r="BA88" i="847" a="1"/>
  <c r="AZ88" i="847" a="1"/>
  <c r="AX88" i="847"/>
  <c r="AY87" i="847"/>
  <c r="BA87" i="847" a="1"/>
  <c r="AZ87" i="847" a="1"/>
  <c r="AX87" i="847"/>
  <c r="AY86" i="847"/>
  <c r="BA86" i="847" a="1"/>
  <c r="AX86" i="847"/>
  <c r="AZ86" i="847" a="1"/>
  <c r="AY85" i="847"/>
  <c r="BA85" i="847" a="1"/>
  <c r="AZ85" i="847" a="1"/>
  <c r="AX85" i="847"/>
  <c r="AY84" i="847"/>
  <c r="BA84" i="847" a="1"/>
  <c r="AX84" i="847"/>
  <c r="AZ84" i="847" a="1"/>
  <c r="AY83" i="847"/>
  <c r="BA83" i="847" a="1"/>
  <c r="AZ83" i="847" a="1"/>
  <c r="AX83" i="847"/>
  <c r="AY82" i="847"/>
  <c r="BA82" i="847" a="1"/>
  <c r="AZ82" i="847" a="1"/>
  <c r="AX82" i="847"/>
  <c r="AY81" i="847"/>
  <c r="BA81" i="847" a="1"/>
  <c r="AZ81" i="847" a="1"/>
  <c r="AX81" i="847"/>
  <c r="BA80" i="847" a="1"/>
  <c r="AY80" i="847"/>
  <c r="AZ80" i="847" a="1"/>
  <c r="AX80" i="847"/>
  <c r="BA79" i="847" a="1"/>
  <c r="AY79" i="847"/>
  <c r="AX79" i="847"/>
  <c r="AZ79" i="847" a="1"/>
  <c r="AY78" i="847"/>
  <c r="BA78" i="847" a="1"/>
  <c r="AZ78" i="847" a="1"/>
  <c r="AX78" i="847"/>
  <c r="BA77" i="847" a="1"/>
  <c r="AY77" i="847"/>
  <c r="AX77" i="847"/>
  <c r="AZ77" i="847" a="1"/>
  <c r="BA76" i="847" a="1"/>
  <c r="AY76" i="847"/>
  <c r="AX76" i="847"/>
  <c r="AZ76" i="847" a="1"/>
  <c r="AY75" i="847"/>
  <c r="BA75" i="847" a="1"/>
  <c r="AZ75" i="847" a="1"/>
  <c r="AX75" i="847"/>
  <c r="BA74" i="847" a="1"/>
  <c r="AY74" i="847"/>
  <c r="AX74" i="847"/>
  <c r="AZ74" i="847" a="1"/>
  <c r="AY73" i="847"/>
  <c r="BA73" i="847" a="1"/>
  <c r="AX73" i="847"/>
  <c r="AZ73" i="847" a="1"/>
  <c r="BA72" i="847" a="1"/>
  <c r="AY72" i="847"/>
  <c r="AX72" i="847"/>
  <c r="AZ72" i="847" a="1"/>
  <c r="BA71" i="847" a="1"/>
  <c r="AY71" i="847"/>
  <c r="AZ71" i="847" a="1"/>
  <c r="AX71" i="847"/>
  <c r="BA70" i="847" a="1"/>
  <c r="AY70" i="847"/>
  <c r="AZ70" i="847" a="1"/>
  <c r="AX70" i="847"/>
  <c r="BA69" i="847" a="1"/>
  <c r="AY69" i="847"/>
  <c r="AZ69" i="847" a="1"/>
  <c r="AX69" i="847"/>
  <c r="AY68" i="847"/>
  <c r="BA68" i="847" a="1"/>
  <c r="AX68" i="847"/>
  <c r="AZ68" i="847" a="1"/>
  <c r="AY67" i="847"/>
  <c r="BA67" i="847" a="1"/>
  <c r="AZ67" i="847" a="1"/>
  <c r="AX67" i="847"/>
  <c r="BA66" i="847" a="1"/>
  <c r="AY66" i="847"/>
  <c r="AZ66" i="847" a="1"/>
  <c r="AX66" i="847"/>
  <c r="BA65" i="847" a="1"/>
  <c r="AY65" i="847"/>
  <c r="AZ65" i="847" a="1"/>
  <c r="AX65" i="847"/>
  <c r="BA64" i="847" a="1"/>
  <c r="AY64" i="847"/>
  <c r="AX64" i="847"/>
  <c r="AZ64" i="847" a="1"/>
  <c r="BA63" i="847" a="1"/>
  <c r="AY63" i="847"/>
  <c r="AZ63" i="847" a="1"/>
  <c r="AX63" i="847"/>
  <c r="AY62" i="847"/>
  <c r="BA62" i="847" a="1"/>
  <c r="AX62" i="847"/>
  <c r="AZ62" i="847" a="1"/>
  <c r="AY61" i="847"/>
  <c r="BA61" i="847" a="1"/>
  <c r="AX61" i="847"/>
  <c r="AZ61" i="847" a="1"/>
  <c r="BA60" i="847" a="1"/>
  <c r="AY60" i="847"/>
  <c r="AZ60" i="847" a="1"/>
  <c r="AX60" i="847"/>
  <c r="AY59" i="847"/>
  <c r="BA59" i="847" a="1"/>
  <c r="AZ59" i="847" a="1"/>
  <c r="AX59" i="847"/>
  <c r="AY58" i="847"/>
  <c r="BA58" i="847" a="1"/>
  <c r="AZ58" i="847" a="1"/>
  <c r="AX58" i="847"/>
  <c r="BA57" i="847" a="1"/>
  <c r="AY57" i="847"/>
  <c r="AZ57" i="847" a="1"/>
  <c r="AX57" i="847"/>
  <c r="AY56" i="847"/>
  <c r="BA56" i="847" a="1"/>
  <c r="AZ56" i="847" a="1"/>
  <c r="AX56" i="847"/>
  <c r="AY55" i="847"/>
  <c r="BA55" i="847" a="1"/>
  <c r="AZ55" i="847" a="1"/>
  <c r="AX55" i="847"/>
  <c r="AY54" i="847"/>
  <c r="BA54" i="847" a="1"/>
  <c r="AX54" i="847"/>
  <c r="AZ54" i="847" a="1"/>
  <c r="AY53" i="847"/>
  <c r="BA53" i="847" a="1"/>
  <c r="AZ53" i="847" a="1"/>
  <c r="AX53" i="847"/>
  <c r="AY52" i="847"/>
  <c r="BA52" i="847" a="1"/>
  <c r="AX52" i="847"/>
  <c r="AZ52" i="847" a="1"/>
  <c r="AY51" i="847"/>
  <c r="BA51" i="847" a="1"/>
  <c r="AZ51" i="847" a="1"/>
  <c r="AX51" i="847"/>
  <c r="AY50" i="847"/>
  <c r="BA50" i="847" a="1"/>
  <c r="AZ50" i="847" a="1"/>
  <c r="AX50" i="847"/>
  <c r="AY49" i="847"/>
  <c r="BA49" i="847" a="1"/>
  <c r="AX49" i="847"/>
  <c r="AZ49" i="847" a="1"/>
  <c r="AY48" i="847"/>
  <c r="BA48" i="847" a="1"/>
  <c r="AX48" i="847"/>
  <c r="AZ48" i="847" a="1"/>
  <c r="BA47" i="847" a="1"/>
  <c r="AY47" i="847"/>
  <c r="AX47" i="847"/>
  <c r="AZ47" i="847" a="1"/>
  <c r="BA46" i="847" a="1"/>
  <c r="AY46" i="847"/>
  <c r="AX46" i="847"/>
  <c r="AZ46" i="847" a="1"/>
  <c r="AY45" i="847"/>
  <c r="BA45" i="847" a="1"/>
  <c r="AZ45" i="847" a="1"/>
  <c r="AX45" i="847"/>
  <c r="AY44" i="847"/>
  <c r="BA44" i="847" a="1"/>
  <c r="AX44" i="847"/>
  <c r="AZ44" i="847" a="1"/>
  <c r="AY43" i="847"/>
  <c r="BA43" i="847" a="1"/>
  <c r="AZ43" i="847" a="1"/>
  <c r="AX43" i="847"/>
  <c r="AY42" i="847"/>
  <c r="BA42" i="847" a="1"/>
  <c r="AZ42" i="847" a="1"/>
  <c r="AX42" i="847"/>
  <c r="BA41" i="847" a="1"/>
  <c r="AY41" i="847"/>
  <c r="AX41" i="847"/>
  <c r="AZ41" i="847" a="1"/>
  <c r="BA40" i="847" a="1"/>
  <c r="AY40" i="847"/>
  <c r="AX40" i="847"/>
  <c r="AZ40" i="847" a="1"/>
  <c r="AY39" i="847"/>
  <c r="BA39" i="847" a="1"/>
  <c r="AX39" i="847"/>
  <c r="AZ39" i="847" a="1"/>
  <c r="AY38" i="847"/>
  <c r="BA38" i="847" a="1"/>
  <c r="AX38" i="847"/>
  <c r="AZ38" i="847" a="1"/>
  <c r="BA37" i="847" a="1"/>
  <c r="AY37" i="847"/>
  <c r="AX37" i="847"/>
  <c r="AZ37" i="847" a="1"/>
  <c r="BA36" i="847" a="1"/>
  <c r="AY36" i="847"/>
  <c r="AZ36" i="847" a="1"/>
  <c r="AX36" i="847"/>
  <c r="AY35" i="847"/>
  <c r="BA35" i="847" a="1"/>
  <c r="AZ35" i="847" a="1"/>
  <c r="AX35" i="847"/>
  <c r="AY34" i="847"/>
  <c r="BA34" i="847" a="1"/>
  <c r="AX34" i="847"/>
  <c r="AZ34" i="847" a="1"/>
  <c r="BA33" i="847" a="1"/>
  <c r="AY33" i="847"/>
  <c r="AZ33" i="847" a="1"/>
  <c r="AX33" i="847"/>
  <c r="AY32" i="847"/>
  <c r="BA32" i="847" a="1"/>
  <c r="AZ32" i="847" a="1"/>
  <c r="AX32" i="847"/>
  <c r="AY31" i="847"/>
  <c r="BA31" i="847" a="1"/>
  <c r="AZ31" i="847" a="1"/>
  <c r="AX31" i="847"/>
  <c r="AY30" i="847"/>
  <c r="BA30" i="847" a="1"/>
  <c r="AX30" i="847"/>
  <c r="AZ30" i="847" a="1"/>
  <c r="AY29" i="847"/>
  <c r="BA29" i="847" a="1"/>
  <c r="AZ29" i="847" a="1"/>
  <c r="AX29" i="847"/>
  <c r="AY28" i="847"/>
  <c r="BA28" i="847" a="1"/>
  <c r="AZ28" i="847" a="1"/>
  <c r="AX28" i="847"/>
  <c r="BA27" i="847" a="1"/>
  <c r="AY27" i="847"/>
  <c r="AY26" i="847"/>
  <c r="BA26" i="847" a="1"/>
  <c r="AZ26" i="847" a="1"/>
  <c r="AX26" i="847"/>
  <c r="AY25" i="847"/>
  <c r="BA25" i="847" a="1"/>
  <c r="AZ25" i="847" a="1"/>
  <c r="AX25" i="847"/>
  <c r="AY24" i="847"/>
  <c r="BA24" i="847" a="1"/>
  <c r="AZ24" i="847" a="1"/>
  <c r="AX24" i="847"/>
  <c r="AY23" i="847"/>
  <c r="BA23" i="847" a="1"/>
  <c r="AZ23" i="847" a="1"/>
  <c r="AX23" i="847"/>
  <c r="AY22" i="847"/>
  <c r="BA22" i="847" a="1"/>
  <c r="AX22" i="847"/>
  <c r="AZ22" i="847" a="1"/>
  <c r="AY21" i="847"/>
  <c r="BA21" i="847" a="1"/>
  <c r="AZ21" i="847" a="1"/>
  <c r="AX21" i="847"/>
  <c r="AY20" i="847"/>
  <c r="BA20" i="847" a="1"/>
  <c r="AZ20" i="847" a="1"/>
  <c r="AX20" i="847"/>
  <c r="AC121" i="847"/>
  <c r="AC122" i="847"/>
  <c r="AC123" i="847"/>
  <c r="AC119" i="847"/>
  <c r="AC118" i="847"/>
  <c r="AC219" i="847"/>
  <c r="AC218" i="847"/>
  <c r="AC117" i="847"/>
  <c r="AC23" i="847"/>
  <c r="AC27" i="847"/>
  <c r="AC21" i="847"/>
  <c r="AC217" i="847"/>
  <c r="AC24" i="847"/>
  <c r="I3" i="847"/>
  <c r="AC26" i="847"/>
  <c r="AC20" i="847"/>
  <c r="AC216" i="847"/>
  <c r="AC215" i="847"/>
  <c r="AC214" i="847"/>
  <c r="AC25" i="847"/>
  <c r="AC120" i="847"/>
  <c r="AC22" i="847"/>
  <c r="AZ157" i="844" a="1"/>
  <c r="AZ155" i="844" a="1"/>
  <c r="AZ156" i="844" a="1"/>
  <c r="AZ159" i="844" a="1"/>
  <c r="AZ158" i="844" a="1"/>
  <c r="AZ37" i="844" a="1"/>
  <c r="AZ43" i="844" a="1"/>
  <c r="AZ53" i="844" a="1"/>
  <c r="AZ60" i="844" a="1"/>
  <c r="AZ69" i="844" a="1"/>
  <c r="AZ77" i="844" a="1"/>
  <c r="AZ86" i="844" a="1"/>
  <c r="AZ95" i="844" a="1"/>
  <c r="AZ135" i="844" a="1"/>
  <c r="AZ149" i="844" a="1"/>
  <c r="AZ36" i="844" a="1"/>
  <c r="AZ46" i="844" a="1"/>
  <c r="AZ54" i="844" a="1"/>
  <c r="AZ62" i="844" a="1"/>
  <c r="AZ70" i="844" a="1"/>
  <c r="AZ76" i="844" a="1"/>
  <c r="AZ82" i="844" a="1"/>
  <c r="AZ87" i="844" a="1"/>
  <c r="AZ130" i="844" a="1"/>
  <c r="AZ170" i="844" a="1"/>
  <c r="AZ181" i="844" a="1"/>
  <c r="AZ187" i="844" a="1"/>
  <c r="AZ30" i="844" a="1"/>
  <c r="AZ38" i="844" a="1"/>
  <c r="AZ44" i="844" a="1"/>
  <c r="AZ51" i="844" a="1"/>
  <c r="AZ59" i="844" a="1"/>
  <c r="AZ67" i="844" a="1"/>
  <c r="AZ75" i="844" a="1"/>
  <c r="AZ79" i="844" a="1"/>
  <c r="AZ88" i="844" a="1"/>
  <c r="AZ131" i="844" a="1"/>
  <c r="AZ151" i="844" a="1"/>
  <c r="AZ160" i="844" a="1"/>
  <c r="AZ167" i="844" a="1"/>
  <c r="AZ177" i="844" a="1"/>
  <c r="AZ186" i="844" a="1"/>
  <c r="AZ189" i="844" a="1"/>
  <c r="AZ32" i="844" a="1"/>
  <c r="AZ48" i="844" a="1"/>
  <c r="AZ56" i="844" a="1"/>
  <c r="AZ65" i="844" a="1"/>
  <c r="AZ72" i="844" a="1"/>
  <c r="AZ80" i="844" a="1"/>
  <c r="AZ90" i="844" a="1"/>
  <c r="AZ132" i="844" a="1"/>
  <c r="AZ31" i="844" a="1"/>
  <c r="AZ45" i="844" a="1"/>
  <c r="AZ55" i="844" a="1"/>
  <c r="AZ63" i="844" a="1"/>
  <c r="AZ85" i="844" a="1"/>
  <c r="AZ92" i="844" a="1"/>
  <c r="AZ111" i="844" a="1"/>
  <c r="AZ127" i="844" a="1"/>
  <c r="AZ154" i="844" a="1"/>
  <c r="AZ165" i="844" a="1"/>
  <c r="AZ178" i="844" a="1"/>
  <c r="AZ185" i="844" a="1"/>
  <c r="AZ35" i="844" a="1"/>
  <c r="AZ39" i="844" a="1"/>
  <c r="AZ47" i="844" a="1"/>
  <c r="AZ52" i="844" a="1"/>
  <c r="AZ58" i="844" a="1"/>
  <c r="AZ66" i="844" a="1"/>
  <c r="AZ71" i="844" a="1"/>
  <c r="AZ84" i="844" a="1"/>
  <c r="AZ91" i="844" a="1"/>
  <c r="AZ134" i="844" a="1"/>
  <c r="AZ152" i="844" a="1"/>
  <c r="AZ42" i="844" a="1"/>
  <c r="AZ78" i="844" a="1"/>
  <c r="AZ89" i="844" a="1"/>
  <c r="AZ128" i="844" a="1"/>
  <c r="AZ143" i="844" a="1"/>
  <c r="AZ150" i="844" a="1"/>
  <c r="AZ153" i="844" a="1"/>
  <c r="AZ173" i="844" a="1"/>
  <c r="AZ183" i="844" a="1"/>
  <c r="AZ188" i="844" a="1"/>
  <c r="AZ28" i="844" a="1"/>
  <c r="AZ29" i="844" a="1"/>
  <c r="AZ34" i="844" a="1"/>
  <c r="AZ41" i="844" a="1"/>
  <c r="AZ50" i="844" a="1"/>
  <c r="AZ61" i="844" a="1"/>
  <c r="AZ68" i="844" a="1"/>
  <c r="AZ74" i="844" a="1"/>
  <c r="AZ83" i="844" a="1"/>
  <c r="AZ93" i="844" a="1"/>
  <c r="AZ129" i="844" a="1"/>
  <c r="AZ27" i="844" a="1"/>
  <c r="AZ33" i="844" a="1"/>
  <c r="AZ40" i="844" a="1"/>
  <c r="AZ49" i="844" a="1"/>
  <c r="AZ57" i="844" a="1"/>
  <c r="AZ64" i="844" a="1"/>
  <c r="AZ73" i="844" a="1"/>
  <c r="AZ81" i="844" a="1"/>
  <c r="AZ94" i="844" a="1"/>
  <c r="AZ133" i="844" a="1"/>
  <c r="AZ104" i="844" a="1"/>
  <c r="H3" i="844"/>
  <c r="I3" i="844" s="1"/>
  <c r="AX178" i="844"/>
  <c r="AX186" i="844"/>
  <c r="AX187" i="844"/>
  <c r="AX183" i="844"/>
  <c r="AX188" i="844"/>
  <c r="AX181" i="844"/>
  <c r="AX185" i="844"/>
  <c r="AX155" i="844"/>
  <c r="AX189" i="844"/>
  <c r="AX28" i="844"/>
  <c r="Z31" i="844"/>
  <c r="Z33" i="844"/>
  <c r="Z45" i="844"/>
  <c r="Z47" i="844"/>
  <c r="Z49" i="844"/>
  <c r="AX50" i="844"/>
  <c r="Z62" i="844"/>
  <c r="Z64" i="844"/>
  <c r="AX66" i="844"/>
  <c r="Z75" i="844"/>
  <c r="Z84" i="844"/>
  <c r="AX86" i="844"/>
  <c r="AX87" i="844"/>
  <c r="AX104" i="844"/>
  <c r="Y105" i="844"/>
  <c r="Y107" i="844"/>
  <c r="Y109" i="844"/>
  <c r="Y110" i="844"/>
  <c r="AX111" i="844"/>
  <c r="Y112" i="844"/>
  <c r="Y115" i="844"/>
  <c r="Z119" i="844"/>
  <c r="Z121" i="844"/>
  <c r="Z128" i="844"/>
  <c r="AX129" i="844"/>
  <c r="Z130" i="844"/>
  <c r="AX130" i="844"/>
  <c r="Z131" i="844"/>
  <c r="Z136" i="844"/>
  <c r="Y137" i="844"/>
  <c r="Y139" i="844"/>
  <c r="Y141" i="844"/>
  <c r="AX149" i="844"/>
  <c r="AX160" i="844"/>
  <c r="Z161" i="844"/>
  <c r="Y162" i="844"/>
  <c r="Z169" i="844"/>
  <c r="AX177" i="844"/>
  <c r="Z194" i="844"/>
  <c r="Z200" i="844"/>
  <c r="Y201" i="844"/>
  <c r="Y218" i="844"/>
  <c r="Z178" i="844"/>
  <c r="Y179" i="844"/>
  <c r="Z179" i="844"/>
  <c r="Y180" i="844"/>
  <c r="Z180" i="844"/>
  <c r="Z181" i="844"/>
  <c r="Y182" i="844"/>
  <c r="Z182" i="844"/>
  <c r="Z183" i="844"/>
  <c r="Y184" i="844"/>
  <c r="Z184" i="844"/>
  <c r="Z185" i="844"/>
  <c r="Z186" i="844"/>
  <c r="Z187" i="844"/>
  <c r="Z188" i="844"/>
  <c r="Z189" i="844"/>
  <c r="Y190" i="844"/>
  <c r="Z190" i="844"/>
  <c r="Y191" i="844"/>
  <c r="Z191" i="844"/>
  <c r="Y192" i="844"/>
  <c r="Z192" i="844"/>
  <c r="Y193" i="844"/>
  <c r="Z193" i="844"/>
  <c r="Y203" i="844"/>
  <c r="Y212" i="844"/>
  <c r="Z217" i="844"/>
  <c r="AX32" i="844"/>
  <c r="AX35" i="844"/>
  <c r="AX38" i="844"/>
  <c r="AX39" i="844"/>
  <c r="Z40" i="844"/>
  <c r="Z42" i="844"/>
  <c r="AX48" i="844"/>
  <c r="AX52" i="844"/>
  <c r="Z57" i="844"/>
  <c r="AX64" i="844"/>
  <c r="AX67" i="844"/>
  <c r="AX79" i="844"/>
  <c r="Z80" i="844"/>
  <c r="AX83" i="844"/>
  <c r="AX89" i="844"/>
  <c r="Z90" i="844"/>
  <c r="AX95" i="844"/>
  <c r="Y96" i="844"/>
  <c r="Y99" i="844"/>
  <c r="Z101" i="844"/>
  <c r="Z110" i="844"/>
  <c r="Y114" i="844"/>
  <c r="Y116" i="844"/>
  <c r="Y117" i="844"/>
  <c r="Z118" i="844"/>
  <c r="Y124" i="844"/>
  <c r="AX131" i="844"/>
  <c r="Y138" i="844"/>
  <c r="Y140" i="844"/>
  <c r="Z142" i="844"/>
  <c r="Z143" i="844"/>
  <c r="AX152" i="844"/>
  <c r="Z158" i="844"/>
  <c r="Y168" i="844"/>
  <c r="Z172" i="844"/>
  <c r="Y202" i="844"/>
  <c r="Z204" i="844"/>
  <c r="Y206" i="844"/>
  <c r="Z209" i="844"/>
  <c r="Z215" i="844"/>
  <c r="Z27" i="844"/>
  <c r="Z29" i="844"/>
  <c r="AX34" i="844"/>
  <c r="AX46" i="844"/>
  <c r="Z51" i="844"/>
  <c r="AX53" i="844"/>
  <c r="AX62" i="844"/>
  <c r="AX65" i="844"/>
  <c r="Z66" i="844"/>
  <c r="Z68" i="844"/>
  <c r="AX71" i="844"/>
  <c r="Z72" i="844"/>
  <c r="AX78" i="844"/>
  <c r="AX88" i="844"/>
  <c r="Z89" i="844"/>
  <c r="Z92" i="844"/>
  <c r="Z96" i="844"/>
  <c r="Z99" i="844"/>
  <c r="Y106" i="844"/>
  <c r="Z111" i="844"/>
  <c r="Z113" i="844"/>
  <c r="Z116" i="844"/>
  <c r="Z125" i="844"/>
  <c r="Z134" i="844"/>
  <c r="Z137" i="844"/>
  <c r="Z153" i="844"/>
  <c r="AX154" i="844"/>
  <c r="Z155" i="844"/>
  <c r="AX158" i="844"/>
  <c r="Y161" i="844"/>
  <c r="Y163" i="844"/>
  <c r="Z175" i="844"/>
  <c r="Z196" i="844"/>
  <c r="Y198" i="844"/>
  <c r="Y200" i="844"/>
  <c r="Z211" i="844"/>
  <c r="Z36" i="844"/>
  <c r="AX37" i="844"/>
  <c r="Z38" i="844"/>
  <c r="Z50" i="844"/>
  <c r="Z53" i="844"/>
  <c r="AX55" i="844"/>
  <c r="Z56" i="844"/>
  <c r="Z61" i="844"/>
  <c r="Z65" i="844"/>
  <c r="Z78" i="844"/>
  <c r="Z82" i="844"/>
  <c r="AX82" i="844"/>
  <c r="AX85" i="844"/>
  <c r="Z86" i="844"/>
  <c r="AX92" i="844"/>
  <c r="Z93" i="844"/>
  <c r="Z95" i="844"/>
  <c r="Y98" i="844"/>
  <c r="Z100" i="844"/>
  <c r="Z102" i="844"/>
  <c r="Y103" i="844"/>
  <c r="Z104" i="844"/>
  <c r="Z114" i="844"/>
  <c r="Y119" i="844"/>
  <c r="Y121" i="844"/>
  <c r="Z132" i="844"/>
  <c r="Z147" i="844"/>
  <c r="Z148" i="844"/>
  <c r="AX150" i="844"/>
  <c r="AX153" i="844"/>
  <c r="Z167" i="844"/>
  <c r="Z170" i="844"/>
  <c r="Y176" i="844"/>
  <c r="Y194" i="844"/>
  <c r="Z201" i="844"/>
  <c r="Y204" i="844"/>
  <c r="Y207" i="844"/>
  <c r="Y209" i="844"/>
  <c r="Y211" i="844"/>
  <c r="Y213" i="844"/>
  <c r="Y214" i="844"/>
  <c r="AX29" i="844"/>
  <c r="AX31" i="844"/>
  <c r="Z39" i="844"/>
  <c r="AX42" i="844"/>
  <c r="AX43" i="844"/>
  <c r="AX49" i="844"/>
  <c r="Z60" i="844"/>
  <c r="Z67" i="844"/>
  <c r="Z70" i="844"/>
  <c r="Z74" i="844"/>
  <c r="AX77" i="844"/>
  <c r="AX80" i="844"/>
  <c r="Z81" i="844"/>
  <c r="AX90" i="844"/>
  <c r="AX91" i="844"/>
  <c r="AX94" i="844"/>
  <c r="Z98" i="844"/>
  <c r="Y100" i="844"/>
  <c r="Z108" i="844"/>
  <c r="Z109" i="844"/>
  <c r="Z112" i="844"/>
  <c r="Z117" i="844"/>
  <c r="Z122" i="844"/>
  <c r="Z123" i="844"/>
  <c r="Y125" i="844"/>
  <c r="AX128" i="844"/>
  <c r="Z133" i="844"/>
  <c r="Z139" i="844"/>
  <c r="Z144" i="844"/>
  <c r="Z146" i="844"/>
  <c r="Y148" i="844"/>
  <c r="Z150" i="844"/>
  <c r="Z154" i="844"/>
  <c r="AX157" i="844"/>
  <c r="Z164" i="844"/>
  <c r="Z165" i="844"/>
  <c r="Z166" i="844"/>
  <c r="AX170" i="844"/>
  <c r="Y171" i="844"/>
  <c r="Z173" i="844"/>
  <c r="Y175" i="844"/>
  <c r="Z195" i="844"/>
  <c r="Z202" i="844"/>
  <c r="Y208" i="844"/>
  <c r="Z210" i="844"/>
  <c r="Y216" i="844"/>
  <c r="Z218" i="844"/>
  <c r="AX45" i="844"/>
  <c r="AX54" i="844"/>
  <c r="AX58" i="844"/>
  <c r="Z59" i="844"/>
  <c r="AX61" i="844"/>
  <c r="Z69" i="844"/>
  <c r="AX69" i="844"/>
  <c r="AX72" i="844"/>
  <c r="Z76" i="844"/>
  <c r="Z79" i="844"/>
  <c r="Z83" i="844"/>
  <c r="AX93" i="844"/>
  <c r="Y120" i="844"/>
  <c r="Y122" i="844"/>
  <c r="Y126" i="844"/>
  <c r="AX127" i="844"/>
  <c r="AX134" i="844"/>
  <c r="Z135" i="844"/>
  <c r="Z138" i="844"/>
  <c r="Z145" i="844"/>
  <c r="Z151" i="844"/>
  <c r="AX156" i="844"/>
  <c r="Z157" i="844"/>
  <c r="Z163" i="844"/>
  <c r="AX165" i="844"/>
  <c r="Y166" i="844"/>
  <c r="AX167" i="844"/>
  <c r="Z168" i="844"/>
  <c r="Y196" i="844"/>
  <c r="Z198" i="844"/>
  <c r="Z199" i="844"/>
  <c r="Y205" i="844"/>
  <c r="Z207" i="844"/>
  <c r="Y210" i="844"/>
  <c r="Z212" i="844"/>
  <c r="Z214" i="844"/>
  <c r="Z28" i="844"/>
  <c r="Z30" i="844"/>
  <c r="AX30" i="844"/>
  <c r="Z35" i="844"/>
  <c r="AX36" i="844"/>
  <c r="Z43" i="844"/>
  <c r="Z52" i="844"/>
  <c r="Z55" i="844"/>
  <c r="Z58" i="844"/>
  <c r="AX60" i="844"/>
  <c r="Z63" i="844"/>
  <c r="AX68" i="844"/>
  <c r="AX74" i="844"/>
  <c r="Z87" i="844"/>
  <c r="Z88" i="844"/>
  <c r="Z91" i="844"/>
  <c r="Z94" i="844"/>
  <c r="Z105" i="844"/>
  <c r="Y113" i="844"/>
  <c r="Z124" i="844"/>
  <c r="AX132" i="844"/>
  <c r="AX133" i="844"/>
  <c r="Y142" i="844"/>
  <c r="Y145" i="844"/>
  <c r="Y147" i="844"/>
  <c r="Z156" i="844"/>
  <c r="Z162" i="844"/>
  <c r="Y169" i="844"/>
  <c r="Z171" i="844"/>
  <c r="Z197" i="844"/>
  <c r="Z203" i="844"/>
  <c r="Z208" i="844"/>
  <c r="Z216" i="844"/>
  <c r="Y217" i="844"/>
  <c r="Y219" i="844"/>
  <c r="AX73" i="844"/>
  <c r="Z85" i="844"/>
  <c r="Z32" i="844"/>
  <c r="AX33" i="844"/>
  <c r="Z34" i="844"/>
  <c r="Z37" i="844"/>
  <c r="AX40" i="844"/>
  <c r="Z41" i="844"/>
  <c r="Z44" i="844"/>
  <c r="Z46" i="844"/>
  <c r="AX47" i="844"/>
  <c r="Z48" i="844"/>
  <c r="AX51" i="844"/>
  <c r="AX56" i="844"/>
  <c r="AX59" i="844"/>
  <c r="AX70" i="844"/>
  <c r="Z71" i="844"/>
  <c r="Z73" i="844"/>
  <c r="AX75" i="844"/>
  <c r="AX84" i="844"/>
  <c r="Y97" i="844"/>
  <c r="Y101" i="844"/>
  <c r="Y102" i="844"/>
  <c r="Z103" i="844"/>
  <c r="Z106" i="844"/>
  <c r="Y108" i="844"/>
  <c r="Z115" i="844"/>
  <c r="Y118" i="844"/>
  <c r="Z120" i="844"/>
  <c r="Y123" i="844"/>
  <c r="Z126" i="844"/>
  <c r="Z129" i="844"/>
  <c r="AX135" i="844"/>
  <c r="Y136" i="844"/>
  <c r="Z140" i="844"/>
  <c r="AX151" i="844"/>
  <c r="Z152" i="844"/>
  <c r="Z160" i="844"/>
  <c r="Z174" i="844"/>
  <c r="Z177" i="844"/>
  <c r="Y195" i="844"/>
  <c r="Y197" i="844"/>
  <c r="Y199" i="844"/>
  <c r="Z206" i="844"/>
  <c r="Z213" i="844"/>
  <c r="Z219" i="844"/>
  <c r="AX27" i="844"/>
  <c r="AX41" i="844"/>
  <c r="AX44" i="844"/>
  <c r="Z54" i="844"/>
  <c r="AX57" i="844"/>
  <c r="AX63" i="844"/>
  <c r="AX76" i="844"/>
  <c r="Z77" i="844"/>
  <c r="AX81" i="844"/>
  <c r="Z97" i="844"/>
  <c r="Z107" i="844"/>
  <c r="Z127" i="844"/>
  <c r="Z141" i="844"/>
  <c r="AX143" i="844"/>
  <c r="Y144" i="844"/>
  <c r="Y146" i="844"/>
  <c r="Z149" i="844"/>
  <c r="Z159" i="844"/>
  <c r="AX159" i="844"/>
  <c r="Y164" i="844"/>
  <c r="Y172" i="844"/>
  <c r="AX173" i="844"/>
  <c r="Y174" i="844"/>
  <c r="Z176" i="844"/>
  <c r="Z205" i="844"/>
  <c r="Y215" i="844"/>
  <c r="G10" i="834"/>
  <c r="G11" i="834"/>
  <c r="AV181" i="825"/>
  <c r="AV180" i="825"/>
  <c r="AV179" i="825"/>
  <c r="AV178" i="825"/>
  <c r="AV177" i="825"/>
  <c r="AV176" i="825"/>
  <c r="AV175" i="825"/>
  <c r="AV174" i="825"/>
  <c r="AV173" i="825"/>
  <c r="AV172" i="825"/>
  <c r="AV171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AV170" i="825"/>
  <c r="AV169" i="825"/>
  <c r="K9" i="825"/>
  <c r="K8" i="825"/>
  <c r="AE8" i="825"/>
  <c r="AD8" i="825"/>
  <c r="AL8" i="825"/>
  <c r="AB8" i="825"/>
  <c r="R8" i="840"/>
  <c r="R205" i="840"/>
  <c r="Q208" i="840"/>
  <c r="U208" i="840"/>
  <c r="O208" i="840"/>
  <c r="AV182" i="825"/>
  <c r="AV168" i="825"/>
  <c r="AV167" i="825"/>
  <c r="AV166" i="825"/>
  <c r="AV165" i="825"/>
  <c r="AV164" i="825"/>
  <c r="AV159" i="825"/>
  <c r="AV158" i="825"/>
  <c r="AV157" i="825"/>
  <c r="AV156" i="825"/>
  <c r="AV155" i="825"/>
  <c r="AV154" i="825"/>
  <c r="AV153" i="825"/>
  <c r="AV152" i="825"/>
  <c r="AV151" i="825"/>
  <c r="AV150" i="825"/>
  <c r="AV149" i="825"/>
  <c r="AV148" i="825"/>
  <c r="AV147" i="825"/>
  <c r="AV146" i="825"/>
  <c r="AV145" i="825"/>
  <c r="AV163" i="825"/>
  <c r="AV162" i="825"/>
  <c r="AV161" i="825"/>
  <c r="AV160" i="825"/>
  <c r="R124" i="840"/>
  <c r="R188" i="840"/>
  <c r="R162" i="840"/>
  <c r="R73" i="840"/>
  <c r="R80" i="840"/>
  <c r="R74" i="840"/>
  <c r="R66" i="840"/>
  <c r="R58" i="840"/>
  <c r="R56" i="840"/>
  <c r="R47" i="840"/>
  <c r="R43" i="840"/>
  <c r="R35" i="840"/>
  <c r="R23" i="840"/>
  <c r="R20" i="840"/>
  <c r="R12" i="840"/>
  <c r="R118" i="840"/>
  <c r="R116" i="840"/>
  <c r="R105" i="840"/>
  <c r="R90" i="840"/>
  <c r="R81" i="840"/>
  <c r="R79" i="840"/>
  <c r="R77" i="840"/>
  <c r="R70" i="840"/>
  <c r="R44" i="840"/>
  <c r="R37" i="840"/>
  <c r="R34" i="840"/>
  <c r="R30" i="840"/>
  <c r="R127" i="840"/>
  <c r="R125" i="840"/>
  <c r="R119" i="840"/>
  <c r="R102" i="840"/>
  <c r="R98" i="840"/>
  <c r="R89" i="840"/>
  <c r="R82" i="840"/>
  <c r="R76" i="840"/>
  <c r="R26" i="840"/>
  <c r="R153" i="840"/>
  <c r="R140" i="840"/>
  <c r="R122" i="840"/>
  <c r="R106" i="840"/>
  <c r="R103" i="840"/>
  <c r="R94" i="840"/>
  <c r="R69" i="840"/>
  <c r="R45" i="840"/>
  <c r="R41" i="840"/>
  <c r="R33" i="840"/>
  <c r="R28" i="840"/>
  <c r="R19" i="840"/>
  <c r="R14" i="840"/>
  <c r="R10" i="840"/>
  <c r="R176" i="840"/>
  <c r="R165" i="840"/>
  <c r="R157" i="840"/>
  <c r="R146" i="840"/>
  <c r="R101" i="840"/>
  <c r="R99" i="840"/>
  <c r="R88" i="840"/>
  <c r="R86" i="840"/>
  <c r="R75" i="840"/>
  <c r="R61" i="840"/>
  <c r="R46" i="840"/>
  <c r="R11" i="840"/>
  <c r="R185" i="840"/>
  <c r="R181" i="840"/>
  <c r="R180" i="840"/>
  <c r="R179" i="840"/>
  <c r="R177" i="840"/>
  <c r="R173" i="840"/>
  <c r="R172" i="840"/>
  <c r="R169" i="840"/>
  <c r="R168" i="840"/>
  <c r="R167" i="840"/>
  <c r="R166" i="840"/>
  <c r="R164" i="840"/>
  <c r="R160" i="840"/>
  <c r="R145" i="840"/>
  <c r="R141" i="840"/>
  <c r="R137" i="840"/>
  <c r="R121" i="840"/>
  <c r="R91" i="840"/>
  <c r="R71" i="840"/>
  <c r="R64" i="840"/>
  <c r="R62" i="840"/>
  <c r="R59" i="840"/>
  <c r="R48" i="840"/>
  <c r="R27" i="840"/>
  <c r="R18" i="840"/>
  <c r="R16" i="840"/>
  <c r="R9" i="840"/>
  <c r="R163" i="840"/>
  <c r="R154" i="840"/>
  <c r="R148" i="840"/>
  <c r="R144" i="840"/>
  <c r="R135" i="840"/>
  <c r="R133" i="840"/>
  <c r="R132" i="840"/>
  <c r="R130" i="840"/>
  <c r="R113" i="840"/>
  <c r="R110" i="840"/>
  <c r="R104" i="840"/>
  <c r="R85" i="840"/>
  <c r="R63" i="840"/>
  <c r="R55" i="840"/>
  <c r="R29" i="840"/>
  <c r="R24" i="840"/>
  <c r="R22" i="840"/>
  <c r="R159" i="840"/>
  <c r="R143" i="840"/>
  <c r="R136" i="840"/>
  <c r="R126" i="840"/>
  <c r="R114" i="840"/>
  <c r="R108" i="840"/>
  <c r="R107" i="840"/>
  <c r="R97" i="840"/>
  <c r="R96" i="840"/>
  <c r="R84" i="840"/>
  <c r="R67" i="840"/>
  <c r="R60" i="840"/>
  <c r="R54" i="840"/>
  <c r="R51" i="840"/>
  <c r="R50" i="840"/>
  <c r="R31" i="840"/>
  <c r="R17" i="840"/>
  <c r="R13" i="840"/>
  <c r="R193" i="840"/>
  <c r="R187" i="840"/>
  <c r="R184" i="840"/>
  <c r="R178" i="840"/>
  <c r="R170" i="840"/>
  <c r="R161" i="840"/>
  <c r="R156" i="840"/>
  <c r="R155" i="840"/>
  <c r="R152" i="840"/>
  <c r="R149" i="840"/>
  <c r="R147" i="840"/>
  <c r="R128" i="840"/>
  <c r="R123" i="840"/>
  <c r="R117" i="840"/>
  <c r="R111" i="840"/>
  <c r="R109" i="840"/>
  <c r="R100" i="840"/>
  <c r="R95" i="840"/>
  <c r="R83" i="840"/>
  <c r="R72" i="840"/>
  <c r="R65" i="840"/>
  <c r="R57" i="840"/>
  <c r="R52" i="840"/>
  <c r="R49" i="840"/>
  <c r="R42" i="840"/>
  <c r="R40" i="840"/>
  <c r="R36" i="840"/>
  <c r="R32" i="840"/>
  <c r="R25" i="840"/>
  <c r="R21" i="840"/>
  <c r="R151" i="840"/>
  <c r="R139" i="840"/>
  <c r="R138" i="840"/>
  <c r="R134" i="840"/>
  <c r="R92" i="840"/>
  <c r="R39" i="840"/>
  <c r="R38" i="840"/>
  <c r="R15" i="840"/>
  <c r="R207" i="840"/>
  <c r="R206" i="840"/>
  <c r="R204" i="840"/>
  <c r="R203" i="840"/>
  <c r="R202" i="840"/>
  <c r="R201" i="840"/>
  <c r="R200" i="840"/>
  <c r="R199" i="840"/>
  <c r="R198" i="840"/>
  <c r="R197" i="840"/>
  <c r="R196" i="840"/>
  <c r="R195" i="840"/>
  <c r="R194" i="840"/>
  <c r="R192" i="840"/>
  <c r="R191" i="840"/>
  <c r="R190" i="840"/>
  <c r="R189" i="840"/>
  <c r="R186" i="840"/>
  <c r="R183" i="840"/>
  <c r="R182" i="840"/>
  <c r="R175" i="840"/>
  <c r="R174" i="840"/>
  <c r="R171" i="840"/>
  <c r="R158" i="840"/>
  <c r="R150" i="840"/>
  <c r="R142" i="840"/>
  <c r="R131" i="840"/>
  <c r="R129" i="840"/>
  <c r="R120" i="840"/>
  <c r="R115" i="840"/>
  <c r="R112" i="840"/>
  <c r="R93" i="840"/>
  <c r="R87" i="840"/>
  <c r="R78" i="840"/>
  <c r="R68" i="840"/>
  <c r="R53" i="840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AQ87" i="841"/>
  <c r="E9" i="841"/>
  <c r="AQ44" i="841"/>
  <c r="AQ9" i="841"/>
  <c r="AQ43" i="841"/>
  <c r="AQ45" i="841"/>
  <c r="AQ51" i="841"/>
  <c r="AQ50" i="841"/>
  <c r="AQ12" i="841"/>
  <c r="AQ10" i="841"/>
  <c r="AQ47" i="841"/>
  <c r="AQ46" i="841"/>
  <c r="AQ15" i="841"/>
  <c r="AQ11" i="841"/>
  <c r="AQ48" i="841"/>
  <c r="AQ13" i="841"/>
  <c r="AQ49" i="841"/>
  <c r="AQ14" i="841"/>
  <c r="AQ85" i="841"/>
  <c r="AQ41" i="841"/>
  <c r="AQ42" i="841"/>
  <c r="AQ40" i="841"/>
  <c r="AQ39" i="841"/>
  <c r="AQ86" i="841"/>
  <c r="AQ83" i="841"/>
  <c r="AQ84" i="841"/>
  <c r="AQ81" i="841"/>
  <c r="AQ82" i="841"/>
  <c r="AQ79" i="841"/>
  <c r="AQ80" i="841"/>
  <c r="AQ78" i="841"/>
  <c r="AQ77" i="841"/>
  <c r="AQ53" i="841"/>
  <c r="AQ52" i="841"/>
  <c r="AQ21" i="841"/>
  <c r="AQ20" i="841"/>
  <c r="AQ17" i="841"/>
  <c r="AQ22" i="841"/>
  <c r="AQ19" i="841"/>
  <c r="AQ16" i="841"/>
  <c r="AQ72" i="841"/>
  <c r="AQ18" i="841"/>
  <c r="AQ56" i="841"/>
  <c r="AQ55" i="841"/>
  <c r="AQ54" i="841"/>
  <c r="AQ24" i="841"/>
  <c r="AQ23" i="841"/>
  <c r="X92" i="841"/>
  <c r="X91" i="841"/>
  <c r="X90" i="841"/>
  <c r="Y89" i="841"/>
  <c r="X89" i="841"/>
  <c r="V89" i="841"/>
  <c r="U89" i="841"/>
  <c r="AD88" i="841"/>
  <c r="AC88" i="841"/>
  <c r="X88" i="841"/>
  <c r="M88" i="841"/>
  <c r="AT87" i="841"/>
  <c r="AO87" i="841"/>
  <c r="AB87" i="841"/>
  <c r="AT86" i="841"/>
  <c r="AO86" i="841"/>
  <c r="AB86" i="841"/>
  <c r="AT85" i="841"/>
  <c r="AO85" i="841"/>
  <c r="AB85" i="841"/>
  <c r="AT84" i="841"/>
  <c r="AO84" i="841"/>
  <c r="AB84" i="841"/>
  <c r="AT83" i="841"/>
  <c r="AO83" i="841"/>
  <c r="AB83" i="841"/>
  <c r="AT82" i="841"/>
  <c r="AO82" i="841"/>
  <c r="AB82" i="841"/>
  <c r="AT81" i="841"/>
  <c r="AO81" i="841"/>
  <c r="AB81" i="841"/>
  <c r="AT80" i="841"/>
  <c r="AO80" i="841"/>
  <c r="AB80" i="841"/>
  <c r="AT79" i="841"/>
  <c r="AO79" i="841"/>
  <c r="AB79" i="841"/>
  <c r="AT78" i="841"/>
  <c r="AO78" i="841"/>
  <c r="AB78" i="841"/>
  <c r="AT77" i="841"/>
  <c r="AO77" i="841"/>
  <c r="AT76" i="841"/>
  <c r="AQ76" i="841"/>
  <c r="AP76" i="841" s="1"/>
  <c r="AB75" i="841"/>
  <c r="AB74" i="841"/>
  <c r="AQ73" i="841"/>
  <c r="AP73" i="841" s="1"/>
  <c r="AT72" i="841"/>
  <c r="AO70" i="841"/>
  <c r="AT68" i="841"/>
  <c r="AQ67" i="841"/>
  <c r="AP67" i="841" s="1"/>
  <c r="AT65" i="841"/>
  <c r="AO62" i="841"/>
  <c r="AB58" i="841"/>
  <c r="AQ37" i="841"/>
  <c r="AP37" i="841" s="1"/>
  <c r="AQ35" i="841"/>
  <c r="AP35" i="841" s="1"/>
  <c r="AB35" i="841"/>
  <c r="AT34" i="841"/>
  <c r="AO34" i="841"/>
  <c r="AB32" i="841"/>
  <c r="AQ28" i="841"/>
  <c r="AP28" i="841" s="1"/>
  <c r="AT27" i="841"/>
  <c r="AV8" i="841"/>
  <c r="AS8" i="841"/>
  <c r="AG8" i="841"/>
  <c r="AT56" i="841"/>
  <c r="AO56" i="841"/>
  <c r="AB56" i="841"/>
  <c r="AT55" i="841"/>
  <c r="AO55" i="841"/>
  <c r="AB55" i="841"/>
  <c r="AT54" i="841"/>
  <c r="AO54" i="841"/>
  <c r="AB54" i="841"/>
  <c r="AT53" i="841"/>
  <c r="AO53" i="841"/>
  <c r="AB53" i="841"/>
  <c r="AT52" i="841"/>
  <c r="AO52" i="841"/>
  <c r="AB52" i="841"/>
  <c r="AT51" i="841"/>
  <c r="AO51" i="841"/>
  <c r="AB51" i="841"/>
  <c r="AT50" i="841"/>
  <c r="AO50" i="841"/>
  <c r="AB50" i="841"/>
  <c r="AT49" i="841"/>
  <c r="AO49" i="841"/>
  <c r="AB49" i="841"/>
  <c r="AT48" i="841"/>
  <c r="AO48" i="841"/>
  <c r="AB48" i="841"/>
  <c r="AT47" i="841"/>
  <c r="AO47" i="841"/>
  <c r="AB47" i="841"/>
  <c r="AT46" i="841"/>
  <c r="AO46" i="841"/>
  <c r="AB46" i="841"/>
  <c r="AT45" i="841"/>
  <c r="AO45" i="841"/>
  <c r="AB45" i="841"/>
  <c r="AT44" i="841"/>
  <c r="AO44" i="841"/>
  <c r="AB44" i="841"/>
  <c r="AT43" i="841"/>
  <c r="AO43" i="841"/>
  <c r="AB43" i="841"/>
  <c r="AT42" i="841"/>
  <c r="AO42" i="841"/>
  <c r="AB42" i="841"/>
  <c r="AT41" i="841"/>
  <c r="AO41" i="841"/>
  <c r="AB41" i="841"/>
  <c r="AT40" i="841"/>
  <c r="AO40" i="841"/>
  <c r="AB40" i="841"/>
  <c r="AT39" i="841"/>
  <c r="AO39" i="841"/>
  <c r="AB39" i="841"/>
  <c r="AQ38" i="841"/>
  <c r="AP38" i="841" s="1"/>
  <c r="AT37" i="841"/>
  <c r="AT35" i="841"/>
  <c r="AQ34" i="841"/>
  <c r="AP34" i="841" s="1"/>
  <c r="AB34" i="841"/>
  <c r="AB33" i="841"/>
  <c r="AB30" i="841"/>
  <c r="AT28" i="841"/>
  <c r="AO28" i="841"/>
  <c r="AT25" i="841"/>
  <c r="AB25" i="841"/>
  <c r="AT24" i="841"/>
  <c r="AO24" i="841"/>
  <c r="AB24" i="841"/>
  <c r="AT23" i="841"/>
  <c r="AO23" i="841"/>
  <c r="AB23" i="841"/>
  <c r="AT22" i="841"/>
  <c r="AO22" i="841"/>
  <c r="AB22" i="841"/>
  <c r="AT21" i="841"/>
  <c r="AO21" i="841"/>
  <c r="AB21" i="841"/>
  <c r="AT20" i="841"/>
  <c r="AO20" i="841"/>
  <c r="AB20" i="841"/>
  <c r="AT19" i="841"/>
  <c r="AO19" i="841"/>
  <c r="AB19" i="841"/>
  <c r="AT18" i="841"/>
  <c r="AO18" i="841"/>
  <c r="AB18" i="841"/>
  <c r="AT17" i="841"/>
  <c r="AO17" i="841"/>
  <c r="AB17" i="841"/>
  <c r="AT16" i="841"/>
  <c r="AO16" i="841"/>
  <c r="AB16" i="841"/>
  <c r="AT15" i="841"/>
  <c r="AO15" i="841"/>
  <c r="AB15" i="841"/>
  <c r="AT14" i="841"/>
  <c r="AO14" i="841"/>
  <c r="AB14" i="841"/>
  <c r="AT13" i="841"/>
  <c r="AO13" i="841"/>
  <c r="AB13" i="841"/>
  <c r="AT12" i="841"/>
  <c r="AO12" i="841"/>
  <c r="AB12" i="841"/>
  <c r="AT11" i="841"/>
  <c r="AO11" i="841"/>
  <c r="AB11" i="841"/>
  <c r="AT10" i="841"/>
  <c r="AO10" i="841"/>
  <c r="AB10" i="841"/>
  <c r="E10" i="841"/>
  <c r="AT9" i="841"/>
  <c r="AO9" i="841"/>
  <c r="AB9" i="841"/>
  <c r="AN8" i="841"/>
  <c r="AF8" i="841"/>
  <c r="AO76" i="841"/>
  <c r="AB76" i="841"/>
  <c r="AQ75" i="841"/>
  <c r="AP75" i="841" s="1"/>
  <c r="AO75" i="841"/>
  <c r="AO74" i="841"/>
  <c r="AO73" i="841"/>
  <c r="AB72" i="841"/>
  <c r="AQ71" i="841"/>
  <c r="AP71" i="841" s="1"/>
  <c r="AT70" i="841"/>
  <c r="AO69" i="841"/>
  <c r="AO67" i="841"/>
  <c r="AQ66" i="841"/>
  <c r="AP66" i="841" s="1"/>
  <c r="AO66" i="841"/>
  <c r="AT64" i="841"/>
  <c r="AB64" i="841"/>
  <c r="AB62" i="841"/>
  <c r="AT61" i="841"/>
  <c r="AQ61" i="841"/>
  <c r="AP61" i="841" s="1"/>
  <c r="AO61" i="841"/>
  <c r="AQ60" i="841"/>
  <c r="AP60" i="841" s="1"/>
  <c r="AO60" i="841"/>
  <c r="AB60" i="841"/>
  <c r="AT59" i="841"/>
  <c r="AQ59" i="841"/>
  <c r="AP59" i="841" s="1"/>
  <c r="AO59" i="841"/>
  <c r="AT58" i="841"/>
  <c r="AQ57" i="841"/>
  <c r="AP57" i="841" s="1"/>
  <c r="AT38" i="841"/>
  <c r="AO38" i="841"/>
  <c r="AB37" i="841"/>
  <c r="AQ36" i="841"/>
  <c r="AP36" i="841" s="1"/>
  <c r="AQ33" i="841"/>
  <c r="AP33" i="841" s="1"/>
  <c r="AT31" i="841"/>
  <c r="AQ31" i="841"/>
  <c r="AP31" i="841" s="1"/>
  <c r="AO27" i="841"/>
  <c r="AO26" i="841"/>
  <c r="AB26" i="841"/>
  <c r="AB77" i="841"/>
  <c r="AT75" i="841"/>
  <c r="AB73" i="841"/>
  <c r="AO72" i="841"/>
  <c r="AT71" i="841"/>
  <c r="AB71" i="841"/>
  <c r="AB70" i="841"/>
  <c r="AB69" i="841"/>
  <c r="AQ68" i="841"/>
  <c r="AP68" i="841" s="1"/>
  <c r="AT67" i="841"/>
  <c r="AQ65" i="841"/>
  <c r="AP65" i="841" s="1"/>
  <c r="AB65" i="841"/>
  <c r="AT63" i="841"/>
  <c r="AQ63" i="841"/>
  <c r="AP63" i="841" s="1"/>
  <c r="AO63" i="841"/>
  <c r="AB63" i="841"/>
  <c r="AQ58" i="841"/>
  <c r="AP58" i="841" s="1"/>
  <c r="AT57" i="841"/>
  <c r="AB38" i="841"/>
  <c r="AO37" i="841"/>
  <c r="AO35" i="841"/>
  <c r="AT33" i="841"/>
  <c r="AO30" i="841"/>
  <c r="AO29" i="841"/>
  <c r="AQ27" i="841"/>
  <c r="AP27" i="841" s="1"/>
  <c r="AB27" i="841"/>
  <c r="K8" i="841"/>
  <c r="AQ69" i="841"/>
  <c r="AP69" i="841" s="1"/>
  <c r="AO68" i="841"/>
  <c r="AT66" i="841"/>
  <c r="AB66" i="841"/>
  <c r="AT62" i="841"/>
  <c r="AQ62" i="841"/>
  <c r="AP62" i="841" s="1"/>
  <c r="AB59" i="841"/>
  <c r="AO58" i="841"/>
  <c r="AT36" i="841"/>
  <c r="AO36" i="841"/>
  <c r="AB36" i="841"/>
  <c r="AO33" i="841"/>
  <c r="AT32" i="841"/>
  <c r="AQ32" i="841"/>
  <c r="AP32" i="841" s="1"/>
  <c r="AB31" i="841"/>
  <c r="AT29" i="841"/>
  <c r="AB28" i="841"/>
  <c r="AT26" i="841"/>
  <c r="AQ26" i="841"/>
  <c r="AP26" i="841" s="1"/>
  <c r="AQ25" i="841"/>
  <c r="AP25" i="841" s="1"/>
  <c r="AE8" i="841"/>
  <c r="AB8" i="841"/>
  <c r="AT74" i="841"/>
  <c r="AQ74" i="841"/>
  <c r="AP74" i="841" s="1"/>
  <c r="AT73" i="841"/>
  <c r="AO71" i="841"/>
  <c r="AQ70" i="841"/>
  <c r="AP70" i="841" s="1"/>
  <c r="AT69" i="841"/>
  <c r="AB68" i="841"/>
  <c r="AB67" i="841"/>
  <c r="AO65" i="841"/>
  <c r="AQ64" i="841"/>
  <c r="AP64" i="841" s="1"/>
  <c r="AO64" i="841"/>
  <c r="AB61" i="841"/>
  <c r="AT60" i="841"/>
  <c r="AO57" i="841"/>
  <c r="AB57" i="841"/>
  <c r="AO32" i="841"/>
  <c r="AO31" i="841"/>
  <c r="AT30" i="841"/>
  <c r="AQ30" i="841"/>
  <c r="AP30" i="841" s="1"/>
  <c r="AQ29" i="841"/>
  <c r="AP29" i="841" s="1"/>
  <c r="AB29" i="841"/>
  <c r="AO25" i="841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I151" i="825"/>
  <c r="BH151" i="825"/>
  <c r="CA204" i="825"/>
  <c r="BZ204" i="825"/>
  <c r="BV204" i="825"/>
  <c r="BX204" i="825"/>
  <c r="BI204" i="825"/>
  <c r="BF204" i="825"/>
  <c r="BH204" i="825"/>
  <c r="BD204" i="825"/>
  <c r="CA203" i="825"/>
  <c r="BZ203" i="825"/>
  <c r="BV203" i="825"/>
  <c r="BX203" i="825"/>
  <c r="BH203" i="825"/>
  <c r="BF203" i="825"/>
  <c r="BD203" i="825"/>
  <c r="BI203" i="825"/>
  <c r="CA202" i="825"/>
  <c r="BZ202" i="825"/>
  <c r="BX202" i="825"/>
  <c r="BV202" i="825"/>
  <c r="BI202" i="825"/>
  <c r="BH202" i="825"/>
  <c r="BD202" i="825"/>
  <c r="BF202" i="825"/>
  <c r="BX201" i="825"/>
  <c r="BZ201" i="825"/>
  <c r="BV201" i="825"/>
  <c r="CA201" i="825"/>
  <c r="BF201" i="825"/>
  <c r="BI201" i="825"/>
  <c r="BH201" i="825"/>
  <c r="BD201" i="825"/>
  <c r="CA200" i="825"/>
  <c r="BV200" i="825"/>
  <c r="BX200" i="825"/>
  <c r="BZ200" i="825"/>
  <c r="BD200" i="825"/>
  <c r="BF200" i="825"/>
  <c r="BH200" i="825"/>
  <c r="BI200" i="825"/>
  <c r="BZ199" i="825"/>
  <c r="CA199" i="825"/>
  <c r="BX199" i="825"/>
  <c r="BV199" i="825"/>
  <c r="BI199" i="825"/>
  <c r="BH199" i="825"/>
  <c r="BF199" i="825"/>
  <c r="BD199" i="825"/>
  <c r="BZ198" i="825"/>
  <c r="BV198" i="825"/>
  <c r="BX198" i="825"/>
  <c r="CA198" i="825"/>
  <c r="BH198" i="825"/>
  <c r="BF198" i="825"/>
  <c r="BD198" i="825"/>
  <c r="BI198" i="825"/>
  <c r="BX197" i="825"/>
  <c r="BV197" i="825"/>
  <c r="CA197" i="825"/>
  <c r="BZ197" i="825"/>
  <c r="BD197" i="825"/>
  <c r="BH197" i="825"/>
  <c r="BI197" i="825"/>
  <c r="BF197" i="825"/>
  <c r="BX196" i="825"/>
  <c r="BV196" i="825"/>
  <c r="BZ196" i="825"/>
  <c r="CA196" i="825"/>
  <c r="BF196" i="825"/>
  <c r="BH196" i="825"/>
  <c r="BD196" i="825"/>
  <c r="BI196" i="825"/>
  <c r="BZ195" i="825"/>
  <c r="CA195" i="825"/>
  <c r="BX195" i="825"/>
  <c r="BV195" i="825"/>
  <c r="BH195" i="825"/>
  <c r="BD195" i="825"/>
  <c r="BF195" i="825"/>
  <c r="BI195" i="825"/>
  <c r="BV194" i="825"/>
  <c r="CA194" i="825"/>
  <c r="BZ194" i="825"/>
  <c r="BX194" i="825"/>
  <c r="BH194" i="825"/>
  <c r="BD194" i="825"/>
  <c r="BI194" i="825"/>
  <c r="BF194" i="825"/>
  <c r="CA193" i="825"/>
  <c r="BZ193" i="825"/>
  <c r="BV193" i="825"/>
  <c r="BX193" i="825"/>
  <c r="BF193" i="825"/>
  <c r="BD193" i="825"/>
  <c r="BH193" i="825"/>
  <c r="BI193" i="825"/>
  <c r="CA192" i="825"/>
  <c r="BZ192" i="825"/>
  <c r="BX192" i="825"/>
  <c r="BV192" i="825"/>
  <c r="BI192" i="825"/>
  <c r="BH192" i="825"/>
  <c r="BF192" i="825"/>
  <c r="BD192" i="825"/>
  <c r="BV191" i="825"/>
  <c r="BZ191" i="825"/>
  <c r="CA191" i="825"/>
  <c r="BX191" i="825"/>
  <c r="BD191" i="825"/>
  <c r="BH191" i="825"/>
  <c r="BF191" i="825"/>
  <c r="BI191" i="825"/>
  <c r="CA190" i="825"/>
  <c r="BZ190" i="825"/>
  <c r="BV190" i="825"/>
  <c r="BX190" i="825"/>
  <c r="BI190" i="825"/>
  <c r="BD190" i="825"/>
  <c r="BH190" i="825"/>
  <c r="BF190" i="825"/>
  <c r="BX189" i="825"/>
  <c r="BV189" i="825"/>
  <c r="BZ189" i="825"/>
  <c r="CA189" i="825"/>
  <c r="BH189" i="825"/>
  <c r="BF189" i="825"/>
  <c r="BD189" i="825"/>
  <c r="BI189" i="825"/>
  <c r="BX188" i="825"/>
  <c r="BV188" i="825"/>
  <c r="BZ188" i="825"/>
  <c r="CA188" i="825"/>
  <c r="BI188" i="825"/>
  <c r="BD188" i="825"/>
  <c r="BF188" i="825"/>
  <c r="BH188" i="825"/>
  <c r="BZ187" i="825"/>
  <c r="BX187" i="825"/>
  <c r="BV187" i="825"/>
  <c r="CA187" i="825"/>
  <c r="BH187" i="825"/>
  <c r="BF187" i="825"/>
  <c r="BD187" i="825"/>
  <c r="BI187" i="825"/>
  <c r="CA186" i="825"/>
  <c r="BZ186" i="825"/>
  <c r="BX186" i="825"/>
  <c r="BV186" i="825"/>
  <c r="BI186" i="825"/>
  <c r="BH186" i="825"/>
  <c r="BD186" i="825"/>
  <c r="BF186" i="825"/>
  <c r="BX185" i="825"/>
  <c r="CA185" i="825"/>
  <c r="BZ185" i="825"/>
  <c r="BV185" i="825"/>
  <c r="BH185" i="825"/>
  <c r="BF185" i="825"/>
  <c r="BD185" i="825"/>
  <c r="BI185" i="825"/>
  <c r="CA184" i="825"/>
  <c r="BV184" i="825"/>
  <c r="BX184" i="825"/>
  <c r="BZ184" i="825"/>
  <c r="BD184" i="825"/>
  <c r="BI184" i="825"/>
  <c r="BH184" i="825"/>
  <c r="BF184" i="825"/>
  <c r="BZ183" i="825"/>
  <c r="BV183" i="825"/>
  <c r="CA183" i="825"/>
  <c r="BX183" i="825"/>
  <c r="BH183" i="825"/>
  <c r="BD183" i="825"/>
  <c r="BF183" i="825"/>
  <c r="BI183" i="825"/>
  <c r="BZ182" i="825"/>
  <c r="BV182" i="825"/>
  <c r="CA182" i="825"/>
  <c r="BX182" i="825"/>
  <c r="BF182" i="825"/>
  <c r="BH182" i="825"/>
  <c r="BI182" i="825"/>
  <c r="BD182" i="825"/>
  <c r="BV181" i="825"/>
  <c r="BZ181" i="825"/>
  <c r="CA181" i="825"/>
  <c r="BX181" i="825"/>
  <c r="BI181" i="825"/>
  <c r="BF181" i="825"/>
  <c r="BH181" i="825"/>
  <c r="BD181" i="825"/>
  <c r="CA180" i="825"/>
  <c r="BZ180" i="825"/>
  <c r="BV180" i="825"/>
  <c r="BX180" i="825"/>
  <c r="BF180" i="825"/>
  <c r="BD180" i="825"/>
  <c r="BH180" i="825"/>
  <c r="BI180" i="825"/>
  <c r="BX179" i="825"/>
  <c r="BZ179" i="825"/>
  <c r="CA179" i="825"/>
  <c r="BV179" i="825"/>
  <c r="BD179" i="825"/>
  <c r="BI179" i="825"/>
  <c r="BF179" i="825"/>
  <c r="BH179" i="825"/>
  <c r="BX178" i="825"/>
  <c r="BV178" i="825"/>
  <c r="CA178" i="825"/>
  <c r="BZ178" i="825"/>
  <c r="BF178" i="825"/>
  <c r="BI178" i="825"/>
  <c r="BH178" i="825"/>
  <c r="BD178" i="825"/>
  <c r="BV177" i="825"/>
  <c r="BX177" i="825"/>
  <c r="BZ177" i="825"/>
  <c r="CA177" i="825"/>
  <c r="BH177" i="825"/>
  <c r="BD177" i="825"/>
  <c r="BI177" i="825"/>
  <c r="BF177" i="825"/>
  <c r="BV176" i="825"/>
  <c r="BX176" i="825"/>
  <c r="BZ176" i="825"/>
  <c r="CA176" i="825"/>
  <c r="BD176" i="825"/>
  <c r="BF176" i="825"/>
  <c r="BI176" i="825"/>
  <c r="BH176" i="825"/>
  <c r="BX175" i="825"/>
  <c r="BZ175" i="825"/>
  <c r="CA175" i="825"/>
  <c r="BV175" i="825"/>
  <c r="BD175" i="825"/>
  <c r="BF175" i="825"/>
  <c r="BH175" i="825"/>
  <c r="BI175" i="825"/>
  <c r="BV174" i="825"/>
  <c r="BX174" i="825"/>
  <c r="BZ174" i="825"/>
  <c r="CA174" i="825"/>
  <c r="BD174" i="825"/>
  <c r="BF174" i="825"/>
  <c r="BH174" i="825"/>
  <c r="BI174" i="825"/>
  <c r="BV173" i="825"/>
  <c r="CA173" i="825"/>
  <c r="BZ173" i="825"/>
  <c r="BX173" i="825"/>
  <c r="BI173" i="825"/>
  <c r="BH173" i="825"/>
  <c r="BF173" i="825"/>
  <c r="BD173" i="825"/>
  <c r="BX172" i="825"/>
  <c r="BV172" i="825"/>
  <c r="BZ172" i="825"/>
  <c r="CA172" i="825"/>
  <c r="BI172" i="825"/>
  <c r="BH172" i="825"/>
  <c r="BF172" i="825"/>
  <c r="BD172" i="825"/>
  <c r="CA171" i="825"/>
  <c r="BZ171" i="825"/>
  <c r="BX171" i="825"/>
  <c r="BV171" i="825"/>
  <c r="BF171" i="825"/>
  <c r="BH171" i="825"/>
  <c r="BI171" i="825"/>
  <c r="BD171" i="825"/>
  <c r="CA170" i="825"/>
  <c r="BZ170" i="825"/>
  <c r="BX170" i="825"/>
  <c r="BV170" i="825"/>
  <c r="BD170" i="825"/>
  <c r="BH170" i="825"/>
  <c r="BF170" i="825"/>
  <c r="BI170" i="825"/>
  <c r="BZ169" i="825"/>
  <c r="CA169" i="825"/>
  <c r="BX169" i="825"/>
  <c r="BV169" i="825"/>
  <c r="BI169" i="825"/>
  <c r="BH169" i="825"/>
  <c r="BF169" i="825"/>
  <c r="BD169" i="825"/>
  <c r="CA168" i="825"/>
  <c r="BZ168" i="825"/>
  <c r="BX168" i="825"/>
  <c r="BV168" i="825"/>
  <c r="BH168" i="825"/>
  <c r="BF168" i="825"/>
  <c r="BD168" i="825"/>
  <c r="BI168" i="825"/>
  <c r="CA167" i="825"/>
  <c r="BZ167" i="825"/>
  <c r="BX167" i="825"/>
  <c r="BV167" i="825"/>
  <c r="BD167" i="825"/>
  <c r="BF167" i="825"/>
  <c r="BH167" i="825"/>
  <c r="BI167" i="825"/>
  <c r="CA166" i="825"/>
  <c r="BV166" i="825"/>
  <c r="BX166" i="825"/>
  <c r="BZ166" i="825"/>
  <c r="BF166" i="825"/>
  <c r="BI166" i="825"/>
  <c r="BH166" i="825"/>
  <c r="BD166" i="825"/>
  <c r="BZ165" i="825"/>
  <c r="CA165" i="825"/>
  <c r="BX165" i="825"/>
  <c r="BV165" i="825"/>
  <c r="BI165" i="825"/>
  <c r="BH165" i="825"/>
  <c r="BF165" i="825"/>
  <c r="BD165" i="825"/>
  <c r="CA164" i="825"/>
  <c r="BZ164" i="825"/>
  <c r="BX164" i="825"/>
  <c r="BV164" i="825"/>
  <c r="BI164" i="825"/>
  <c r="BH164" i="825"/>
  <c r="BF164" i="825"/>
  <c r="BD164" i="825"/>
  <c r="BV163" i="825"/>
  <c r="BX163" i="825"/>
  <c r="BZ163" i="825"/>
  <c r="CA163" i="825"/>
  <c r="BF163" i="825"/>
  <c r="BD163" i="825"/>
  <c r="BH163" i="825"/>
  <c r="BI163" i="825"/>
  <c r="CA162" i="825"/>
  <c r="BZ162" i="825"/>
  <c r="BX162" i="825"/>
  <c r="BV162" i="825"/>
  <c r="BD162" i="825"/>
  <c r="BI162" i="825"/>
  <c r="BH162" i="825"/>
  <c r="BF162" i="825"/>
  <c r="CA161" i="825"/>
  <c r="BZ161" i="825"/>
  <c r="BX161" i="825"/>
  <c r="BV161" i="825"/>
  <c r="BI161" i="825"/>
  <c r="BD161" i="825"/>
  <c r="BF161" i="825"/>
  <c r="BH161" i="825"/>
  <c r="CA160" i="825"/>
  <c r="BZ160" i="825"/>
  <c r="BV160" i="825"/>
  <c r="BX160" i="825"/>
  <c r="BD160" i="825"/>
  <c r="BF160" i="825"/>
  <c r="BI160" i="825"/>
  <c r="BH160" i="825"/>
  <c r="CA159" i="825"/>
  <c r="BX159" i="825"/>
  <c r="BV159" i="825"/>
  <c r="BZ159" i="825"/>
  <c r="BH159" i="825"/>
  <c r="BI159" i="825"/>
  <c r="BD159" i="825"/>
  <c r="BF159" i="825"/>
  <c r="BZ158" i="825"/>
  <c r="BX158" i="825"/>
  <c r="BV158" i="825"/>
  <c r="CA158" i="825"/>
  <c r="BF158" i="825"/>
  <c r="BD158" i="825"/>
  <c r="BH158" i="825"/>
  <c r="BI158" i="825"/>
  <c r="BX157" i="825"/>
  <c r="BZ157" i="825"/>
  <c r="BV157" i="825"/>
  <c r="CA157" i="825"/>
  <c r="BH157" i="825"/>
  <c r="BI157" i="825"/>
  <c r="BD157" i="825"/>
  <c r="BF157" i="825"/>
  <c r="BZ156" i="825"/>
  <c r="BV156" i="825"/>
  <c r="BX156" i="825"/>
  <c r="CA156" i="825"/>
  <c r="BD156" i="825"/>
  <c r="BF156" i="825"/>
  <c r="BH156" i="825"/>
  <c r="BI156" i="825"/>
  <c r="CA155" i="825"/>
  <c r="BZ155" i="825"/>
  <c r="BV155" i="825"/>
  <c r="BX155" i="825"/>
  <c r="BH155" i="825"/>
  <c r="BD155" i="825"/>
  <c r="BF155" i="825"/>
  <c r="BI155" i="825"/>
  <c r="BV154" i="825"/>
  <c r="CA154" i="825"/>
  <c r="BZ154" i="825"/>
  <c r="BX154" i="825"/>
  <c r="BH154" i="825"/>
  <c r="BD154" i="825"/>
  <c r="BF154" i="825"/>
  <c r="BI154" i="825"/>
  <c r="BX153" i="825"/>
  <c r="BV153" i="825"/>
  <c r="BZ153" i="825"/>
  <c r="CA153" i="825"/>
  <c r="BH153" i="825"/>
  <c r="BI153" i="825"/>
  <c r="BF153" i="825"/>
  <c r="BD153" i="825"/>
  <c r="BV152" i="825"/>
  <c r="BZ152" i="825"/>
  <c r="CA152" i="825"/>
  <c r="BX152" i="825"/>
  <c r="BH152" i="825"/>
  <c r="BF152" i="825"/>
  <c r="BI152" i="825"/>
  <c r="BD152" i="825"/>
  <c r="CA151" i="825"/>
  <c r="BZ151" i="825"/>
  <c r="BV151" i="825"/>
  <c r="BX151" i="825"/>
  <c r="BD151" i="825"/>
  <c r="BF151" i="825"/>
  <c r="BV150" i="825"/>
  <c r="BZ150" i="825"/>
  <c r="BX150" i="825"/>
  <c r="CA150" i="825"/>
  <c r="BI150" i="825"/>
  <c r="BH150" i="825"/>
  <c r="BF150" i="825"/>
  <c r="BD150" i="825"/>
  <c r="CA149" i="825"/>
  <c r="BV149" i="825"/>
  <c r="BX149" i="825"/>
  <c r="BZ149" i="825"/>
  <c r="BD149" i="825"/>
  <c r="BF149" i="825"/>
  <c r="BH149" i="825"/>
  <c r="BI149" i="825"/>
  <c r="BX148" i="825"/>
  <c r="BZ148" i="825"/>
  <c r="CA148" i="825"/>
  <c r="BV148" i="825"/>
  <c r="BH148" i="825"/>
  <c r="BF148" i="825"/>
  <c r="BD148" i="825"/>
  <c r="BI148" i="825"/>
  <c r="CA147" i="825"/>
  <c r="BZ147" i="825"/>
  <c r="BX147" i="825"/>
  <c r="BV147" i="825"/>
  <c r="BI147" i="825"/>
  <c r="BH147" i="825"/>
  <c r="BD147" i="825"/>
  <c r="BF147" i="825"/>
  <c r="BV146" i="825"/>
  <c r="BZ146" i="825"/>
  <c r="CA146" i="825"/>
  <c r="BX146" i="825"/>
  <c r="BH146" i="825"/>
  <c r="BD146" i="825"/>
  <c r="BI146" i="825"/>
  <c r="BF146" i="825"/>
  <c r="CA145" i="825"/>
  <c r="BZ145" i="825"/>
  <c r="BX145" i="825"/>
  <c r="BV145" i="825"/>
  <c r="BI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Q15" i="825" l="1"/>
  <c r="AM15" i="825"/>
  <c r="AM13" i="825"/>
  <c r="AQ13" i="825"/>
  <c r="AA17" i="825" a="1"/>
  <c r="AP17" i="825" s="1"/>
  <c r="AR17" i="825" a="1"/>
  <c r="AO17" i="825" s="1"/>
  <c r="AN17" i="825" s="1"/>
  <c r="AM17" i="825"/>
  <c r="AQ17" i="825"/>
  <c r="AA15" i="825" a="1"/>
  <c r="AP15" i="825" s="1"/>
  <c r="AR15" i="825" a="1"/>
  <c r="AO15" i="825" s="1"/>
  <c r="AN15" i="825" s="1"/>
  <c r="AA14" i="825" a="1"/>
  <c r="AP14" i="825" s="1"/>
  <c r="AR14" i="825" a="1"/>
  <c r="AO14" i="825" s="1"/>
  <c r="AN14" i="825" s="1"/>
  <c r="AQ14" i="825"/>
  <c r="AM14" i="825"/>
  <c r="AA12" i="825" a="1"/>
  <c r="AP12" i="825" s="1"/>
  <c r="AR12" i="825" a="1"/>
  <c r="AO12" i="825" s="1"/>
  <c r="AN12" i="825" s="1"/>
  <c r="AQ12" i="825"/>
  <c r="AM12" i="825"/>
  <c r="AA11" i="825" a="1"/>
  <c r="AP11" i="825" s="1"/>
  <c r="AR11" i="825" a="1"/>
  <c r="AO11" i="825" s="1"/>
  <c r="AN11" i="825" s="1"/>
  <c r="AQ11" i="825"/>
  <c r="AM11" i="825"/>
  <c r="AR10" i="825" a="1"/>
  <c r="AO10" i="825" s="1"/>
  <c r="AN10" i="825" s="1"/>
  <c r="AA10" i="825" a="1"/>
  <c r="AP10" i="825" s="1"/>
  <c r="AA9" i="825" a="1"/>
  <c r="AP9" i="825" s="1"/>
  <c r="AR9" i="825" a="1"/>
  <c r="AO9" i="825" s="1"/>
  <c r="AN9" i="825" s="1"/>
  <c r="AQ9" i="825"/>
  <c r="AM9" i="825" s="1"/>
  <c r="U24" i="825"/>
  <c r="U23" i="825"/>
  <c r="U22" i="825"/>
  <c r="AA219" i="847"/>
  <c r="BB219" i="847" s="1"/>
  <c r="AB219" i="847"/>
  <c r="AA218" i="847"/>
  <c r="BB218" i="847" s="1"/>
  <c r="AB218" i="847"/>
  <c r="AA217" i="847"/>
  <c r="BB217" i="847" s="1"/>
  <c r="AB217" i="847"/>
  <c r="AA216" i="847"/>
  <c r="BB216" i="847" s="1"/>
  <c r="AB216" i="847"/>
  <c r="AA215" i="847"/>
  <c r="BB215" i="847" s="1"/>
  <c r="AB215" i="847"/>
  <c r="AA214" i="847"/>
  <c r="BB214" i="847" s="1"/>
  <c r="AB214" i="847"/>
  <c r="AA213" i="847"/>
  <c r="BB213" i="847" s="1"/>
  <c r="AB213" i="847"/>
  <c r="AA212" i="847"/>
  <c r="BB212" i="847" s="1"/>
  <c r="AB212" i="847"/>
  <c r="AA211" i="847"/>
  <c r="BB211" i="847" s="1"/>
  <c r="AB211" i="847"/>
  <c r="AA210" i="847"/>
  <c r="BB210" i="847" s="1"/>
  <c r="AB210" i="847"/>
  <c r="AB209" i="847"/>
  <c r="AA209" i="847"/>
  <c r="BB209" i="847" s="1"/>
  <c r="AA208" i="847"/>
  <c r="BB208" i="847" s="1"/>
  <c r="AB208" i="847"/>
  <c r="AA207" i="847"/>
  <c r="BB207" i="847" s="1"/>
  <c r="AB207" i="847"/>
  <c r="AA206" i="847"/>
  <c r="BB206" i="847" s="1"/>
  <c r="AB206" i="847"/>
  <c r="AB205" i="847"/>
  <c r="AA205" i="847"/>
  <c r="BB205" i="847" s="1"/>
  <c r="AA204" i="847"/>
  <c r="BB204" i="847" s="1"/>
  <c r="AB204" i="847"/>
  <c r="AA203" i="847"/>
  <c r="BB203" i="847" s="1"/>
  <c r="AB203" i="847"/>
  <c r="AA202" i="847"/>
  <c r="BB202" i="847" s="1"/>
  <c r="AB202" i="847"/>
  <c r="AA201" i="847"/>
  <c r="BB201" i="847" s="1"/>
  <c r="AB201" i="847"/>
  <c r="AA200" i="847"/>
  <c r="BB200" i="847" s="1"/>
  <c r="AB200" i="847"/>
  <c r="AA199" i="847"/>
  <c r="BB199" i="847" s="1"/>
  <c r="AB199" i="847"/>
  <c r="AA198" i="847"/>
  <c r="BB198" i="847" s="1"/>
  <c r="AB198" i="847"/>
  <c r="AA197" i="847"/>
  <c r="BB197" i="847" s="1"/>
  <c r="AB197" i="847"/>
  <c r="AA196" i="847"/>
  <c r="BB196" i="847" s="1"/>
  <c r="AB196" i="847"/>
  <c r="AA195" i="847"/>
  <c r="BB195" i="847" s="1"/>
  <c r="AB195" i="847"/>
  <c r="AA194" i="847"/>
  <c r="BB194" i="847" s="1"/>
  <c r="AB194" i="847"/>
  <c r="AA193" i="847"/>
  <c r="BB193" i="847" s="1"/>
  <c r="AB193" i="847"/>
  <c r="AA192" i="847"/>
  <c r="BB192" i="847" s="1"/>
  <c r="AB192" i="847"/>
  <c r="AA191" i="847"/>
  <c r="BB191" i="847" s="1"/>
  <c r="AB191" i="847"/>
  <c r="AA190" i="847"/>
  <c r="BB190" i="847" s="1"/>
  <c r="AB190" i="847"/>
  <c r="AA189" i="847"/>
  <c r="BB189" i="847" s="1"/>
  <c r="AB189" i="847"/>
  <c r="AA188" i="847"/>
  <c r="BB188" i="847" s="1"/>
  <c r="AB188" i="847"/>
  <c r="AB187" i="847"/>
  <c r="AA187" i="847"/>
  <c r="BB187" i="847" s="1"/>
  <c r="AA186" i="847"/>
  <c r="BB186" i="847" s="1"/>
  <c r="AB186" i="847"/>
  <c r="AA185" i="847"/>
  <c r="BB185" i="847" s="1"/>
  <c r="AB185" i="847"/>
  <c r="AB184" i="847"/>
  <c r="AA184" i="847"/>
  <c r="BB184" i="847" s="1"/>
  <c r="AA183" i="847"/>
  <c r="BB183" i="847" s="1"/>
  <c r="AB183" i="847"/>
  <c r="AA182" i="847"/>
  <c r="BB182" i="847" s="1"/>
  <c r="AB182" i="847"/>
  <c r="AA181" i="847"/>
  <c r="BB181" i="847" s="1"/>
  <c r="AB181" i="847"/>
  <c r="AA180" i="847"/>
  <c r="BB180" i="847" s="1"/>
  <c r="AB180" i="847"/>
  <c r="AB179" i="847"/>
  <c r="AA179" i="847"/>
  <c r="BB179" i="847" s="1"/>
  <c r="AA178" i="847"/>
  <c r="BB178" i="847" s="1"/>
  <c r="AB178" i="847"/>
  <c r="AB177" i="847"/>
  <c r="AA177" i="847"/>
  <c r="BB177" i="847" s="1"/>
  <c r="AB176" i="847"/>
  <c r="AA176" i="847"/>
  <c r="BB176" i="847" s="1"/>
  <c r="AA175" i="847"/>
  <c r="BB175" i="847" s="1"/>
  <c r="AB175" i="847"/>
  <c r="AA174" i="847"/>
  <c r="BB174" i="847" s="1"/>
  <c r="AB174" i="847"/>
  <c r="AB173" i="847"/>
  <c r="AA173" i="847"/>
  <c r="BB173" i="847" s="1"/>
  <c r="AA172" i="847"/>
  <c r="BB172" i="847" s="1"/>
  <c r="AB172" i="847"/>
  <c r="AB171" i="847"/>
  <c r="AA171" i="847"/>
  <c r="BB171" i="847" s="1"/>
  <c r="AA170" i="847"/>
  <c r="BB170" i="847" s="1"/>
  <c r="AB170" i="847"/>
  <c r="AA169" i="847"/>
  <c r="BB169" i="847" s="1"/>
  <c r="AB169" i="847"/>
  <c r="AA168" i="847"/>
  <c r="BB168" i="847" s="1"/>
  <c r="AB168" i="847"/>
  <c r="AA167" i="847"/>
  <c r="BB167" i="847" s="1"/>
  <c r="AB167" i="847"/>
  <c r="AA166" i="847"/>
  <c r="BB166" i="847" s="1"/>
  <c r="AB166" i="847"/>
  <c r="AA165" i="847"/>
  <c r="BB165" i="847" s="1"/>
  <c r="AB165" i="847"/>
  <c r="AA164" i="847"/>
  <c r="BB164" i="847" s="1"/>
  <c r="AB164" i="847"/>
  <c r="AA163" i="847"/>
  <c r="BB163" i="847" s="1"/>
  <c r="AB163" i="847"/>
  <c r="AA162" i="847"/>
  <c r="BB162" i="847" s="1"/>
  <c r="AB162" i="847"/>
  <c r="AA161" i="847"/>
  <c r="BB161" i="847" s="1"/>
  <c r="AB161" i="847"/>
  <c r="AB160" i="847"/>
  <c r="AA160" i="847"/>
  <c r="BB160" i="847" s="1"/>
  <c r="AA159" i="847"/>
  <c r="BB159" i="847" s="1"/>
  <c r="AB159" i="847"/>
  <c r="AB158" i="847"/>
  <c r="AA158" i="847"/>
  <c r="BB158" i="847" s="1"/>
  <c r="AB157" i="847"/>
  <c r="AA157" i="847"/>
  <c r="BB157" i="847" s="1"/>
  <c r="AB156" i="847"/>
  <c r="AA156" i="847"/>
  <c r="BB156" i="847" s="1"/>
  <c r="AA155" i="847"/>
  <c r="BB155" i="847" s="1"/>
  <c r="AB155" i="847"/>
  <c r="AA154" i="847"/>
  <c r="BB154" i="847" s="1"/>
  <c r="AB154" i="847"/>
  <c r="AB153" i="847"/>
  <c r="AA153" i="847"/>
  <c r="BB153" i="847" s="1"/>
  <c r="AA152" i="847"/>
  <c r="BB152" i="847" s="1"/>
  <c r="AB152" i="847"/>
  <c r="AB151" i="847"/>
  <c r="AA151" i="847"/>
  <c r="BB151" i="847" s="1"/>
  <c r="AA150" i="847"/>
  <c r="BB150" i="847" s="1"/>
  <c r="AB150" i="847"/>
  <c r="AA149" i="847"/>
  <c r="BB149" i="847" s="1"/>
  <c r="AB149" i="847"/>
  <c r="AA148" i="847"/>
  <c r="BB148" i="847" s="1"/>
  <c r="AB148" i="847"/>
  <c r="AA147" i="847"/>
  <c r="BB147" i="847" s="1"/>
  <c r="AB147" i="847"/>
  <c r="AA146" i="847"/>
  <c r="BB146" i="847" s="1"/>
  <c r="AB146" i="847"/>
  <c r="AB145" i="847"/>
  <c r="AA145" i="847"/>
  <c r="BB145" i="847" s="1"/>
  <c r="AB144" i="847"/>
  <c r="AA144" i="847"/>
  <c r="BB144" i="847" s="1"/>
  <c r="AA143" i="847"/>
  <c r="BB143" i="847" s="1"/>
  <c r="AB143" i="847"/>
  <c r="AB142" i="847"/>
  <c r="AA142" i="847"/>
  <c r="BB142" i="847" s="1"/>
  <c r="AB141" i="847"/>
  <c r="AA141" i="847"/>
  <c r="BB141" i="847" s="1"/>
  <c r="AA140" i="847"/>
  <c r="BB140" i="847" s="1"/>
  <c r="AB140" i="847"/>
  <c r="AA139" i="847"/>
  <c r="BB139" i="847" s="1"/>
  <c r="AB139" i="847"/>
  <c r="AA138" i="847"/>
  <c r="BB138" i="847" s="1"/>
  <c r="AB138" i="847"/>
  <c r="AA137" i="847"/>
  <c r="BB137" i="847" s="1"/>
  <c r="AB137" i="847"/>
  <c r="AB136" i="847"/>
  <c r="AA136" i="847"/>
  <c r="BB136" i="847" s="1"/>
  <c r="AB135" i="847"/>
  <c r="AA135" i="847"/>
  <c r="BB135" i="847" s="1"/>
  <c r="AB134" i="847"/>
  <c r="AA134" i="847"/>
  <c r="BB134" i="847" s="1"/>
  <c r="AB133" i="847"/>
  <c r="AA133" i="847"/>
  <c r="BB133" i="847" s="1"/>
  <c r="AA131" i="847"/>
  <c r="BB131" i="847" s="1"/>
  <c r="AB131" i="847"/>
  <c r="AB130" i="847"/>
  <c r="AA130" i="847"/>
  <c r="BB130" i="847" s="1"/>
  <c r="AB129" i="847"/>
  <c r="AA129" i="847"/>
  <c r="BB129" i="847" s="1"/>
  <c r="AA128" i="847"/>
  <c r="BB128" i="847" s="1"/>
  <c r="AB128" i="847"/>
  <c r="AB127" i="847"/>
  <c r="AA127" i="847"/>
  <c r="BB127" i="847" s="1"/>
  <c r="AA126" i="847"/>
  <c r="BB126" i="847" s="1"/>
  <c r="AB126" i="847"/>
  <c r="AB125" i="847"/>
  <c r="AA125" i="847"/>
  <c r="BB125" i="847" s="1"/>
  <c r="AA124" i="847"/>
  <c r="BB124" i="847" s="1"/>
  <c r="AB124" i="847"/>
  <c r="AA123" i="847"/>
  <c r="BB123" i="847" s="1"/>
  <c r="AB123" i="847"/>
  <c r="AA122" i="847"/>
  <c r="BB122" i="847" s="1"/>
  <c r="AB122" i="847"/>
  <c r="AA121" i="847"/>
  <c r="BB121" i="847" s="1"/>
  <c r="AB121" i="847"/>
  <c r="AA120" i="847"/>
  <c r="BB120" i="847" s="1"/>
  <c r="AB120" i="847"/>
  <c r="AA119" i="847"/>
  <c r="BB119" i="847" s="1"/>
  <c r="AB119" i="847"/>
  <c r="AA118" i="847"/>
  <c r="BB118" i="847" s="1"/>
  <c r="AB118" i="847"/>
  <c r="AA117" i="847"/>
  <c r="BB117" i="847" s="1"/>
  <c r="AB117" i="847"/>
  <c r="AA116" i="847"/>
  <c r="BB116" i="847" s="1"/>
  <c r="AB116" i="847"/>
  <c r="AA115" i="847"/>
  <c r="BB115" i="847" s="1"/>
  <c r="AB115" i="847"/>
  <c r="AA114" i="847"/>
  <c r="BB114" i="847" s="1"/>
  <c r="AB114" i="847"/>
  <c r="AA113" i="847"/>
  <c r="BB113" i="847" s="1"/>
  <c r="AB113" i="847"/>
  <c r="AA112" i="847"/>
  <c r="BB112" i="847" s="1"/>
  <c r="AB112" i="847"/>
  <c r="AA111" i="847"/>
  <c r="BB111" i="847" s="1"/>
  <c r="AB111" i="847"/>
  <c r="AA110" i="847"/>
  <c r="BB110" i="847" s="1"/>
  <c r="AB110" i="847"/>
  <c r="AA109" i="847"/>
  <c r="BB109" i="847" s="1"/>
  <c r="AB109" i="847"/>
  <c r="AA108" i="847"/>
  <c r="BB108" i="847" s="1"/>
  <c r="AB108" i="847"/>
  <c r="AA107" i="847"/>
  <c r="BB107" i="847" s="1"/>
  <c r="AB107" i="847"/>
  <c r="AA106" i="847"/>
  <c r="BB106" i="847" s="1"/>
  <c r="AB106" i="847"/>
  <c r="AA105" i="847"/>
  <c r="BB105" i="847" s="1"/>
  <c r="AB105" i="847"/>
  <c r="AA104" i="847"/>
  <c r="BB104" i="847" s="1"/>
  <c r="AB104" i="847"/>
  <c r="AA103" i="847"/>
  <c r="BB103" i="847" s="1"/>
  <c r="AB103" i="847"/>
  <c r="AA102" i="847"/>
  <c r="BB102" i="847" s="1"/>
  <c r="AB102" i="847"/>
  <c r="AA101" i="847"/>
  <c r="BB101" i="847" s="1"/>
  <c r="AB101" i="847"/>
  <c r="AA100" i="847"/>
  <c r="BB100" i="847" s="1"/>
  <c r="AB100" i="847"/>
  <c r="AA99" i="847"/>
  <c r="BB99" i="847" s="1"/>
  <c r="AB99" i="847"/>
  <c r="AA98" i="847"/>
  <c r="BB98" i="847" s="1"/>
  <c r="AB98" i="847"/>
  <c r="AA97" i="847"/>
  <c r="BB97" i="847" s="1"/>
  <c r="AB97" i="847"/>
  <c r="AA96" i="847"/>
  <c r="BB96" i="847" s="1"/>
  <c r="AB96" i="847"/>
  <c r="AA95" i="847"/>
  <c r="BB95" i="847" s="1"/>
  <c r="AB95" i="847"/>
  <c r="AA94" i="847"/>
  <c r="BB94" i="847" s="1"/>
  <c r="AB94" i="847"/>
  <c r="AA93" i="847"/>
  <c r="BB93" i="847" s="1"/>
  <c r="AB93" i="847"/>
  <c r="AA92" i="847"/>
  <c r="BB92" i="847" s="1"/>
  <c r="AB92" i="847"/>
  <c r="AA91" i="847"/>
  <c r="BB91" i="847" s="1"/>
  <c r="AB91" i="847"/>
  <c r="AA90" i="847"/>
  <c r="BB90" i="847" s="1"/>
  <c r="AB90" i="847"/>
  <c r="AA89" i="847"/>
  <c r="BB89" i="847" s="1"/>
  <c r="AB89" i="847"/>
  <c r="AA88" i="847"/>
  <c r="BB88" i="847" s="1"/>
  <c r="AB88" i="847"/>
  <c r="AA87" i="847"/>
  <c r="BB87" i="847" s="1"/>
  <c r="AB87" i="847"/>
  <c r="AA86" i="847"/>
  <c r="BB86" i="847" s="1"/>
  <c r="AB86" i="847"/>
  <c r="AA85" i="847"/>
  <c r="BB85" i="847" s="1"/>
  <c r="AB85" i="847"/>
  <c r="AA84" i="847"/>
  <c r="BB84" i="847" s="1"/>
  <c r="AB84" i="847"/>
  <c r="AA83" i="847"/>
  <c r="BB83" i="847" s="1"/>
  <c r="AB83" i="847"/>
  <c r="AA82" i="847"/>
  <c r="BB82" i="847" s="1"/>
  <c r="AB82" i="847"/>
  <c r="AA81" i="847"/>
  <c r="BB81" i="847" s="1"/>
  <c r="AB81" i="847"/>
  <c r="AA80" i="847"/>
  <c r="BB80" i="847" s="1"/>
  <c r="AB80" i="847"/>
  <c r="AA79" i="847"/>
  <c r="BB79" i="847" s="1"/>
  <c r="AB79" i="847"/>
  <c r="AA78" i="847"/>
  <c r="BB78" i="847" s="1"/>
  <c r="AB78" i="847"/>
  <c r="AB77" i="847"/>
  <c r="AA77" i="847"/>
  <c r="BB77" i="847" s="1"/>
  <c r="AA75" i="847"/>
  <c r="BB75" i="847" s="1"/>
  <c r="AB75" i="847"/>
  <c r="AA71" i="847"/>
  <c r="BB71" i="847" s="1"/>
  <c r="AB71" i="847"/>
  <c r="AA69" i="847"/>
  <c r="BB69" i="847" s="1"/>
  <c r="AB69" i="847"/>
  <c r="AA68" i="847"/>
  <c r="BB68" i="847" s="1"/>
  <c r="AB68" i="847"/>
  <c r="AB67" i="847"/>
  <c r="AA67" i="847"/>
  <c r="BB67" i="847" s="1"/>
  <c r="AB66" i="847"/>
  <c r="AA66" i="847"/>
  <c r="BB66" i="847" s="1"/>
  <c r="AA65" i="847"/>
  <c r="BB65" i="847" s="1"/>
  <c r="AB65" i="847"/>
  <c r="AA64" i="847"/>
  <c r="BB64" i="847" s="1"/>
  <c r="AB64" i="847"/>
  <c r="AB62" i="847"/>
  <c r="AA62" i="847"/>
  <c r="BB62" i="847" s="1"/>
  <c r="AA61" i="847"/>
  <c r="BB61" i="847" s="1"/>
  <c r="AB61" i="847"/>
  <c r="AB60" i="847"/>
  <c r="AA60" i="847"/>
  <c r="BB60" i="847" s="1"/>
  <c r="AA58" i="847"/>
  <c r="BB58" i="847" s="1"/>
  <c r="AB58" i="847"/>
  <c r="AA57" i="847"/>
  <c r="BB57" i="847" s="1"/>
  <c r="AB57" i="847"/>
  <c r="AB56" i="847"/>
  <c r="AA56" i="847"/>
  <c r="BB56" i="847" s="1"/>
  <c r="AA55" i="847"/>
  <c r="BB55" i="847" s="1"/>
  <c r="AB55" i="847"/>
  <c r="AA54" i="847"/>
  <c r="BB54" i="847" s="1"/>
  <c r="AB54" i="847"/>
  <c r="AA50" i="847"/>
  <c r="BB50" i="847" s="1"/>
  <c r="AB50" i="847"/>
  <c r="AA49" i="847"/>
  <c r="BB49" i="847" s="1"/>
  <c r="AB49" i="847"/>
  <c r="AB48" i="847"/>
  <c r="AA48" i="847"/>
  <c r="BB48" i="847" s="1"/>
  <c r="AA47" i="847"/>
  <c r="BB47" i="847" s="1"/>
  <c r="AB47" i="847"/>
  <c r="AB45" i="847"/>
  <c r="AA45" i="847"/>
  <c r="BB45" i="847" s="1"/>
  <c r="AA42" i="847"/>
  <c r="BB42" i="847" s="1"/>
  <c r="AB42" i="847"/>
  <c r="AB41" i="847"/>
  <c r="AA41" i="847"/>
  <c r="BB41" i="847" s="1"/>
  <c r="AA38" i="847"/>
  <c r="BB38" i="847" s="1"/>
  <c r="AB38" i="847"/>
  <c r="AA37" i="847"/>
  <c r="BB37" i="847" s="1"/>
  <c r="AB37" i="847"/>
  <c r="AA35" i="847"/>
  <c r="BB35" i="847" s="1"/>
  <c r="AB35" i="847"/>
  <c r="AA33" i="847"/>
  <c r="BB33" i="847" s="1"/>
  <c r="AB33" i="847"/>
  <c r="AA30" i="847"/>
  <c r="BB30" i="847" s="1"/>
  <c r="AB30" i="847"/>
  <c r="AB29" i="847"/>
  <c r="AA29" i="847"/>
  <c r="BB29" i="847" s="1"/>
  <c r="AB28" i="847"/>
  <c r="AA28" i="847"/>
  <c r="BB28" i="847" s="1"/>
  <c r="AA26" i="847"/>
  <c r="BB26" i="847" s="1"/>
  <c r="AB26" i="847"/>
  <c r="AA25" i="847"/>
  <c r="BB25" i="847" s="1"/>
  <c r="AB25" i="847"/>
  <c r="AA24" i="847"/>
  <c r="BB24" i="847" s="1"/>
  <c r="AB24" i="847"/>
  <c r="AA23" i="847"/>
  <c r="BB23" i="847" s="1"/>
  <c r="AB23" i="847"/>
  <c r="AA22" i="847"/>
  <c r="BB22" i="847" s="1"/>
  <c r="AB22" i="847"/>
  <c r="AA21" i="847"/>
  <c r="BB21" i="847" s="1"/>
  <c r="AB21" i="847"/>
  <c r="AA20" i="847"/>
  <c r="BB20" i="847" s="1"/>
  <c r="AB20" i="847"/>
  <c r="AA132" i="847"/>
  <c r="BB132" i="847" s="1"/>
  <c r="AB132" i="847"/>
  <c r="AA76" i="847"/>
  <c r="BB76" i="847" s="1"/>
  <c r="AB76" i="847"/>
  <c r="AA74" i="847"/>
  <c r="BB74" i="847" s="1"/>
  <c r="AB74" i="847"/>
  <c r="AB73" i="847"/>
  <c r="AA73" i="847"/>
  <c r="BB73" i="847" s="1"/>
  <c r="AB72" i="847"/>
  <c r="AA72" i="847"/>
  <c r="BB72" i="847" s="1"/>
  <c r="AB70" i="847"/>
  <c r="AA70" i="847"/>
  <c r="BB70" i="847" s="1"/>
  <c r="AB63" i="847"/>
  <c r="AA63" i="847"/>
  <c r="BB63" i="847" s="1"/>
  <c r="AB59" i="847"/>
  <c r="AA59" i="847"/>
  <c r="BB59" i="847" s="1"/>
  <c r="AB53" i="847"/>
  <c r="AA53" i="847"/>
  <c r="BB53" i="847" s="1"/>
  <c r="AB52" i="847"/>
  <c r="AA52" i="847"/>
  <c r="BB52" i="847" s="1"/>
  <c r="AA51" i="847"/>
  <c r="BB51" i="847" s="1"/>
  <c r="AB51" i="847"/>
  <c r="AB46" i="847"/>
  <c r="AA46" i="847"/>
  <c r="BB46" i="847" s="1"/>
  <c r="AB44" i="847"/>
  <c r="AA44" i="847"/>
  <c r="BB44" i="847" s="1"/>
  <c r="AA43" i="847"/>
  <c r="BB43" i="847" s="1"/>
  <c r="AB43" i="847"/>
  <c r="AA40" i="847"/>
  <c r="BB40" i="847" s="1"/>
  <c r="AB40" i="847"/>
  <c r="AB39" i="847"/>
  <c r="AA39" i="847"/>
  <c r="BB39" i="847" s="1"/>
  <c r="AA36" i="847"/>
  <c r="BB36" i="847" s="1"/>
  <c r="AB36" i="847"/>
  <c r="AB34" i="847"/>
  <c r="AA34" i="847"/>
  <c r="BB34" i="847" s="1"/>
  <c r="AB32" i="847"/>
  <c r="AA32" i="847"/>
  <c r="BB32" i="847" s="1"/>
  <c r="AA31" i="847"/>
  <c r="BB31" i="847" s="1"/>
  <c r="AB31" i="847"/>
  <c r="AB27" i="847"/>
  <c r="AA27" i="847"/>
  <c r="BB27" i="847" s="1"/>
  <c r="X16" i="825"/>
  <c r="S16" i="825"/>
  <c r="X15" i="825"/>
  <c r="S15" i="825"/>
  <c r="AY31" i="844"/>
  <c r="AB31" i="844" s="1"/>
  <c r="BA31" i="844" a="1"/>
  <c r="AY33" i="844"/>
  <c r="AB33" i="844" s="1"/>
  <c r="BA33" i="844" a="1"/>
  <c r="AY45" i="844"/>
  <c r="AB45" i="844" s="1"/>
  <c r="BA45" i="844" a="1"/>
  <c r="AY47" i="844"/>
  <c r="AB47" i="844" s="1"/>
  <c r="BA47" i="844" a="1"/>
  <c r="AY49" i="844"/>
  <c r="AB49" i="844" s="1"/>
  <c r="BA49" i="844" a="1"/>
  <c r="AY62" i="844"/>
  <c r="BA62" i="844" a="1"/>
  <c r="AY64" i="844"/>
  <c r="AB64" i="844" s="1"/>
  <c r="BA64" i="844" a="1"/>
  <c r="AY75" i="844"/>
  <c r="AB75" i="844" s="1"/>
  <c r="BA75" i="844" a="1"/>
  <c r="AY84" i="844"/>
  <c r="AB84" i="844" s="1"/>
  <c r="BA84" i="844" a="1"/>
  <c r="AX105" i="844"/>
  <c r="AZ105" i="844" a="1"/>
  <c r="AX107" i="844"/>
  <c r="AZ107" i="844" a="1"/>
  <c r="AX109" i="844"/>
  <c r="AZ109" i="844" a="1"/>
  <c r="AX110" i="844"/>
  <c r="AZ110" i="844" a="1"/>
  <c r="AX112" i="844"/>
  <c r="AZ112" i="844" a="1"/>
  <c r="AX115" i="844"/>
  <c r="AZ115" i="844" a="1"/>
  <c r="AY119" i="844"/>
  <c r="BA119" i="844" a="1"/>
  <c r="AY121" i="844"/>
  <c r="BA121" i="844" a="1"/>
  <c r="AY128" i="844"/>
  <c r="AB128" i="844" s="1"/>
  <c r="BA128" i="844" a="1"/>
  <c r="AY130" i="844"/>
  <c r="BA130" i="844" a="1"/>
  <c r="AY131" i="844"/>
  <c r="AB131" i="844" s="1"/>
  <c r="BA131" i="844" a="1"/>
  <c r="AY136" i="844"/>
  <c r="BA136" i="844" a="1"/>
  <c r="AX137" i="844"/>
  <c r="AZ137" i="844" a="1"/>
  <c r="AX139" i="844"/>
  <c r="AZ139" i="844" a="1"/>
  <c r="AX141" i="844"/>
  <c r="AZ141" i="844" a="1"/>
  <c r="AY161" i="844"/>
  <c r="BA161" i="844" a="1"/>
  <c r="AX162" i="844"/>
  <c r="AZ162" i="844" a="1"/>
  <c r="AY169" i="844"/>
  <c r="BA169" i="844" a="1"/>
  <c r="AY194" i="844"/>
  <c r="BA194" i="844" a="1"/>
  <c r="AY200" i="844"/>
  <c r="BA200" i="844" a="1"/>
  <c r="AX201" i="844"/>
  <c r="AZ201" i="844" a="1"/>
  <c r="AX218" i="844"/>
  <c r="AZ218" i="844" a="1"/>
  <c r="AY178" i="844"/>
  <c r="BA178" i="844" a="1"/>
  <c r="AX179" i="844"/>
  <c r="AZ179" i="844" a="1"/>
  <c r="AY179" i="844"/>
  <c r="BA179" i="844" a="1"/>
  <c r="AX180" i="844"/>
  <c r="AZ180" i="844" a="1"/>
  <c r="AY180" i="844"/>
  <c r="BA180" i="844" a="1"/>
  <c r="AY181" i="844"/>
  <c r="BA181" i="844" a="1"/>
  <c r="AX182" i="844"/>
  <c r="AZ182" i="844" a="1"/>
  <c r="AY182" i="844"/>
  <c r="BA182" i="844" a="1"/>
  <c r="AY183" i="844"/>
  <c r="BA183" i="844" a="1"/>
  <c r="AX184" i="844"/>
  <c r="AZ184" i="844" a="1"/>
  <c r="AY184" i="844"/>
  <c r="BA184" i="844" a="1"/>
  <c r="AY185" i="844"/>
  <c r="BA185" i="844" a="1"/>
  <c r="AY186" i="844"/>
  <c r="BA186" i="844" a="1"/>
  <c r="AY187" i="844"/>
  <c r="BA187" i="844" a="1"/>
  <c r="AY188" i="844"/>
  <c r="BA188" i="844" a="1"/>
  <c r="AY189" i="844"/>
  <c r="BA189" i="844" a="1"/>
  <c r="AX190" i="844"/>
  <c r="AZ190" i="844" a="1"/>
  <c r="AY190" i="844"/>
  <c r="BA190" i="844" a="1"/>
  <c r="AX191" i="844"/>
  <c r="AZ191" i="844" a="1"/>
  <c r="AY191" i="844"/>
  <c r="BA191" i="844" a="1"/>
  <c r="AX192" i="844"/>
  <c r="AZ192" i="844" a="1"/>
  <c r="AY192" i="844"/>
  <c r="BA192" i="844" a="1"/>
  <c r="AX193" i="844"/>
  <c r="AZ193" i="844" a="1"/>
  <c r="AY193" i="844"/>
  <c r="BA193" i="844" a="1"/>
  <c r="AX203" i="844"/>
  <c r="AZ203" i="844" a="1"/>
  <c r="AX212" i="844"/>
  <c r="AZ212" i="844" a="1"/>
  <c r="AY217" i="844"/>
  <c r="BA217" i="844" a="1"/>
  <c r="AY40" i="844"/>
  <c r="BA40" i="844" a="1"/>
  <c r="AY42" i="844"/>
  <c r="BA42" i="844" a="1"/>
  <c r="AY57" i="844"/>
  <c r="AB57" i="844" s="1"/>
  <c r="BA57" i="844" a="1"/>
  <c r="AY80" i="844"/>
  <c r="BA80" i="844" a="1"/>
  <c r="AY90" i="844"/>
  <c r="BA90" i="844" a="1"/>
  <c r="AX96" i="844"/>
  <c r="AZ96" i="844" a="1"/>
  <c r="AX99" i="844"/>
  <c r="AZ99" i="844" a="1"/>
  <c r="AY101" i="844"/>
  <c r="BA101" i="844" a="1"/>
  <c r="AY110" i="844"/>
  <c r="BA110" i="844" a="1"/>
  <c r="AX114" i="844"/>
  <c r="AZ114" i="844" a="1"/>
  <c r="AX116" i="844"/>
  <c r="AZ116" i="844" a="1"/>
  <c r="AX117" i="844"/>
  <c r="AZ117" i="844" a="1"/>
  <c r="AY118" i="844"/>
  <c r="BA118" i="844" a="1"/>
  <c r="AX124" i="844"/>
  <c r="AZ124" i="844" a="1"/>
  <c r="AX138" i="844"/>
  <c r="AZ138" i="844" a="1"/>
  <c r="AX140" i="844"/>
  <c r="AZ140" i="844" a="1"/>
  <c r="AY142" i="844"/>
  <c r="BA142" i="844" a="1"/>
  <c r="AY143" i="844"/>
  <c r="BA143" i="844" a="1"/>
  <c r="AY158" i="844"/>
  <c r="BA158" i="844" a="1"/>
  <c r="AX168" i="844"/>
  <c r="AZ168" i="844" a="1"/>
  <c r="AY172" i="844"/>
  <c r="BA172" i="844" a="1"/>
  <c r="AX202" i="844"/>
  <c r="AZ202" i="844" a="1"/>
  <c r="AY204" i="844"/>
  <c r="BA204" i="844" a="1"/>
  <c r="AX206" i="844"/>
  <c r="AZ206" i="844" a="1"/>
  <c r="AY209" i="844"/>
  <c r="BA209" i="844" a="1"/>
  <c r="AY215" i="844"/>
  <c r="BA215" i="844" a="1"/>
  <c r="AY27" i="844"/>
  <c r="AB27" i="844" s="1"/>
  <c r="BA27" i="844" a="1"/>
  <c r="AY29" i="844"/>
  <c r="BA29" i="844" a="1"/>
  <c r="AY51" i="844"/>
  <c r="BA51" i="844" a="1"/>
  <c r="AY66" i="844"/>
  <c r="BA66" i="844" a="1"/>
  <c r="AY68" i="844"/>
  <c r="BA68" i="844" a="1"/>
  <c r="AY72" i="844"/>
  <c r="BA72" i="844" a="1"/>
  <c r="AY89" i="844"/>
  <c r="BA89" i="844" a="1"/>
  <c r="AY92" i="844"/>
  <c r="BA92" i="844" a="1"/>
  <c r="AY96" i="844"/>
  <c r="BA96" i="844" a="1"/>
  <c r="AY99" i="844"/>
  <c r="BA99" i="844" a="1"/>
  <c r="AX106" i="844"/>
  <c r="AZ106" i="844" a="1"/>
  <c r="AY111" i="844"/>
  <c r="BA111" i="844" a="1"/>
  <c r="AY113" i="844"/>
  <c r="BA113" i="844" a="1"/>
  <c r="AY116" i="844"/>
  <c r="BA116" i="844" a="1"/>
  <c r="AY125" i="844"/>
  <c r="BA125" i="844" a="1"/>
  <c r="AY134" i="844"/>
  <c r="BA134" i="844" a="1"/>
  <c r="AY137" i="844"/>
  <c r="BA137" i="844" a="1"/>
  <c r="AY153" i="844"/>
  <c r="BA153" i="844" a="1"/>
  <c r="AY155" i="844"/>
  <c r="BA155" i="844" a="1"/>
  <c r="AX161" i="844"/>
  <c r="AZ161" i="844" a="1"/>
  <c r="AX163" i="844"/>
  <c r="AZ163" i="844" a="1"/>
  <c r="AY175" i="844"/>
  <c r="BA175" i="844" a="1"/>
  <c r="AY196" i="844"/>
  <c r="BA196" i="844" a="1"/>
  <c r="AX198" i="844"/>
  <c r="AZ198" i="844" a="1"/>
  <c r="AX200" i="844"/>
  <c r="AZ200" i="844" a="1"/>
  <c r="AY211" i="844"/>
  <c r="BA211" i="844" a="1"/>
  <c r="AY36" i="844"/>
  <c r="BA36" i="844" a="1"/>
  <c r="AY38" i="844"/>
  <c r="AA38" i="844" s="1"/>
  <c r="BB38" i="844" s="1"/>
  <c r="BA38" i="844" a="1"/>
  <c r="AY50" i="844"/>
  <c r="AA50" i="844" s="1"/>
  <c r="BB50" i="844" s="1"/>
  <c r="BA50" i="844" a="1"/>
  <c r="AY53" i="844"/>
  <c r="BA53" i="844" a="1"/>
  <c r="AY56" i="844"/>
  <c r="BA56" i="844" a="1"/>
  <c r="AY61" i="844"/>
  <c r="BA61" i="844" a="1"/>
  <c r="AY65" i="844"/>
  <c r="BA65" i="844" a="1"/>
  <c r="AY78" i="844"/>
  <c r="BA78" i="844" a="1"/>
  <c r="AY82" i="844"/>
  <c r="BA82" i="844" a="1"/>
  <c r="AY86" i="844"/>
  <c r="BA86" i="844" a="1"/>
  <c r="AY93" i="844"/>
  <c r="BA93" i="844" a="1"/>
  <c r="AY95" i="844"/>
  <c r="BA95" i="844" a="1"/>
  <c r="AX98" i="844"/>
  <c r="AZ98" i="844" a="1"/>
  <c r="AY100" i="844"/>
  <c r="BA100" i="844" a="1"/>
  <c r="AY102" i="844"/>
  <c r="BA102" i="844" a="1"/>
  <c r="AX103" i="844"/>
  <c r="AZ103" i="844" a="1"/>
  <c r="AY104" i="844"/>
  <c r="BA104" i="844" a="1"/>
  <c r="AY114" i="844"/>
  <c r="BA114" i="844" a="1"/>
  <c r="AX119" i="844"/>
  <c r="AZ119" i="844" a="1"/>
  <c r="AX121" i="844"/>
  <c r="AZ121" i="844" a="1"/>
  <c r="AY132" i="844"/>
  <c r="BA132" i="844" a="1"/>
  <c r="AY147" i="844"/>
  <c r="BA147" i="844" a="1"/>
  <c r="AY148" i="844"/>
  <c r="BA148" i="844" a="1"/>
  <c r="AY167" i="844"/>
  <c r="BA167" i="844" a="1"/>
  <c r="AY170" i="844"/>
  <c r="AB170" i="844" s="1"/>
  <c r="BA170" i="844" a="1"/>
  <c r="AX176" i="844"/>
  <c r="AZ176" i="844" a="1"/>
  <c r="AX194" i="844"/>
  <c r="AZ194" i="844" a="1"/>
  <c r="AY201" i="844"/>
  <c r="BA201" i="844" a="1"/>
  <c r="AX204" i="844"/>
  <c r="AZ204" i="844" a="1"/>
  <c r="AX207" i="844"/>
  <c r="AZ207" i="844" a="1"/>
  <c r="AX209" i="844"/>
  <c r="AZ209" i="844" a="1"/>
  <c r="AX211" i="844"/>
  <c r="AZ211" i="844" a="1"/>
  <c r="AX213" i="844"/>
  <c r="AZ213" i="844" a="1"/>
  <c r="AX214" i="844"/>
  <c r="AZ214" i="844" a="1"/>
  <c r="AY39" i="844"/>
  <c r="BA39" i="844" a="1"/>
  <c r="AY60" i="844"/>
  <c r="BA60" i="844" a="1"/>
  <c r="AY67" i="844"/>
  <c r="BA67" i="844" a="1"/>
  <c r="AY70" i="844"/>
  <c r="BA70" i="844" a="1"/>
  <c r="AY74" i="844"/>
  <c r="BA74" i="844" a="1"/>
  <c r="AY81" i="844"/>
  <c r="BA81" i="844" a="1"/>
  <c r="AY98" i="844"/>
  <c r="BA98" i="844" a="1"/>
  <c r="AX100" i="844"/>
  <c r="AZ100" i="844" a="1"/>
  <c r="AY108" i="844"/>
  <c r="BA108" i="844" a="1"/>
  <c r="AY109" i="844"/>
  <c r="BA109" i="844" a="1"/>
  <c r="AY112" i="844"/>
  <c r="BA112" i="844" a="1"/>
  <c r="AY117" i="844"/>
  <c r="BA117" i="844" a="1"/>
  <c r="AY122" i="844"/>
  <c r="BA122" i="844" a="1"/>
  <c r="AY123" i="844"/>
  <c r="BA123" i="844" a="1"/>
  <c r="AX125" i="844"/>
  <c r="AZ125" i="844" a="1"/>
  <c r="AY133" i="844"/>
  <c r="BA133" i="844" a="1"/>
  <c r="AY139" i="844"/>
  <c r="BA139" i="844" a="1"/>
  <c r="AY144" i="844"/>
  <c r="BA144" i="844" a="1"/>
  <c r="AY146" i="844"/>
  <c r="BA146" i="844" a="1"/>
  <c r="AX148" i="844"/>
  <c r="AZ148" i="844" a="1"/>
  <c r="AY150" i="844"/>
  <c r="BA150" i="844" a="1"/>
  <c r="AY154" i="844"/>
  <c r="BA154" i="844" a="1"/>
  <c r="AY164" i="844"/>
  <c r="BA164" i="844" a="1"/>
  <c r="AY165" i="844"/>
  <c r="BA165" i="844" a="1"/>
  <c r="AY166" i="844"/>
  <c r="BA166" i="844" a="1"/>
  <c r="AX171" i="844"/>
  <c r="AZ171" i="844" a="1"/>
  <c r="AY173" i="844"/>
  <c r="BA173" i="844" a="1"/>
  <c r="AX175" i="844"/>
  <c r="AZ175" i="844" a="1"/>
  <c r="AY195" i="844"/>
  <c r="BA195" i="844" a="1"/>
  <c r="AY202" i="844"/>
  <c r="BA202" i="844" a="1"/>
  <c r="AX208" i="844"/>
  <c r="AZ208" i="844" a="1"/>
  <c r="AY210" i="844"/>
  <c r="BA210" i="844" a="1"/>
  <c r="AX216" i="844"/>
  <c r="AZ216" i="844" a="1"/>
  <c r="AY218" i="844"/>
  <c r="BA218" i="844" a="1"/>
  <c r="AY59" i="844"/>
  <c r="BA59" i="844" a="1"/>
  <c r="AY69" i="844"/>
  <c r="BA69" i="844" a="1"/>
  <c r="AY76" i="844"/>
  <c r="BA76" i="844" a="1"/>
  <c r="AY79" i="844"/>
  <c r="BA79" i="844" a="1"/>
  <c r="AY83" i="844"/>
  <c r="BA83" i="844" a="1"/>
  <c r="AX120" i="844"/>
  <c r="AZ120" i="844" a="1"/>
  <c r="AX122" i="844"/>
  <c r="AZ122" i="844" a="1"/>
  <c r="AX126" i="844"/>
  <c r="AZ126" i="844" a="1"/>
  <c r="AY135" i="844"/>
  <c r="BA135" i="844" a="1"/>
  <c r="AY138" i="844"/>
  <c r="BA138" i="844" a="1"/>
  <c r="AY145" i="844"/>
  <c r="BA145" i="844" a="1"/>
  <c r="AY151" i="844"/>
  <c r="BA151" i="844" a="1"/>
  <c r="AY157" i="844"/>
  <c r="BA157" i="844" a="1"/>
  <c r="AY163" i="844"/>
  <c r="BA163" i="844" a="1"/>
  <c r="AX166" i="844"/>
  <c r="AZ166" i="844" a="1"/>
  <c r="AY168" i="844"/>
  <c r="BA168" i="844" a="1"/>
  <c r="AX196" i="844"/>
  <c r="AZ196" i="844" a="1"/>
  <c r="AY198" i="844"/>
  <c r="BA198" i="844" a="1"/>
  <c r="AY199" i="844"/>
  <c r="BA199" i="844" a="1"/>
  <c r="AX205" i="844"/>
  <c r="AZ205" i="844" a="1"/>
  <c r="AY207" i="844"/>
  <c r="BA207" i="844" a="1"/>
  <c r="AX210" i="844"/>
  <c r="AZ210" i="844" a="1"/>
  <c r="AY212" i="844"/>
  <c r="BA212" i="844" a="1"/>
  <c r="AY214" i="844"/>
  <c r="BA214" i="844" a="1"/>
  <c r="AY28" i="844"/>
  <c r="BA28" i="844" a="1"/>
  <c r="AY30" i="844"/>
  <c r="BA30" i="844" a="1"/>
  <c r="AY35" i="844"/>
  <c r="BA35" i="844" a="1"/>
  <c r="AY43" i="844"/>
  <c r="BA43" i="844" a="1"/>
  <c r="AY52" i="844"/>
  <c r="BA52" i="844" a="1"/>
  <c r="AY55" i="844"/>
  <c r="BA55" i="844" a="1"/>
  <c r="AY58" i="844"/>
  <c r="BA58" i="844" a="1"/>
  <c r="AY63" i="844"/>
  <c r="BA63" i="844" a="1"/>
  <c r="AY87" i="844"/>
  <c r="BA87" i="844" a="1"/>
  <c r="AY88" i="844"/>
  <c r="BA88" i="844" a="1"/>
  <c r="AY91" i="844"/>
  <c r="BA91" i="844" a="1"/>
  <c r="AY94" i="844"/>
  <c r="BA94" i="844" a="1"/>
  <c r="AY105" i="844"/>
  <c r="BA105" i="844" a="1"/>
  <c r="AX113" i="844"/>
  <c r="AZ113" i="844" a="1"/>
  <c r="AY124" i="844"/>
  <c r="BA124" i="844" a="1"/>
  <c r="AX142" i="844"/>
  <c r="AZ142" i="844" a="1"/>
  <c r="AX145" i="844"/>
  <c r="AZ145" i="844" a="1"/>
  <c r="AX147" i="844"/>
  <c r="AZ147" i="844" a="1"/>
  <c r="AY156" i="844"/>
  <c r="BA156" i="844" a="1"/>
  <c r="AY162" i="844"/>
  <c r="BA162" i="844" a="1"/>
  <c r="AX169" i="844"/>
  <c r="AZ169" i="844" a="1"/>
  <c r="AY171" i="844"/>
  <c r="BA171" i="844" a="1"/>
  <c r="AY197" i="844"/>
  <c r="BA197" i="844" a="1"/>
  <c r="AY203" i="844"/>
  <c r="BA203" i="844" a="1"/>
  <c r="AY208" i="844"/>
  <c r="BA208" i="844" a="1"/>
  <c r="AY216" i="844"/>
  <c r="BA216" i="844" a="1"/>
  <c r="AX217" i="844"/>
  <c r="AZ217" i="844" a="1"/>
  <c r="AX219" i="844"/>
  <c r="AZ219" i="844" a="1"/>
  <c r="AY85" i="844"/>
  <c r="BA85" i="844" a="1"/>
  <c r="AY32" i="844"/>
  <c r="BA32" i="844" a="1"/>
  <c r="AY34" i="844"/>
  <c r="BA34" i="844" a="1"/>
  <c r="AY37" i="844"/>
  <c r="BA37" i="844" a="1"/>
  <c r="AY41" i="844"/>
  <c r="AB41" i="844" s="1"/>
  <c r="BA41" i="844" a="1"/>
  <c r="AY44" i="844"/>
  <c r="AB44" i="844" s="1"/>
  <c r="BA44" i="844" a="1"/>
  <c r="AY46" i="844"/>
  <c r="BA46" i="844" a="1"/>
  <c r="AY48" i="844"/>
  <c r="BA48" i="844" a="1"/>
  <c r="AY71" i="844"/>
  <c r="BA71" i="844" a="1"/>
  <c r="AY73" i="844"/>
  <c r="BA73" i="844" a="1"/>
  <c r="AX97" i="844"/>
  <c r="AZ97" i="844" a="1"/>
  <c r="AX101" i="844"/>
  <c r="AZ101" i="844" a="1"/>
  <c r="AX102" i="844"/>
  <c r="AZ102" i="844" a="1"/>
  <c r="AY103" i="844"/>
  <c r="BA103" i="844" a="1"/>
  <c r="AY106" i="844"/>
  <c r="BA106" i="844" a="1"/>
  <c r="AX108" i="844"/>
  <c r="AZ108" i="844" a="1"/>
  <c r="AY115" i="844"/>
  <c r="BA115" i="844" a="1"/>
  <c r="AX118" i="844"/>
  <c r="AZ118" i="844" a="1"/>
  <c r="AY120" i="844"/>
  <c r="BA120" i="844" a="1"/>
  <c r="AX123" i="844"/>
  <c r="AZ123" i="844" a="1"/>
  <c r="AY126" i="844"/>
  <c r="BA126" i="844" a="1"/>
  <c r="AY129" i="844"/>
  <c r="BA129" i="844" a="1"/>
  <c r="AX136" i="844"/>
  <c r="AZ136" i="844" a="1"/>
  <c r="AY140" i="844"/>
  <c r="BA140" i="844" a="1"/>
  <c r="AY152" i="844"/>
  <c r="BA152" i="844" a="1"/>
  <c r="AY160" i="844"/>
  <c r="BA160" i="844" a="1"/>
  <c r="AY174" i="844"/>
  <c r="BA174" i="844" a="1"/>
  <c r="AY177" i="844"/>
  <c r="BA177" i="844" a="1"/>
  <c r="AX195" i="844"/>
  <c r="AZ195" i="844" a="1"/>
  <c r="AX197" i="844"/>
  <c r="AZ197" i="844" a="1"/>
  <c r="AX199" i="844"/>
  <c r="AZ199" i="844" a="1"/>
  <c r="AY206" i="844"/>
  <c r="BA206" i="844" a="1"/>
  <c r="AY213" i="844"/>
  <c r="BA213" i="844" a="1"/>
  <c r="AY219" i="844"/>
  <c r="BA219" i="844" a="1"/>
  <c r="AY54" i="844"/>
  <c r="BA54" i="844" a="1"/>
  <c r="AY77" i="844"/>
  <c r="BA77" i="844" a="1"/>
  <c r="AY97" i="844"/>
  <c r="BA97" i="844" a="1"/>
  <c r="AY107" i="844"/>
  <c r="BA107" i="844" a="1"/>
  <c r="AY127" i="844"/>
  <c r="BA127" i="844" a="1"/>
  <c r="AY141" i="844"/>
  <c r="BA141" i="844" a="1"/>
  <c r="AX144" i="844"/>
  <c r="AZ144" i="844" a="1"/>
  <c r="AX146" i="844"/>
  <c r="AZ146" i="844" a="1"/>
  <c r="AY149" i="844"/>
  <c r="BA149" i="844" a="1"/>
  <c r="AY159" i="844"/>
  <c r="BA159" i="844" a="1"/>
  <c r="AX164" i="844"/>
  <c r="AZ164" i="844" a="1"/>
  <c r="AX172" i="844"/>
  <c r="AZ172" i="844" a="1"/>
  <c r="AX174" i="844"/>
  <c r="AZ174" i="844" a="1"/>
  <c r="AY176" i="844"/>
  <c r="BA176" i="844" a="1"/>
  <c r="AY205" i="844"/>
  <c r="BA205" i="844" a="1"/>
  <c r="AX215" i="844"/>
  <c r="AZ215" i="844" a="1"/>
  <c r="AC91" i="844"/>
  <c r="AC116" i="844"/>
  <c r="AC125" i="844"/>
  <c r="AC128" i="844"/>
  <c r="AC147" i="844"/>
  <c r="AC152" i="844"/>
  <c r="AC169" i="844"/>
  <c r="AC191" i="844"/>
  <c r="AC202" i="844"/>
  <c r="AC206" i="844"/>
  <c r="AC29" i="844"/>
  <c r="AC33" i="844"/>
  <c r="AC37" i="844"/>
  <c r="AC42" i="844"/>
  <c r="AC46" i="844"/>
  <c r="AC51" i="844"/>
  <c r="AC54" i="844"/>
  <c r="AC60" i="844"/>
  <c r="AC67" i="844"/>
  <c r="AC75" i="844"/>
  <c r="AC80" i="844"/>
  <c r="AC90" i="844"/>
  <c r="AC100" i="844"/>
  <c r="AC107" i="844"/>
  <c r="AC117" i="844"/>
  <c r="AC120" i="844"/>
  <c r="AC137" i="844"/>
  <c r="AC139" i="844"/>
  <c r="AC155" i="844"/>
  <c r="AC159" i="844"/>
  <c r="AC163" i="844"/>
  <c r="AC168" i="844"/>
  <c r="AC179" i="844"/>
  <c r="AC200" i="844"/>
  <c r="AC208" i="844"/>
  <c r="AC38" i="844"/>
  <c r="AC47" i="844"/>
  <c r="AC52" i="844"/>
  <c r="AC59" i="844"/>
  <c r="AC66" i="844"/>
  <c r="AC71" i="844"/>
  <c r="AC79" i="844"/>
  <c r="AC84" i="844"/>
  <c r="AC87" i="844"/>
  <c r="AC96" i="844"/>
  <c r="AC109" i="844"/>
  <c r="AC119" i="844"/>
  <c r="AC124" i="844"/>
  <c r="AC129" i="844"/>
  <c r="AC132" i="844"/>
  <c r="AC141" i="844"/>
  <c r="AC157" i="844"/>
  <c r="AC160" i="844"/>
  <c r="AC166" i="844"/>
  <c r="AC181" i="844"/>
  <c r="AC187" i="844"/>
  <c r="AC218" i="844"/>
  <c r="AC30" i="844"/>
  <c r="AC36" i="844"/>
  <c r="AC41" i="844"/>
  <c r="AC48" i="844"/>
  <c r="AC50" i="844"/>
  <c r="AC55" i="844"/>
  <c r="AC57" i="844"/>
  <c r="AC62" i="844"/>
  <c r="AC70" i="844"/>
  <c r="AC73" i="844"/>
  <c r="AC77" i="844"/>
  <c r="AC83" i="844"/>
  <c r="AC86" i="844"/>
  <c r="AC99" i="844"/>
  <c r="AC112" i="844"/>
  <c r="AC114" i="844"/>
  <c r="AC118" i="844"/>
  <c r="AC121" i="844"/>
  <c r="AC131" i="844"/>
  <c r="AC136" i="844"/>
  <c r="AC153" i="844"/>
  <c r="AC167" i="844"/>
  <c r="AC170" i="844"/>
  <c r="AC176" i="844"/>
  <c r="AC183" i="844"/>
  <c r="AC190" i="844"/>
  <c r="AC195" i="844"/>
  <c r="AC197" i="844"/>
  <c r="AC201" i="844"/>
  <c r="AC203" i="844"/>
  <c r="AC211" i="844"/>
  <c r="AC213" i="844"/>
  <c r="AC215" i="844"/>
  <c r="AC28" i="844"/>
  <c r="AC31" i="844"/>
  <c r="AC35" i="844"/>
  <c r="AC39" i="844"/>
  <c r="AC44" i="844"/>
  <c r="AC49" i="844"/>
  <c r="AC58" i="844"/>
  <c r="AC63" i="844"/>
  <c r="AC69" i="844"/>
  <c r="AC74" i="844"/>
  <c r="AC81" i="844"/>
  <c r="AC89" i="844"/>
  <c r="AC92" i="844"/>
  <c r="AC95" i="844"/>
  <c r="AC98" i="844"/>
  <c r="AC106" i="844"/>
  <c r="AC113" i="844"/>
  <c r="AC122" i="844"/>
  <c r="AC127" i="844"/>
  <c r="AC134" i="844"/>
  <c r="AC144" i="844"/>
  <c r="AC150" i="844"/>
  <c r="AC162" i="844"/>
  <c r="AC180" i="844"/>
  <c r="AC184" i="844"/>
  <c r="AC193" i="844"/>
  <c r="AC198" i="844"/>
  <c r="AC210" i="844"/>
  <c r="AC216" i="844"/>
  <c r="AC171" i="844"/>
  <c r="AC217" i="844"/>
  <c r="AC43" i="844"/>
  <c r="AC76" i="844"/>
  <c r="AC82" i="844"/>
  <c r="AC85" i="844"/>
  <c r="AC88" i="844"/>
  <c r="AC97" i="844"/>
  <c r="AC105" i="844"/>
  <c r="AC115" i="844"/>
  <c r="AC123" i="844"/>
  <c r="AC126" i="844"/>
  <c r="AC130" i="844"/>
  <c r="AC143" i="844"/>
  <c r="AC146" i="844"/>
  <c r="AC151" i="844"/>
  <c r="AC164" i="844"/>
  <c r="AC173" i="844"/>
  <c r="AC186" i="844"/>
  <c r="AC189" i="844"/>
  <c r="AC196" i="844"/>
  <c r="AC205" i="844"/>
  <c r="AC207" i="844"/>
  <c r="AC219" i="844"/>
  <c r="AC65" i="844"/>
  <c r="AC94" i="844"/>
  <c r="AC103" i="844"/>
  <c r="AC110" i="844"/>
  <c r="AC135" i="844"/>
  <c r="AC142" i="844"/>
  <c r="AC149" i="844"/>
  <c r="AC154" i="844"/>
  <c r="AC174" i="844"/>
  <c r="AC188" i="844"/>
  <c r="AC204" i="844"/>
  <c r="AC27" i="844"/>
  <c r="AC32" i="844"/>
  <c r="AC34" i="844"/>
  <c r="AC40" i="844"/>
  <c r="AC45" i="844"/>
  <c r="AC53" i="844"/>
  <c r="AC56" i="844"/>
  <c r="AC64" i="844"/>
  <c r="AC68" i="844"/>
  <c r="AC72" i="844"/>
  <c r="AC78" i="844"/>
  <c r="AC101" i="844"/>
  <c r="AC104" i="844"/>
  <c r="AC108" i="844"/>
  <c r="AC133" i="844"/>
  <c r="AC138" i="844"/>
  <c r="AC156" i="844"/>
  <c r="AC161" i="844"/>
  <c r="AC165" i="844"/>
  <c r="AC172" i="844"/>
  <c r="AC177" i="844"/>
  <c r="AC185" i="844"/>
  <c r="AC199" i="844"/>
  <c r="AC209" i="844"/>
  <c r="AC214" i="844"/>
  <c r="AC61" i="844"/>
  <c r="AC93" i="844"/>
  <c r="AC102" i="844"/>
  <c r="AC111" i="844"/>
  <c r="AC140" i="844"/>
  <c r="AC145" i="844"/>
  <c r="AC148" i="844"/>
  <c r="AC158" i="844"/>
  <c r="AC175" i="844"/>
  <c r="AC178" i="844"/>
  <c r="AC182" i="844"/>
  <c r="AC192" i="844"/>
  <c r="AC194" i="844"/>
  <c r="AC212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U27" i="825"/>
  <c r="U25" i="825"/>
  <c r="U26" i="825"/>
  <c r="AQ8" i="825"/>
  <c r="R208" i="840"/>
  <c r="AP87" i="841"/>
  <c r="AP86" i="841"/>
  <c r="AP85" i="841"/>
  <c r="AP84" i="841"/>
  <c r="AP83" i="841"/>
  <c r="AP82" i="841"/>
  <c r="AP81" i="841"/>
  <c r="AP80" i="841"/>
  <c r="AP79" i="841"/>
  <c r="AP78" i="841"/>
  <c r="AP77" i="841"/>
  <c r="AP12" i="841"/>
  <c r="AP10" i="841"/>
  <c r="AP9" i="841"/>
  <c r="AP72" i="841"/>
  <c r="AP56" i="841"/>
  <c r="AP55" i="841"/>
  <c r="AP54" i="841"/>
  <c r="AP53" i="841"/>
  <c r="AP52" i="841"/>
  <c r="AP51" i="841"/>
  <c r="AP50" i="841"/>
  <c r="AP49" i="841"/>
  <c r="AP45" i="841"/>
  <c r="AP44" i="841"/>
  <c r="AP43" i="841"/>
  <c r="AP42" i="841"/>
  <c r="AP41" i="841"/>
  <c r="AP40" i="841"/>
  <c r="AP39" i="841"/>
  <c r="AP15" i="841"/>
  <c r="AP14" i="841"/>
  <c r="AP13" i="841"/>
  <c r="AP48" i="841"/>
  <c r="AP47" i="841"/>
  <c r="AP46" i="841"/>
  <c r="AP11" i="841"/>
  <c r="AP24" i="841"/>
  <c r="AP23" i="841"/>
  <c r="AP22" i="841"/>
  <c r="AP21" i="841"/>
  <c r="AP20" i="841"/>
  <c r="AP19" i="841"/>
  <c r="AP18" i="841"/>
  <c r="AP17" i="841"/>
  <c r="AP16" i="841"/>
  <c r="AU8" i="841" a="1"/>
  <c r="AQ8" i="841" s="1"/>
  <c r="AP8" i="841" s="1"/>
  <c r="AA8" i="841" a="1"/>
  <c r="AO8" i="841"/>
  <c r="AT8" i="841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AR204" i="824"/>
  <c r="J87" i="824"/>
  <c r="I87" i="824"/>
  <c r="J86" i="824"/>
  <c r="I86" i="824"/>
  <c r="J85" i="824"/>
  <c r="I85" i="824"/>
  <c r="J84" i="824"/>
  <c r="I84" i="824"/>
  <c r="J83" i="824"/>
  <c r="I83" i="824"/>
  <c r="J82" i="824"/>
  <c r="I82" i="824"/>
  <c r="J81" i="824"/>
  <c r="I81" i="824"/>
  <c r="J80" i="824"/>
  <c r="I80" i="824"/>
  <c r="AR196" i="824"/>
  <c r="J79" i="824"/>
  <c r="I79" i="824"/>
  <c r="J78" i="824"/>
  <c r="I78" i="824"/>
  <c r="J77" i="824"/>
  <c r="I77" i="824"/>
  <c r="J76" i="824"/>
  <c r="I76" i="824"/>
  <c r="J75" i="824"/>
  <c r="I75" i="824"/>
  <c r="J74" i="824"/>
  <c r="I74" i="824"/>
  <c r="J73" i="824"/>
  <c r="I73" i="824"/>
  <c r="J72" i="824"/>
  <c r="I72" i="824"/>
  <c r="J71" i="824"/>
  <c r="I71" i="824"/>
  <c r="J70" i="824"/>
  <c r="I70" i="824"/>
  <c r="J69" i="824"/>
  <c r="I69" i="824"/>
  <c r="J68" i="824"/>
  <c r="I68" i="824"/>
  <c r="J67" i="824"/>
  <c r="I67" i="824"/>
  <c r="J66" i="824"/>
  <c r="I66" i="824"/>
  <c r="J65" i="824"/>
  <c r="I65" i="824"/>
  <c r="J64" i="824"/>
  <c r="I64" i="824"/>
  <c r="AR180" i="824"/>
  <c r="J63" i="824"/>
  <c r="I63" i="824"/>
  <c r="J62" i="824"/>
  <c r="I62" i="824"/>
  <c r="J61" i="824"/>
  <c r="I61" i="824"/>
  <c r="J60" i="824"/>
  <c r="I60" i="824"/>
  <c r="J59" i="824"/>
  <c r="I59" i="824"/>
  <c r="J58" i="824"/>
  <c r="I58" i="824"/>
  <c r="J57" i="824"/>
  <c r="I57" i="824"/>
  <c r="J56" i="824"/>
  <c r="I56" i="824"/>
  <c r="AR172" i="824"/>
  <c r="J55" i="824"/>
  <c r="I55" i="824"/>
  <c r="J54" i="824"/>
  <c r="I54" i="824"/>
  <c r="J53" i="824"/>
  <c r="I53" i="824"/>
  <c r="J52" i="824"/>
  <c r="I52" i="824"/>
  <c r="J51" i="824"/>
  <c r="I51" i="824"/>
  <c r="J50" i="824"/>
  <c r="I50" i="824"/>
  <c r="J49" i="824"/>
  <c r="I49" i="824"/>
  <c r="J48" i="824"/>
  <c r="I48" i="824"/>
  <c r="J47" i="824"/>
  <c r="I47" i="824"/>
  <c r="J46" i="824"/>
  <c r="I46" i="824"/>
  <c r="J45" i="824"/>
  <c r="I45" i="824"/>
  <c r="J44" i="824"/>
  <c r="I44" i="824"/>
  <c r="J43" i="824"/>
  <c r="I43" i="824"/>
  <c r="J42" i="824"/>
  <c r="I42" i="824"/>
  <c r="J41" i="824"/>
  <c r="I41" i="824"/>
  <c r="J40" i="824"/>
  <c r="I40" i="824"/>
  <c r="AR156" i="824"/>
  <c r="J39" i="824"/>
  <c r="I39" i="824"/>
  <c r="J38" i="824"/>
  <c r="I38" i="824"/>
  <c r="J37" i="824"/>
  <c r="I37" i="824"/>
  <c r="J36" i="824"/>
  <c r="I36" i="824"/>
  <c r="J35" i="824"/>
  <c r="I35" i="824"/>
  <c r="J34" i="824"/>
  <c r="I34" i="824"/>
  <c r="J33" i="824"/>
  <c r="I33" i="824"/>
  <c r="J32" i="824"/>
  <c r="I32" i="824"/>
  <c r="AR148" i="824"/>
  <c r="J31" i="824"/>
  <c r="I31" i="824"/>
  <c r="J30" i="824"/>
  <c r="I30" i="824"/>
  <c r="J29" i="824"/>
  <c r="I29" i="824"/>
  <c r="J28" i="824"/>
  <c r="I28" i="824"/>
  <c r="J27" i="824"/>
  <c r="I27" i="824"/>
  <c r="J26" i="824"/>
  <c r="I26" i="824"/>
  <c r="J25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I8" i="824"/>
  <c r="AC7" i="805"/>
  <c r="U9" i="825" l="1"/>
  <c r="U21" i="825"/>
  <c r="K17" i="824"/>
  <c r="AD17" i="824"/>
  <c r="Q17" i="824" s="1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Q16" i="824" s="1"/>
  <c r="AO16" i="824"/>
  <c r="AO15" i="824"/>
  <c r="Y15" i="824"/>
  <c r="AN15" i="824"/>
  <c r="AL15" i="824" s="1"/>
  <c r="Z15" i="824" s="1"/>
  <c r="AE15" i="824"/>
  <c r="AM15" i="824"/>
  <c r="AD15" i="824"/>
  <c r="Q15" i="824" s="1"/>
  <c r="AD14" i="824"/>
  <c r="Q14" i="824" s="1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Q13" i="824" s="1"/>
  <c r="AE13" i="824"/>
  <c r="Y12" i="824"/>
  <c r="AE12" i="824"/>
  <c r="AM12" i="824"/>
  <c r="AO12" i="824"/>
  <c r="AN12" i="824"/>
  <c r="AL12" i="824" s="1"/>
  <c r="Z12" i="824" s="1"/>
  <c r="AD12" i="824"/>
  <c r="Q12" i="824" s="1"/>
  <c r="Y11" i="824"/>
  <c r="AD11" i="824"/>
  <c r="Q11" i="824" s="1"/>
  <c r="AM11" i="824"/>
  <c r="AO11" i="824"/>
  <c r="AE11" i="824"/>
  <c r="AN11" i="824"/>
  <c r="AL11" i="824" s="1"/>
  <c r="Z11" i="824" s="1"/>
  <c r="AD10" i="824"/>
  <c r="Q10" i="824" s="1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Q9" i="824" s="1"/>
  <c r="AD8" i="824"/>
  <c r="Q8" i="824" s="1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Z32" i="824"/>
  <c r="Z31" i="824"/>
  <c r="W31" i="824"/>
  <c r="Z30" i="824"/>
  <c r="W30" i="824"/>
  <c r="W29" i="824"/>
  <c r="Z29" i="824"/>
  <c r="Z28" i="824"/>
  <c r="W28" i="824"/>
  <c r="W27" i="824"/>
  <c r="Z27" i="824"/>
  <c r="Z26" i="824"/>
  <c r="W26" i="824"/>
  <c r="Z25" i="824"/>
  <c r="W25" i="824"/>
  <c r="Z24" i="824"/>
  <c r="W24" i="824"/>
  <c r="W23" i="824"/>
  <c r="Z23" i="824"/>
  <c r="W22" i="824"/>
  <c r="Z22" i="824"/>
  <c r="W21" i="824"/>
  <c r="Z21" i="824"/>
  <c r="Z20" i="824"/>
  <c r="W20" i="824"/>
  <c r="W19" i="824"/>
  <c r="Z19" i="824"/>
  <c r="Z18" i="824"/>
  <c r="W18" i="824"/>
  <c r="W17" i="824"/>
  <c r="W16" i="824"/>
  <c r="W15" i="824"/>
  <c r="W14" i="824"/>
  <c r="W13" i="824"/>
  <c r="W12" i="824"/>
  <c r="W11" i="824"/>
  <c r="W10" i="824"/>
  <c r="W9" i="824"/>
  <c r="AB148" i="844"/>
  <c r="AB211" i="844"/>
  <c r="AB121" i="844"/>
  <c r="AB136" i="84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AB100" i="844"/>
  <c r="AB194" i="844"/>
  <c r="AA130" i="844"/>
  <c r="BB130" i="844" s="1"/>
  <c r="AB175" i="844"/>
  <c r="AB130" i="844"/>
  <c r="AA33" i="844"/>
  <c r="BB33" i="844" s="1"/>
  <c r="AA45" i="844"/>
  <c r="BB45" i="844" s="1"/>
  <c r="AB215" i="844"/>
  <c r="AB42" i="844"/>
  <c r="AB80" i="844"/>
  <c r="AB111" i="844"/>
  <c r="AB184" i="844"/>
  <c r="AB192" i="844"/>
  <c r="AB178" i="844"/>
  <c r="AB185" i="844"/>
  <c r="AB180" i="844"/>
  <c r="AB191" i="844"/>
  <c r="AB198" i="844"/>
  <c r="AB187" i="844"/>
  <c r="AB28" i="844"/>
  <c r="AB95" i="844"/>
  <c r="AB163" i="844"/>
  <c r="AB90" i="844"/>
  <c r="AB62" i="844"/>
  <c r="AB196" i="844"/>
  <c r="AB210" i="844"/>
  <c r="AB56" i="844"/>
  <c r="AA82" i="844"/>
  <c r="BB82" i="844" s="1"/>
  <c r="AB125" i="844"/>
  <c r="AB63" i="844"/>
  <c r="AB119" i="844"/>
  <c r="AB102" i="844"/>
  <c r="AB118" i="844"/>
  <c r="AB182" i="844"/>
  <c r="AB186" i="844"/>
  <c r="AB155" i="844"/>
  <c r="AB104" i="844"/>
  <c r="AB86" i="844"/>
  <c r="AB109" i="844"/>
  <c r="AB114" i="844"/>
  <c r="AB58" i="844"/>
  <c r="AB105" i="844"/>
  <c r="AB201" i="844"/>
  <c r="AB32" i="844"/>
  <c r="AB48" i="844"/>
  <c r="AB76" i="844"/>
  <c r="AB79" i="844"/>
  <c r="AB89" i="844"/>
  <c r="AB200" i="844"/>
  <c r="AB92" i="844"/>
  <c r="AB153" i="844"/>
  <c r="AB176" i="844"/>
  <c r="AB204" i="844"/>
  <c r="AB209" i="844"/>
  <c r="AB29" i="844"/>
  <c r="AB77" i="844"/>
  <c r="AB36" i="844"/>
  <c r="AB60" i="844"/>
  <c r="AA65" i="844"/>
  <c r="BB65" i="844" s="1"/>
  <c r="AB189" i="844"/>
  <c r="AB143" i="844"/>
  <c r="AB66" i="844"/>
  <c r="AA47" i="844"/>
  <c r="BB47" i="844" s="1"/>
  <c r="AA75" i="844"/>
  <c r="BB75" i="844" s="1"/>
  <c r="AA84" i="844"/>
  <c r="BB84" i="844" s="1"/>
  <c r="AA49" i="844"/>
  <c r="BB49" i="844" s="1"/>
  <c r="AA62" i="844"/>
  <c r="BB62" i="844" s="1"/>
  <c r="AA128" i="844"/>
  <c r="BB128" i="844" s="1"/>
  <c r="AA64" i="844"/>
  <c r="BB64" i="844" s="1"/>
  <c r="AA179" i="844"/>
  <c r="BB179" i="844" s="1"/>
  <c r="AA180" i="844"/>
  <c r="BB180" i="844" s="1"/>
  <c r="AA181" i="844"/>
  <c r="BB181" i="844" s="1"/>
  <c r="AA192" i="844"/>
  <c r="BB192" i="844" s="1"/>
  <c r="AA40" i="844"/>
  <c r="BB40" i="844" s="1"/>
  <c r="AB68" i="844"/>
  <c r="AA69" i="844"/>
  <c r="BB69" i="844" s="1"/>
  <c r="AB74" i="844"/>
  <c r="AA98" i="844"/>
  <c r="BB98" i="844" s="1"/>
  <c r="AB132" i="844"/>
  <c r="AB40" i="844"/>
  <c r="AB51" i="844"/>
  <c r="AB59" i="844"/>
  <c r="AB70" i="844"/>
  <c r="AB135" i="844"/>
  <c r="AB151" i="844"/>
  <c r="AB83" i="844"/>
  <c r="AB96" i="844"/>
  <c r="AB99" i="844"/>
  <c r="AB157" i="844"/>
  <c r="AB69" i="844"/>
  <c r="AB138" i="844"/>
  <c r="AB87" i="844"/>
  <c r="AB88" i="844"/>
  <c r="AB156" i="844"/>
  <c r="AB37" i="844"/>
  <c r="AB85" i="844"/>
  <c r="AB139" i="844"/>
  <c r="AB117" i="844"/>
  <c r="AB150" i="844"/>
  <c r="AB171" i="844"/>
  <c r="AB219" i="844"/>
  <c r="AB140" i="844"/>
  <c r="AB141" i="844"/>
  <c r="AA186" i="844"/>
  <c r="BB186" i="844" s="1"/>
  <c r="AA187" i="844"/>
  <c r="BB187" i="844" s="1"/>
  <c r="AA191" i="844"/>
  <c r="BB191" i="844" s="1"/>
  <c r="AA36" i="844"/>
  <c r="BB36" i="844" s="1"/>
  <c r="AA184" i="844"/>
  <c r="BB184" i="844" s="1"/>
  <c r="AA185" i="844"/>
  <c r="BB185" i="844" s="1"/>
  <c r="AA86" i="844"/>
  <c r="BB86" i="844" s="1"/>
  <c r="AB161" i="844"/>
  <c r="AB113" i="844"/>
  <c r="AB133" i="844"/>
  <c r="AB142" i="844"/>
  <c r="AB145" i="844"/>
  <c r="AB147" i="844"/>
  <c r="AB169" i="844"/>
  <c r="AB217" i="844"/>
  <c r="AB97" i="844"/>
  <c r="AB101" i="844"/>
  <c r="AB108" i="844"/>
  <c r="AB123" i="844"/>
  <c r="AB195" i="844"/>
  <c r="AB199" i="844"/>
  <c r="AB159" i="844"/>
  <c r="AB127" i="844"/>
  <c r="AB205" i="844"/>
  <c r="AA143" i="844"/>
  <c r="BB143" i="844" s="1"/>
  <c r="AA68" i="844"/>
  <c r="BB68" i="844" s="1"/>
  <c r="AA66" i="844"/>
  <c r="BB66" i="844" s="1"/>
  <c r="AA87" i="844"/>
  <c r="BB87" i="844" s="1"/>
  <c r="AA203" i="844"/>
  <c r="BB203" i="844" s="1"/>
  <c r="AA217" i="844"/>
  <c r="BB217" i="844" s="1"/>
  <c r="AA39" i="844"/>
  <c r="BB39" i="844" s="1"/>
  <c r="AA67" i="844"/>
  <c r="BB67" i="844" s="1"/>
  <c r="AA200" i="844"/>
  <c r="BB200" i="844" s="1"/>
  <c r="AB112" i="844"/>
  <c r="AB190" i="844"/>
  <c r="AB82" i="844"/>
  <c r="AB98" i="844"/>
  <c r="AB34" i="844"/>
  <c r="AB46" i="844"/>
  <c r="AB53" i="844"/>
  <c r="AB65" i="844"/>
  <c r="AB71" i="844"/>
  <c r="AB78" i="844"/>
  <c r="AB106" i="844"/>
  <c r="AB214" i="844"/>
  <c r="AB216" i="844"/>
  <c r="AB61" i="844"/>
  <c r="AB72" i="844"/>
  <c r="AB93" i="844"/>
  <c r="AA119" i="844"/>
  <c r="BB119" i="844" s="1"/>
  <c r="AB120" i="844"/>
  <c r="AB122" i="844"/>
  <c r="AB126" i="844"/>
  <c r="AB134" i="844"/>
  <c r="AB165" i="844"/>
  <c r="AB166" i="844"/>
  <c r="AB167" i="844"/>
  <c r="AB81" i="844"/>
  <c r="AB144" i="844"/>
  <c r="AB146" i="844"/>
  <c r="AB164" i="844"/>
  <c r="AB172" i="844"/>
  <c r="AB173" i="844"/>
  <c r="AB174" i="844"/>
  <c r="AB218" i="844"/>
  <c r="AB35" i="844"/>
  <c r="AB202" i="844"/>
  <c r="AB115" i="844"/>
  <c r="AB129" i="844"/>
  <c r="AB177" i="844"/>
  <c r="AB206" i="844"/>
  <c r="AB213" i="844"/>
  <c r="AA80" i="844"/>
  <c r="BB80" i="844" s="1"/>
  <c r="AA110" i="844"/>
  <c r="BB110" i="844" s="1"/>
  <c r="AA72" i="844"/>
  <c r="BB72" i="844" s="1"/>
  <c r="AA44" i="844"/>
  <c r="BB44" i="844" s="1"/>
  <c r="AA71" i="844"/>
  <c r="BB71" i="844" s="1"/>
  <c r="AA92" i="844"/>
  <c r="BB92" i="844" s="1"/>
  <c r="AA131" i="844"/>
  <c r="BB131" i="844" s="1"/>
  <c r="AA134" i="844"/>
  <c r="BB134" i="844" s="1"/>
  <c r="AA104" i="844"/>
  <c r="BB104" i="844" s="1"/>
  <c r="AA57" i="844"/>
  <c r="BB57" i="844" s="1"/>
  <c r="AA182" i="844"/>
  <c r="BB182" i="844" s="1"/>
  <c r="AA183" i="844"/>
  <c r="BB183" i="844" s="1"/>
  <c r="AA95" i="844"/>
  <c r="BB95" i="844" s="1"/>
  <c r="AA153" i="844"/>
  <c r="BB153" i="844" s="1"/>
  <c r="AA42" i="844"/>
  <c r="BB42" i="844" s="1"/>
  <c r="AA177" i="844"/>
  <c r="BB177" i="844" s="1"/>
  <c r="AA189" i="844"/>
  <c r="BB189" i="844" s="1"/>
  <c r="AA193" i="844"/>
  <c r="BB193" i="844" s="1"/>
  <c r="AA107" i="844"/>
  <c r="BB107" i="844" s="1"/>
  <c r="AA108" i="844"/>
  <c r="BB108" i="844" s="1"/>
  <c r="AA165" i="844"/>
  <c r="BB165" i="844" s="1"/>
  <c r="AA137" i="844"/>
  <c r="BB137" i="844" s="1"/>
  <c r="AA56" i="844"/>
  <c r="BB56" i="844" s="1"/>
  <c r="AA77" i="844"/>
  <c r="BB77" i="844" s="1"/>
  <c r="AA101" i="844"/>
  <c r="BB101" i="844" s="1"/>
  <c r="AA102" i="844"/>
  <c r="BB102" i="844" s="1"/>
  <c r="AA160" i="844"/>
  <c r="BB160" i="844" s="1"/>
  <c r="AA161" i="844"/>
  <c r="BB161" i="844" s="1"/>
  <c r="AA167" i="844"/>
  <c r="BB167" i="844" s="1"/>
  <c r="AA215" i="844"/>
  <c r="BB215" i="844" s="1"/>
  <c r="AA99" i="844"/>
  <c r="BB99" i="844" s="1"/>
  <c r="AA28" i="844"/>
  <c r="BB28" i="844" s="1"/>
  <c r="AA164" i="844"/>
  <c r="BB164" i="844" s="1"/>
  <c r="AA166" i="844"/>
  <c r="BB166" i="844" s="1"/>
  <c r="AA27" i="844"/>
  <c r="BB27" i="844" s="1"/>
  <c r="AA41" i="844"/>
  <c r="BB41" i="844" s="1"/>
  <c r="AA48" i="844"/>
  <c r="BB48" i="844" s="1"/>
  <c r="AA79" i="844"/>
  <c r="BB79" i="844" s="1"/>
  <c r="AA60" i="844"/>
  <c r="BB60" i="844" s="1"/>
  <c r="AA73" i="844"/>
  <c r="BB73" i="844" s="1"/>
  <c r="AA171" i="844"/>
  <c r="BB171" i="844" s="1"/>
  <c r="AA32" i="844"/>
  <c r="BB32" i="844" s="1"/>
  <c r="AA97" i="844"/>
  <c r="BB97" i="844" s="1"/>
  <c r="AA117" i="844"/>
  <c r="BB117" i="844" s="1"/>
  <c r="AA140" i="844"/>
  <c r="BB140" i="844" s="1"/>
  <c r="AA214" i="844"/>
  <c r="BB214" i="844" s="1"/>
  <c r="AA176" i="844"/>
  <c r="BB176" i="844" s="1"/>
  <c r="AA129" i="844"/>
  <c r="BB129" i="844" s="1"/>
  <c r="AB197" i="844"/>
  <c r="AB43" i="844"/>
  <c r="AB91" i="844"/>
  <c r="AB73" i="844"/>
  <c r="AB188" i="844"/>
  <c r="AB50" i="844"/>
  <c r="AB107" i="844"/>
  <c r="AB203" i="844"/>
  <c r="AB38" i="844"/>
  <c r="AB52" i="844"/>
  <c r="AB67" i="844"/>
  <c r="AB94" i="844"/>
  <c r="AB110" i="844"/>
  <c r="AB137" i="844"/>
  <c r="AB162" i="844"/>
  <c r="AB179" i="844"/>
  <c r="AB212" i="844"/>
  <c r="AB124" i="844"/>
  <c r="AB154" i="844"/>
  <c r="AB55" i="844"/>
  <c r="AB103" i="844"/>
  <c r="AB207" i="844"/>
  <c r="AB208" i="844"/>
  <c r="AB54" i="844"/>
  <c r="AB30" i="844"/>
  <c r="AB183" i="844"/>
  <c r="AB181" i="844"/>
  <c r="AB149" i="844"/>
  <c r="AB160" i="844"/>
  <c r="AB193" i="844"/>
  <c r="AB39" i="844"/>
  <c r="AB116" i="844"/>
  <c r="AB152" i="844"/>
  <c r="AB168" i="844"/>
  <c r="AA158" i="844"/>
  <c r="BB158" i="844" s="1"/>
  <c r="AB158" i="844"/>
  <c r="AA89" i="844"/>
  <c r="BB89" i="844" s="1"/>
  <c r="AA96" i="844"/>
  <c r="BB96" i="844" s="1"/>
  <c r="AA120" i="844"/>
  <c r="BB120" i="844" s="1"/>
  <c r="AA121" i="844"/>
  <c r="BB121" i="844" s="1"/>
  <c r="AA150" i="844"/>
  <c r="BB150" i="844" s="1"/>
  <c r="AA151" i="844"/>
  <c r="BB151" i="844" s="1"/>
  <c r="AA169" i="844"/>
  <c r="BB169" i="844" s="1"/>
  <c r="AA205" i="844"/>
  <c r="BB205" i="844" s="1"/>
  <c r="AA168" i="844"/>
  <c r="BB168" i="844" s="1"/>
  <c r="AA198" i="844"/>
  <c r="BB198" i="844" s="1"/>
  <c r="AA216" i="844"/>
  <c r="BB216" i="844" s="1"/>
  <c r="AA170" i="844"/>
  <c r="BB170" i="844" s="1"/>
  <c r="AA201" i="844"/>
  <c r="BB201" i="844" s="1"/>
  <c r="AA113" i="844"/>
  <c r="BB113" i="844" s="1"/>
  <c r="AA78" i="844"/>
  <c r="BB78" i="844" s="1"/>
  <c r="AA125" i="844"/>
  <c r="BB125" i="844" s="1"/>
  <c r="AA199" i="844"/>
  <c r="BB199" i="844" s="1"/>
  <c r="AA88" i="844"/>
  <c r="BB88" i="844" s="1"/>
  <c r="AA70" i="844"/>
  <c r="BB70" i="844" s="1"/>
  <c r="AA204" i="844"/>
  <c r="BB204" i="844" s="1"/>
  <c r="AA218" i="844"/>
  <c r="BB218" i="844" s="1"/>
  <c r="AA159" i="844"/>
  <c r="BB159" i="844" s="1"/>
  <c r="AA144" i="844"/>
  <c r="BB144" i="844" s="1"/>
  <c r="AA146" i="844"/>
  <c r="BB146" i="844" s="1"/>
  <c r="AA126" i="844"/>
  <c r="BB126" i="844" s="1"/>
  <c r="AA173" i="844"/>
  <c r="BB173" i="844" s="1"/>
  <c r="AA210" i="844"/>
  <c r="BB210" i="844" s="1"/>
  <c r="AA94" i="844"/>
  <c r="BB94" i="844" s="1"/>
  <c r="AA34" i="844"/>
  <c r="BB34" i="844" s="1"/>
  <c r="AA30" i="844"/>
  <c r="BB30" i="844" s="1"/>
  <c r="AA162" i="844"/>
  <c r="BB162" i="844" s="1"/>
  <c r="AA90" i="844"/>
  <c r="BB90" i="844" s="1"/>
  <c r="AA155" i="844"/>
  <c r="BB155" i="844" s="1"/>
  <c r="AA58" i="844"/>
  <c r="BB58" i="844" s="1"/>
  <c r="AA105" i="844"/>
  <c r="BB105" i="844" s="1"/>
  <c r="AA109" i="844"/>
  <c r="BB109" i="844" s="1"/>
  <c r="AA122" i="844"/>
  <c r="BB122" i="844" s="1"/>
  <c r="AA138" i="844"/>
  <c r="BB138" i="844" s="1"/>
  <c r="AA139" i="844"/>
  <c r="BB139" i="844" s="1"/>
  <c r="AA196" i="844"/>
  <c r="BB196" i="844" s="1"/>
  <c r="AA207" i="844"/>
  <c r="BB207" i="844" s="1"/>
  <c r="AA212" i="844"/>
  <c r="BB212" i="844" s="1"/>
  <c r="AA163" i="844"/>
  <c r="BB163" i="844" s="1"/>
  <c r="AA194" i="844"/>
  <c r="BB194" i="844" s="1"/>
  <c r="AA123" i="844"/>
  <c r="BB123" i="844" s="1"/>
  <c r="AA175" i="844"/>
  <c r="BB175" i="844" s="1"/>
  <c r="AA35" i="844"/>
  <c r="BB35" i="844" s="1"/>
  <c r="AA53" i="844"/>
  <c r="BB53" i="844" s="1"/>
  <c r="AA172" i="844"/>
  <c r="BB172" i="844" s="1"/>
  <c r="AA85" i="844"/>
  <c r="BB85" i="844" s="1"/>
  <c r="AA124" i="844"/>
  <c r="BB124" i="844" s="1"/>
  <c r="AA127" i="844"/>
  <c r="BB127" i="844" s="1"/>
  <c r="AA74" i="844"/>
  <c r="BB74" i="844" s="1"/>
  <c r="AA174" i="844"/>
  <c r="BB174" i="844" s="1"/>
  <c r="AA76" i="844"/>
  <c r="BB76" i="844" s="1"/>
  <c r="AA211" i="844"/>
  <c r="BB211" i="844" s="1"/>
  <c r="AA91" i="844"/>
  <c r="BB91" i="844" s="1"/>
  <c r="AA145" i="844"/>
  <c r="BB145" i="844" s="1"/>
  <c r="AA133" i="844"/>
  <c r="BB133" i="844" s="1"/>
  <c r="AA135" i="844"/>
  <c r="BB135" i="844" s="1"/>
  <c r="AA219" i="844"/>
  <c r="BB219" i="844" s="1"/>
  <c r="AA81" i="844"/>
  <c r="BB81" i="844" s="1"/>
  <c r="AA100" i="844"/>
  <c r="BB100" i="844" s="1"/>
  <c r="AA55" i="844"/>
  <c r="BB55" i="844" s="1"/>
  <c r="AA156" i="844"/>
  <c r="BB156" i="844" s="1"/>
  <c r="AA43" i="844"/>
  <c r="BB43" i="844" s="1"/>
  <c r="AA208" i="844"/>
  <c r="BB208" i="844" s="1"/>
  <c r="AA195" i="844"/>
  <c r="BB195" i="844" s="1"/>
  <c r="AA202" i="844"/>
  <c r="BB202" i="844" s="1"/>
  <c r="AA147" i="844"/>
  <c r="BB147" i="844" s="1"/>
  <c r="AA197" i="844"/>
  <c r="BB197" i="844" s="1"/>
  <c r="AA114" i="844"/>
  <c r="BB114" i="844" s="1"/>
  <c r="AA206" i="844"/>
  <c r="BB206" i="844" s="1"/>
  <c r="AA54" i="844"/>
  <c r="BB54" i="844" s="1"/>
  <c r="AA188" i="844"/>
  <c r="BB188" i="844" s="1"/>
  <c r="AA52" i="844"/>
  <c r="BB52" i="844" s="1"/>
  <c r="AA59" i="844"/>
  <c r="BB59" i="844" s="1"/>
  <c r="AA83" i="844"/>
  <c r="BB83" i="844" s="1"/>
  <c r="AA132" i="844"/>
  <c r="BB132" i="844" s="1"/>
  <c r="AA141" i="844"/>
  <c r="BB141" i="844" s="1"/>
  <c r="AA209" i="844"/>
  <c r="BB209" i="844" s="1"/>
  <c r="AA112" i="844"/>
  <c r="BB112" i="844" s="1"/>
  <c r="AA93" i="844"/>
  <c r="BB93" i="844" s="1"/>
  <c r="AA103" i="844"/>
  <c r="BB103" i="844" s="1"/>
  <c r="AA106" i="844"/>
  <c r="BB106" i="844" s="1"/>
  <c r="AA31" i="844"/>
  <c r="BB31" i="844" s="1"/>
  <c r="AA111" i="844"/>
  <c r="BB111" i="844" s="1"/>
  <c r="AA118" i="844"/>
  <c r="BB118" i="844" s="1"/>
  <c r="AA136" i="844"/>
  <c r="BB136" i="844" s="1"/>
  <c r="AA154" i="844"/>
  <c r="BB154" i="844" s="1"/>
  <c r="AA178" i="844"/>
  <c r="BB178" i="844" s="1"/>
  <c r="AA190" i="844"/>
  <c r="BB190" i="844" s="1"/>
  <c r="AA213" i="844"/>
  <c r="BB213" i="844" s="1"/>
  <c r="AA142" i="844"/>
  <c r="BB142" i="844" s="1"/>
  <c r="AA152" i="844"/>
  <c r="BB152" i="844" s="1"/>
  <c r="AA29" i="844"/>
  <c r="BB29" i="844" s="1"/>
  <c r="AA37" i="844"/>
  <c r="BB37" i="844" s="1"/>
  <c r="AA46" i="844"/>
  <c r="BB46" i="844" s="1"/>
  <c r="AA115" i="844"/>
  <c r="BB115" i="844" s="1"/>
  <c r="AA116" i="844"/>
  <c r="BB116" i="844" s="1"/>
  <c r="AA148" i="844"/>
  <c r="BB148" i="844" s="1"/>
  <c r="AA149" i="844"/>
  <c r="BB149" i="844" s="1"/>
  <c r="AA157" i="844"/>
  <c r="BB157" i="844" s="1"/>
  <c r="AA63" i="844"/>
  <c r="BB63" i="844" s="1"/>
  <c r="AA51" i="844"/>
  <c r="BB51" i="844" s="1"/>
  <c r="AA61" i="844"/>
  <c r="BB61" i="844" s="1"/>
  <c r="BW144" i="825"/>
  <c r="CA144" i="825" s="1"/>
  <c r="BE144" i="825"/>
  <c r="BI144" i="825" s="1"/>
  <c r="Y27" i="825"/>
  <c r="BW139" i="825"/>
  <c r="CA139" i="825" s="1"/>
  <c r="Y22" i="825"/>
  <c r="BE139" i="825"/>
  <c r="BI139" i="825" s="1"/>
  <c r="Y23" i="825"/>
  <c r="BW140" i="825"/>
  <c r="CA140" i="825" s="1"/>
  <c r="BE140" i="825"/>
  <c r="BI140" i="825" s="1"/>
  <c r="Y25" i="825"/>
  <c r="BW142" i="825"/>
  <c r="CA142" i="825" s="1"/>
  <c r="BE142" i="825"/>
  <c r="BI142" i="825" s="1"/>
  <c r="Y24" i="825"/>
  <c r="BW141" i="825"/>
  <c r="CA141" i="825" s="1"/>
  <c r="BE141" i="825"/>
  <c r="BI141" i="825" s="1"/>
  <c r="BW143" i="825"/>
  <c r="CA143" i="825" s="1"/>
  <c r="BE143" i="825"/>
  <c r="BI143" i="825" s="1"/>
  <c r="Y26" i="825"/>
  <c r="U19" i="825"/>
  <c r="U18" i="825"/>
  <c r="U15" i="825"/>
  <c r="U16" i="825"/>
  <c r="U17" i="825"/>
  <c r="U20" i="825"/>
  <c r="AM8" i="825"/>
  <c r="AX8" i="841"/>
  <c r="AY8" i="841" s="1"/>
  <c r="AZ8" i="841" s="1"/>
  <c r="AR8" i="841"/>
  <c r="U8" i="841"/>
  <c r="Y8" i="841" s="1"/>
  <c r="Y88" i="841" s="1"/>
  <c r="AD8" i="841"/>
  <c r="K8" i="834"/>
  <c r="T17" i="834"/>
  <c r="AO8" i="825"/>
  <c r="AN8" i="825" s="1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18" i="824"/>
  <c r="P21" i="824"/>
  <c r="P22" i="824"/>
  <c r="P25" i="824"/>
  <c r="P27" i="824"/>
  <c r="P30" i="82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23" i="824"/>
  <c r="P26" i="824"/>
  <c r="P29" i="824"/>
  <c r="P31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20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19" i="824"/>
  <c r="P24" i="824"/>
  <c r="P28" i="824"/>
  <c r="P32" i="824"/>
  <c r="P35" i="824"/>
  <c r="P38" i="824"/>
  <c r="P41" i="824"/>
  <c r="P47" i="824"/>
  <c r="P50" i="824"/>
  <c r="P53" i="824"/>
  <c r="P58" i="824"/>
  <c r="P67" i="824"/>
  <c r="P71" i="824"/>
  <c r="P74" i="824"/>
  <c r="P83" i="824"/>
  <c r="AR135" i="824"/>
  <c r="AR140" i="824"/>
  <c r="AR170" i="824"/>
  <c r="AR184" i="824"/>
  <c r="AR152" i="824"/>
  <c r="AR202" i="824"/>
  <c r="AR164" i="824"/>
  <c r="AR154" i="824"/>
  <c r="AR153" i="824"/>
  <c r="AR197" i="824"/>
  <c r="AR176" i="824"/>
  <c r="AR198" i="824"/>
  <c r="AR188" i="824"/>
  <c r="AR144" i="824"/>
  <c r="AR150" i="824"/>
  <c r="AR178" i="824"/>
  <c r="AR200" i="824"/>
  <c r="AR192" i="824"/>
  <c r="AR165" i="824"/>
  <c r="AR160" i="824"/>
  <c r="AR146" i="824"/>
  <c r="AR168" i="824"/>
  <c r="BJ168" i="824"/>
  <c r="BJ152" i="824"/>
  <c r="AR174" i="824"/>
  <c r="AR194" i="824"/>
  <c r="AR162" i="824"/>
  <c r="AR186" i="824"/>
  <c r="BJ197" i="824"/>
  <c r="BJ140" i="824"/>
  <c r="BJ165" i="824"/>
  <c r="BJ135" i="824"/>
  <c r="BJ153" i="824"/>
  <c r="BJ156" i="824"/>
  <c r="BJ188" i="824"/>
  <c r="BJ196" i="824"/>
  <c r="BJ176" i="824"/>
  <c r="BJ204" i="824"/>
  <c r="AR141" i="824"/>
  <c r="BJ141" i="824"/>
  <c r="BJ184" i="824"/>
  <c r="BJ164" i="824"/>
  <c r="AR139" i="824"/>
  <c r="BJ139" i="824"/>
  <c r="BJ144" i="824"/>
  <c r="BJ192" i="824"/>
  <c r="AR137" i="824"/>
  <c r="BJ137" i="824"/>
  <c r="AR142" i="824"/>
  <c r="BJ142" i="824"/>
  <c r="BJ146" i="824"/>
  <c r="BJ154" i="824"/>
  <c r="AR166" i="824"/>
  <c r="BJ166" i="824"/>
  <c r="BJ170" i="824"/>
  <c r="BJ174" i="824"/>
  <c r="BJ178" i="824"/>
  <c r="AR182" i="824"/>
  <c r="BJ182" i="824"/>
  <c r="BJ186" i="824"/>
  <c r="AR190" i="824"/>
  <c r="BJ190" i="824"/>
  <c r="BJ194" i="824"/>
  <c r="BJ198" i="824"/>
  <c r="BJ202" i="824"/>
  <c r="BJ172" i="824"/>
  <c r="BJ150" i="824"/>
  <c r="BJ200" i="824"/>
  <c r="BJ160" i="824"/>
  <c r="BJ180" i="824"/>
  <c r="AR158" i="824"/>
  <c r="BJ158" i="824"/>
  <c r="BJ148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U8" i="825" l="1"/>
  <c r="Y8" i="825" s="1"/>
  <c r="BW138" i="825"/>
  <c r="CA138" i="825" s="1"/>
  <c r="BE138" i="825"/>
  <c r="BI138" i="825" s="1"/>
  <c r="Y21" i="825"/>
  <c r="V17" i="824" a="1"/>
  <c r="AK17" i="824" a="1"/>
  <c r="AH17" i="824" s="1"/>
  <c r="AG17" i="824" s="1"/>
  <c r="AJ17" i="824"/>
  <c r="AF17" i="824" s="1"/>
  <c r="AJ16" i="824"/>
  <c r="AF16" i="824" s="1"/>
  <c r="V16" i="824" a="1"/>
  <c r="AK16" i="824" a="1"/>
  <c r="AH16" i="824" s="1"/>
  <c r="AG16" i="824" s="1"/>
  <c r="AK15" i="824" a="1"/>
  <c r="AH15" i="824" s="1"/>
  <c r="AG15" i="824" s="1"/>
  <c r="AJ15" i="824"/>
  <c r="AF15" i="824" s="1"/>
  <c r="V15" i="824" a="1"/>
  <c r="AJ14" i="824"/>
  <c r="AF14" i="824" s="1"/>
  <c r="V14" i="824" a="1"/>
  <c r="AI14" i="824" s="1"/>
  <c r="AK14" i="824" a="1"/>
  <c r="AH14" i="824" s="1"/>
  <c r="AG14" i="824" s="1"/>
  <c r="AK13" i="824" a="1"/>
  <c r="AH13" i="824" s="1"/>
  <c r="AG13" i="824" s="1"/>
  <c r="V13" i="824" a="1"/>
  <c r="AI13" i="824" s="1"/>
  <c r="AJ13" i="824"/>
  <c r="AF13" i="824" s="1"/>
  <c r="V12" i="824" a="1"/>
  <c r="AI12" i="824" s="1"/>
  <c r="AK12" i="824" a="1"/>
  <c r="AH12" i="824" s="1"/>
  <c r="AG12" i="824" s="1"/>
  <c r="AJ12" i="824"/>
  <c r="AF12" i="824" s="1"/>
  <c r="V11" i="824" a="1"/>
  <c r="AI11" i="824" s="1"/>
  <c r="AK11" i="824" a="1"/>
  <c r="AH11" i="824" s="1"/>
  <c r="AG11" i="824" s="1"/>
  <c r="AJ11" i="824"/>
  <c r="AF11" i="824" s="1"/>
  <c r="V10" i="824" a="1"/>
  <c r="AI10" i="824" s="1"/>
  <c r="AK10" i="824" a="1"/>
  <c r="AH10" i="824" s="1"/>
  <c r="AG10" i="824" s="1"/>
  <c r="AJ10" i="824"/>
  <c r="AF10" i="824" s="1"/>
  <c r="V9" i="824" a="1"/>
  <c r="AI9" i="824" s="1"/>
  <c r="AK9" i="824" a="1"/>
  <c r="AH9" i="824" s="1"/>
  <c r="AG9" i="824" s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Y90" i="84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P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AK8" i="824" a="1"/>
  <c r="AH8" i="824" s="1"/>
  <c r="AG8" i="824" s="1"/>
  <c r="U10" i="825"/>
  <c r="Y10" i="825" s="1"/>
  <c r="Y9" i="825"/>
  <c r="BJ129" i="824"/>
  <c r="BW131" i="825"/>
  <c r="CA131" i="825" s="1"/>
  <c r="BE131" i="825"/>
  <c r="BI131" i="825" s="1"/>
  <c r="BW129" i="825"/>
  <c r="CA129" i="825" s="1"/>
  <c r="BE129" i="825"/>
  <c r="BI129" i="825" s="1"/>
  <c r="V8" i="824" a="1"/>
  <c r="P8" i="824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AI17" i="824" l="1"/>
  <c r="P17" i="824"/>
  <c r="X17" i="824"/>
  <c r="AI16" i="824"/>
  <c r="X16" i="824"/>
  <c r="AI15" i="824"/>
  <c r="X15" i="824"/>
  <c r="X14" i="824"/>
  <c r="X13" i="824"/>
  <c r="X12" i="824"/>
  <c r="X11" i="824"/>
  <c r="X10" i="824"/>
  <c r="X9" i="824"/>
  <c r="P16" i="824"/>
  <c r="P15" i="824"/>
  <c r="P14" i="824"/>
  <c r="BW128" i="825"/>
  <c r="CA128" i="825" s="1"/>
  <c r="BE128" i="825"/>
  <c r="BI128" i="825" s="1"/>
  <c r="Y92" i="841"/>
  <c r="W11" i="834"/>
  <c r="W10" i="834"/>
  <c r="BE125" i="825"/>
  <c r="BI125" i="825" s="1"/>
  <c r="BW125" i="825"/>
  <c r="CA125" i="825" s="1"/>
  <c r="Y88" i="825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BW126" i="825"/>
  <c r="CA126" i="825" s="1"/>
  <c r="BE126" i="825"/>
  <c r="BI126" i="825" s="1"/>
  <c r="P10" i="824"/>
  <c r="AI8" i="824"/>
  <c r="P9" i="824"/>
  <c r="D19" i="805"/>
  <c r="X8" i="824" l="1"/>
  <c r="CA205" i="825"/>
  <c r="BI205" i="825"/>
  <c r="P88" i="824"/>
  <c r="BU125" i="824"/>
  <c r="BC125" i="824"/>
  <c r="I9" i="805"/>
  <c r="I10" i="805"/>
  <c r="K10" i="805" s="1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J8" i="404"/>
  <c r="Y8" i="404"/>
  <c r="Y6" i="404"/>
  <c r="Y5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Y8" i="802"/>
  <c r="Y6" i="802"/>
  <c r="Y5" i="802"/>
  <c r="Q5" i="802"/>
  <c r="V5" i="404"/>
  <c r="Q5" i="404"/>
  <c r="W4" i="406"/>
  <c r="R8" i="406"/>
  <c r="R4" i="406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U25" i="4"/>
  <c r="U26" i="4"/>
  <c r="U27" i="4"/>
  <c r="U28" i="4"/>
  <c r="U29" i="4"/>
  <c r="J25" i="4"/>
  <c r="J26" i="4"/>
  <c r="J27" i="4"/>
  <c r="J28" i="4"/>
  <c r="J29" i="4"/>
  <c r="J30" i="4"/>
  <c r="J31" i="4"/>
  <c r="J32" i="4"/>
  <c r="J33" i="4"/>
  <c r="J34" i="4"/>
  <c r="J35" i="4"/>
  <c r="J24" i="4"/>
  <c r="C17" i="805"/>
  <c r="D15" i="805"/>
  <c r="D13" i="805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5" i="782"/>
  <c r="J86" i="782"/>
  <c r="J87" i="782"/>
  <c r="J88" i="782"/>
  <c r="J89" i="782"/>
  <c r="J90" i="782"/>
  <c r="J91" i="782"/>
  <c r="J92" i="782"/>
  <c r="J93" i="782"/>
  <c r="J94" i="782"/>
  <c r="J95" i="782"/>
  <c r="J96" i="782"/>
  <c r="J97" i="782"/>
  <c r="J98" i="782"/>
  <c r="J99" i="782"/>
  <c r="J100" i="782"/>
  <c r="J101" i="782"/>
  <c r="J102" i="782"/>
  <c r="J103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78" i="782"/>
  <c r="J79" i="782"/>
  <c r="J80" i="782"/>
  <c r="J81" i="782"/>
  <c r="J82" i="782"/>
  <c r="J83" i="782"/>
  <c r="J84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10" i="805" l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S10" i="805"/>
  <c r="AG10" i="805"/>
  <c r="AE10" i="805"/>
  <c r="AN11" i="805"/>
  <c r="BA11" i="805"/>
  <c r="AV11" i="805" s="1"/>
  <c r="AH11" i="805" s="1"/>
  <c r="AW11" i="805"/>
  <c r="AJ11" i="805" s="1"/>
  <c r="AS11" i="805"/>
  <c r="AE11" i="805"/>
  <c r="AL11" i="805"/>
  <c r="AK11" i="805"/>
  <c r="BB11" i="805"/>
  <c r="AG11" i="805"/>
  <c r="AM11" i="805"/>
  <c r="AI11" i="805"/>
  <c r="AF11" i="805"/>
  <c r="AE12" i="805"/>
  <c r="AM12" i="805"/>
  <c r="AG12" i="805"/>
  <c r="AL12" i="805"/>
  <c r="AN12" i="805"/>
  <c r="AW12" i="805"/>
  <c r="AJ12" i="805" s="1"/>
  <c r="AK12" i="805"/>
  <c r="AS12" i="805"/>
  <c r="AF12" i="805"/>
  <c r="AI12" i="805"/>
  <c r="BA12" i="805"/>
  <c r="AV12" i="805" s="1"/>
  <c r="AH12" i="805" s="1"/>
  <c r="BB12" i="805"/>
  <c r="AG13" i="805"/>
  <c r="AK13" i="805"/>
  <c r="AW13" i="805"/>
  <c r="AJ13" i="805" s="1"/>
  <c r="AF13" i="805"/>
  <c r="AM13" i="805"/>
  <c r="AS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F14" i="805"/>
  <c r="AK14" i="805"/>
  <c r="BA14" i="805"/>
  <c r="AV14" i="805" s="1"/>
  <c r="AH14" i="805" s="1"/>
  <c r="AS14" i="805"/>
  <c r="AE14" i="805"/>
  <c r="AN14" i="805"/>
  <c r="AM14" i="805"/>
  <c r="BB14" i="805"/>
  <c r="AM15" i="805"/>
  <c r="BB15" i="805"/>
  <c r="AW15" i="805"/>
  <c r="AJ15" i="805" s="1"/>
  <c r="AN15" i="805"/>
  <c r="AS15" i="805"/>
  <c r="AI15" i="805"/>
  <c r="BA15" i="805"/>
  <c r="AV15" i="805" s="1"/>
  <c r="AH15" i="805" s="1"/>
  <c r="AE15" i="805"/>
  <c r="AF15" i="805"/>
  <c r="AK15" i="805"/>
  <c r="AG15" i="805"/>
  <c r="AL15" i="805"/>
  <c r="AW16" i="805"/>
  <c r="AJ16" i="805" s="1"/>
  <c r="AK16" i="805"/>
  <c r="AS16" i="805"/>
  <c r="BA16" i="805"/>
  <c r="AV16" i="805" s="1"/>
  <c r="AH16" i="805" s="1"/>
  <c r="AF16" i="805"/>
  <c r="AN16" i="805"/>
  <c r="AL16" i="805"/>
  <c r="AE16" i="805"/>
  <c r="AI16" i="805"/>
  <c r="BB16" i="805"/>
  <c r="AG16" i="805"/>
  <c r="AM16" i="805"/>
  <c r="AG17" i="805"/>
  <c r="AN17" i="805"/>
  <c r="AL17" i="805"/>
  <c r="AS17" i="805"/>
  <c r="AK17" i="805"/>
  <c r="AF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Y18" i="805"/>
  <c r="AE18" i="805"/>
  <c r="BB18" i="805"/>
  <c r="AK18" i="805"/>
  <c r="AW18" i="805"/>
  <c r="AG18" i="805"/>
  <c r="AF18" i="805"/>
  <c r="AL18" i="805"/>
  <c r="AZ18" i="805" s="1"/>
  <c r="BA18" i="805"/>
  <c r="AV18" i="805" s="1"/>
  <c r="AH18" i="805" s="1"/>
  <c r="AI18" i="805"/>
  <c r="AJ18" i="805"/>
  <c r="AS18" i="805"/>
  <c r="AN18" i="805"/>
  <c r="AE19" i="805"/>
  <c r="AY19" i="805"/>
  <c r="AS19" i="805"/>
  <c r="BB19" i="805"/>
  <c r="AI19" i="805"/>
  <c r="AJ19" i="805"/>
  <c r="BA19" i="805"/>
  <c r="AV19" i="805" s="1"/>
  <c r="AH19" i="805" s="1"/>
  <c r="AK19" i="805"/>
  <c r="AW19" i="805"/>
  <c r="AL19" i="805"/>
  <c r="AG19" i="805"/>
  <c r="AN19" i="805"/>
  <c r="AF19" i="805"/>
  <c r="AM19" i="805"/>
  <c r="AM20" i="805"/>
  <c r="AY20" i="805"/>
  <c r="AN20" i="805"/>
  <c r="AF20" i="805"/>
  <c r="AK20" i="805"/>
  <c r="AE20" i="805"/>
  <c r="AS20" i="805"/>
  <c r="AW20" i="805"/>
  <c r="AJ20" i="805" s="1"/>
  <c r="AG20" i="805"/>
  <c r="AI20" i="805"/>
  <c r="AL20" i="805"/>
  <c r="AZ20" i="805" s="1"/>
  <c r="BA20" i="805"/>
  <c r="AV20" i="805" s="1"/>
  <c r="AH20" i="805" s="1"/>
  <c r="BB20" i="805"/>
  <c r="BB9" i="805"/>
  <c r="AB9" i="805"/>
  <c r="AE9" i="805"/>
  <c r="AF9" i="805"/>
  <c r="AG9" i="805"/>
  <c r="AK9" i="805"/>
  <c r="AL9" i="805"/>
  <c r="AM9" i="805"/>
  <c r="AN9" i="805"/>
  <c r="AS9" i="805"/>
  <c r="AW9" i="805"/>
  <c r="AJ9" i="805" s="1"/>
  <c r="BA9" i="805"/>
  <c r="AV9" i="805" s="1"/>
  <c r="AH9" i="805" s="1"/>
  <c r="AI9" i="805"/>
  <c r="AB18" i="805"/>
  <c r="AB19" i="805"/>
  <c r="AB20" i="805"/>
  <c r="AB21" i="805"/>
  <c r="AH21" i="805"/>
  <c r="AH22" i="805"/>
  <c r="AB22" i="805"/>
  <c r="AB23" i="805"/>
  <c r="AH23" i="805"/>
  <c r="AB24" i="805"/>
  <c r="AH24" i="805"/>
  <c r="AH25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M8" i="805"/>
  <c r="AL8" i="805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AS8" i="805"/>
  <c r="K9" i="805"/>
  <c r="AF8" i="805"/>
  <c r="AE8" i="805"/>
  <c r="AN8" i="805"/>
  <c r="AA8" i="805" s="1" a="1"/>
  <c r="AG8" i="805"/>
  <c r="AB8" i="805"/>
  <c r="U89" i="825"/>
  <c r="Y89" i="825"/>
  <c r="Y90" i="825" s="1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A10" i="805" l="1" a="1"/>
  <c r="AU10" i="805" a="1"/>
  <c r="AQ10" i="805" s="1"/>
  <c r="AP10" i="805" s="1"/>
  <c r="AT10" i="805"/>
  <c r="AO10" i="805" s="1"/>
  <c r="AA11" i="805" a="1"/>
  <c r="AU11" i="805" a="1"/>
  <c r="AQ11" i="805" s="1"/>
  <c r="AP11" i="805" s="1"/>
  <c r="AT11" i="805"/>
  <c r="AO11" i="805"/>
  <c r="AA12" i="805" a="1"/>
  <c r="AO12" i="805"/>
  <c r="AU12" i="805" a="1"/>
  <c r="AQ12" i="805" s="1"/>
  <c r="AP12" i="805" s="1"/>
  <c r="AT12" i="805"/>
  <c r="AA13" i="805" a="1"/>
  <c r="AT13" i="805"/>
  <c r="AO13" i="805"/>
  <c r="AU13" i="805" a="1"/>
  <c r="AQ13" i="805" s="1"/>
  <c r="AP13" i="805" s="1"/>
  <c r="AA14" i="805" a="1"/>
  <c r="AO14" i="805"/>
  <c r="AT14" i="805"/>
  <c r="AU14" i="805" a="1"/>
  <c r="AQ14" i="805" s="1"/>
  <c r="AP14" i="805" s="1"/>
  <c r="AA15" i="805" a="1"/>
  <c r="AO15" i="805"/>
  <c r="AT15" i="805"/>
  <c r="AU15" i="805" a="1"/>
  <c r="AQ15" i="805" s="1"/>
  <c r="AP15" i="805" s="1"/>
  <c r="AA16" i="805" a="1"/>
  <c r="AT16" i="805"/>
  <c r="AO16" i="805"/>
  <c r="AU16" i="805" a="1"/>
  <c r="AQ16" i="805" s="1"/>
  <c r="AP16" i="805" s="1"/>
  <c r="AA17" i="805" a="1"/>
  <c r="AT17" i="805"/>
  <c r="AO17" i="805"/>
  <c r="AU17" i="805" a="1"/>
  <c r="AQ17" i="805" s="1"/>
  <c r="AP17" i="805" s="1"/>
  <c r="AT18" i="805"/>
  <c r="AO18" i="805"/>
  <c r="AD18" i="805" s="1"/>
  <c r="AA18" i="805" a="1"/>
  <c r="U18" i="805" s="1"/>
  <c r="Y18" i="805" s="1"/>
  <c r="AU18" i="805" a="1"/>
  <c r="AQ18" i="805" s="1"/>
  <c r="AP18" i="805" s="1"/>
  <c r="AA19" i="805" a="1"/>
  <c r="AT19" i="805"/>
  <c r="AU19" i="805" a="1"/>
  <c r="AQ19" i="805" s="1"/>
  <c r="AP19" i="805" s="1"/>
  <c r="AO19" i="805"/>
  <c r="AA20" i="805" a="1"/>
  <c r="AU20" i="805" a="1"/>
  <c r="AQ20" i="805" s="1"/>
  <c r="AP20" i="805" s="1"/>
  <c r="AT20" i="805"/>
  <c r="AO20" i="805"/>
  <c r="AD20" i="805" s="1"/>
  <c r="AZ19" i="805"/>
  <c r="AA9" i="805" a="1"/>
  <c r="AU9" i="805" a="1"/>
  <c r="AQ9" i="805" s="1"/>
  <c r="AP9" i="805" s="1"/>
  <c r="AT9" i="805"/>
  <c r="AO9" i="805" s="1"/>
  <c r="U21" i="805"/>
  <c r="Y21" i="805" s="1"/>
  <c r="AU8" i="805" a="1"/>
  <c r="AQ8" i="805" s="1"/>
  <c r="AP8" i="805" s="1"/>
  <c r="AT8" i="805"/>
  <c r="AO8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D13" i="805" l="1"/>
  <c r="AD16" i="805"/>
  <c r="AD14" i="805"/>
  <c r="AD15" i="805"/>
  <c r="AD17" i="805"/>
  <c r="U8" i="805"/>
  <c r="AD12" i="805"/>
  <c r="AD11" i="805"/>
  <c r="AD10" i="805"/>
  <c r="AX10" i="805"/>
  <c r="AR10" i="805"/>
  <c r="AX11" i="805"/>
  <c r="AR11" i="805"/>
  <c r="AX12" i="805"/>
  <c r="AY12" i="805" s="1"/>
  <c r="AZ12" i="805" s="1"/>
  <c r="AR12" i="805"/>
  <c r="AX13" i="805"/>
  <c r="AY13" i="805" s="1"/>
  <c r="AZ13" i="805" s="1"/>
  <c r="AR13" i="805"/>
  <c r="AX14" i="805"/>
  <c r="AR14" i="805"/>
  <c r="AX15" i="805"/>
  <c r="AR15" i="805"/>
  <c r="AX16" i="805"/>
  <c r="AR16" i="805"/>
  <c r="AX17" i="805"/>
  <c r="AR17" i="805"/>
  <c r="AX18" i="805"/>
  <c r="AR18" i="805"/>
  <c r="AX19" i="805"/>
  <c r="AR19" i="805"/>
  <c r="AX20" i="805"/>
  <c r="AR20" i="805"/>
  <c r="AD19" i="805"/>
  <c r="U19" i="805"/>
  <c r="Y19" i="805" s="1"/>
  <c r="AD9" i="805"/>
  <c r="AX9" i="805"/>
  <c r="AR9" i="805"/>
  <c r="U23" i="805"/>
  <c r="Y23" i="805" s="1"/>
  <c r="U22" i="805"/>
  <c r="Y22" i="805" s="1"/>
  <c r="U20" i="805"/>
  <c r="Y20" i="805" s="1"/>
  <c r="U17" i="805"/>
  <c r="Y17" i="805" s="1"/>
  <c r="U16" i="805"/>
  <c r="Y16" i="805" s="1"/>
  <c r="U24" i="805"/>
  <c r="Y24" i="805" s="1"/>
  <c r="U25" i="805"/>
  <c r="Y25" i="805" s="1"/>
  <c r="U15" i="805"/>
  <c r="Y15" i="805" s="1"/>
  <c r="U14" i="805"/>
  <c r="Y14" i="805" s="1"/>
  <c r="AX8" i="805"/>
  <c r="CA207" i="825"/>
  <c r="CA208" i="825" s="1"/>
  <c r="Y92" i="825"/>
  <c r="BI207" i="825"/>
  <c r="AR8" i="805"/>
  <c r="N89" i="805"/>
  <c r="F17" i="805"/>
  <c r="Z25" i="4"/>
  <c r="Z24" i="4"/>
  <c r="E6" i="805"/>
  <c r="AY10" i="805" l="1"/>
  <c r="AZ10" i="805" s="1"/>
  <c r="AY14" i="805"/>
  <c r="AZ14" i="805" s="1"/>
  <c r="AY15" i="805"/>
  <c r="AZ15" i="805" s="1"/>
  <c r="AY16" i="805"/>
  <c r="AZ16" i="805" s="1"/>
  <c r="AY17" i="805"/>
  <c r="AZ17" i="805" s="1"/>
  <c r="AY9" i="805"/>
  <c r="AZ9" i="805" s="1"/>
  <c r="AY11" i="805"/>
  <c r="AZ11" i="805" s="1"/>
  <c r="AY8" i="805"/>
  <c r="AZ8" i="805" s="1"/>
  <c r="U13" i="805"/>
  <c r="Y13" i="805" s="1"/>
  <c r="U12" i="805"/>
  <c r="Y12" i="805" s="1"/>
  <c r="U11" i="805"/>
  <c r="Y11" i="805" s="1"/>
  <c r="U10" i="805"/>
  <c r="Y10" i="805" s="1"/>
  <c r="U9" i="805"/>
  <c r="Y9" i="805" s="1"/>
  <c r="BI208" i="825"/>
  <c r="AD8" i="805"/>
  <c r="D17" i="805"/>
  <c r="S9" i="805" s="1"/>
  <c r="S90" i="805"/>
  <c r="J8" i="805"/>
  <c r="J9" i="805" l="1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Y8" i="805"/>
  <c r="V11" i="805"/>
  <c r="X12" i="805"/>
  <c r="V13" i="805"/>
  <c r="X13" i="805"/>
  <c r="V8" i="805"/>
  <c r="X9" i="805"/>
  <c r="X10" i="805"/>
  <c r="X11" i="805"/>
  <c r="S6" i="805"/>
  <c r="AD88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AC88" i="805" l="1"/>
  <c r="U9" i="404"/>
  <c r="F8" i="406"/>
  <c r="S18" i="802"/>
  <c r="S22" i="802"/>
  <c r="Q9" i="404"/>
  <c r="P10" i="404" s="1"/>
  <c r="S23" i="802" l="1"/>
  <c r="S24" i="802"/>
  <c r="J8" i="802"/>
  <c r="P10" i="802"/>
  <c r="Q9" i="802"/>
  <c r="Q7" i="802"/>
  <c r="J10" i="802"/>
  <c r="J18" i="802" s="1"/>
  <c r="E17" i="802"/>
  <c r="E16" i="802"/>
  <c r="P15" i="802"/>
  <c r="E15" i="802"/>
  <c r="E14" i="802"/>
  <c r="E13" i="802"/>
  <c r="U9" i="802"/>
  <c r="E8" i="802"/>
  <c r="U6" i="802"/>
  <c r="Y4" i="802"/>
  <c r="U4" i="802"/>
  <c r="Y3" i="802"/>
  <c r="E11" i="802" l="1"/>
  <c r="P9" i="802"/>
  <c r="J16" i="802"/>
  <c r="J19" i="802" s="1"/>
  <c r="E10" i="802"/>
  <c r="E12" i="802" a="1"/>
  <c r="M3" i="545" l="1"/>
  <c r="G3" i="545"/>
  <c r="I3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K34" i="155"/>
  <c r="J34" i="155"/>
  <c r="G34" i="155"/>
  <c r="C34" i="155"/>
  <c r="K33" i="155"/>
  <c r="J33" i="155"/>
  <c r="G33" i="155"/>
  <c r="C33" i="155"/>
  <c r="K32" i="155"/>
  <c r="J32" i="155"/>
  <c r="G32" i="155"/>
  <c r="C32" i="155"/>
  <c r="K31" i="155"/>
  <c r="J31" i="155"/>
  <c r="G31" i="155"/>
  <c r="C31" i="155"/>
  <c r="K30" i="155"/>
  <c r="J30" i="155"/>
  <c r="G30" i="155"/>
  <c r="C30" i="155"/>
  <c r="K29" i="155"/>
  <c r="J29" i="155"/>
  <c r="G29" i="155"/>
  <c r="C29" i="155"/>
  <c r="K28" i="155"/>
  <c r="J28" i="155"/>
  <c r="G28" i="155"/>
  <c r="C28" i="155"/>
  <c r="J27" i="155"/>
  <c r="G27" i="155"/>
  <c r="H27" i="155" s="1"/>
  <c r="C27" i="155"/>
  <c r="J26" i="155"/>
  <c r="G26" i="155"/>
  <c r="H26" i="155" s="1"/>
  <c r="C26" i="155"/>
  <c r="J25" i="155"/>
  <c r="G25" i="155"/>
  <c r="H25" i="155" s="1"/>
  <c r="C25" i="155"/>
  <c r="K24" i="155"/>
  <c r="J24" i="155"/>
  <c r="G24" i="155"/>
  <c r="C24" i="155"/>
  <c r="K23" i="155"/>
  <c r="J23" i="155"/>
  <c r="G23" i="155"/>
  <c r="C23" i="155"/>
  <c r="K22" i="155"/>
  <c r="J22" i="155"/>
  <c r="G22" i="155"/>
  <c r="C22" i="155"/>
  <c r="K21" i="155"/>
  <c r="J21" i="155"/>
  <c r="G21" i="155"/>
  <c r="C21" i="155"/>
  <c r="K20" i="155"/>
  <c r="J20" i="155"/>
  <c r="G20" i="155"/>
  <c r="C20" i="155"/>
  <c r="K19" i="155"/>
  <c r="J19" i="155"/>
  <c r="G19" i="155"/>
  <c r="C19" i="155"/>
  <c r="K18" i="155"/>
  <c r="J18" i="155"/>
  <c r="C18" i="155"/>
  <c r="K17" i="155"/>
  <c r="J17" i="155"/>
  <c r="C17" i="155"/>
  <c r="K16" i="155"/>
  <c r="J16" i="155"/>
  <c r="C16" i="155"/>
  <c r="K15" i="155"/>
  <c r="J15" i="155"/>
  <c r="C15" i="155"/>
  <c r="K14" i="155"/>
  <c r="J14" i="155"/>
  <c r="C14" i="155"/>
  <c r="K13" i="155"/>
  <c r="J13" i="155"/>
  <c r="C13" i="155"/>
  <c r="K12" i="155"/>
  <c r="J12" i="155"/>
  <c r="C12" i="155"/>
  <c r="K11" i="155"/>
  <c r="J11" i="155"/>
  <c r="C11" i="155"/>
  <c r="K10" i="155"/>
  <c r="J10" i="155"/>
  <c r="C10" i="155"/>
  <c r="K9" i="155"/>
  <c r="J9" i="155"/>
  <c r="C9" i="155"/>
  <c r="K8" i="155"/>
  <c r="J8" i="155"/>
  <c r="C8" i="155"/>
  <c r="K7" i="155"/>
  <c r="J7" i="155"/>
  <c r="C7" i="155"/>
  <c r="Q3" i="155"/>
  <c r="G5" i="155" s="1"/>
  <c r="P2" i="155"/>
  <c r="O2" i="155"/>
  <c r="B3" i="155" s="1"/>
  <c r="P25" i="404"/>
  <c r="P24" i="404"/>
  <c r="P23" i="404"/>
  <c r="Q22" i="404"/>
  <c r="P22" i="404"/>
  <c r="J17" i="404"/>
  <c r="E17" i="404"/>
  <c r="E16" i="404"/>
  <c r="P15" i="404"/>
  <c r="E15" i="404"/>
  <c r="E14" i="404"/>
  <c r="E13" i="404"/>
  <c r="E11" i="404"/>
  <c r="E8" i="404"/>
  <c r="Q7" i="404"/>
  <c r="U6" i="404"/>
  <c r="Y4" i="404"/>
  <c r="V4" i="404"/>
  <c r="U4" i="404" s="1"/>
  <c r="Y3" i="404"/>
  <c r="H31" i="406"/>
  <c r="E25" i="406"/>
  <c r="D25" i="406"/>
  <c r="E24" i="406"/>
  <c r="D24" i="406"/>
  <c r="E23" i="406"/>
  <c r="D23" i="406"/>
  <c r="E22" i="406"/>
  <c r="D22" i="406"/>
  <c r="E21" i="406"/>
  <c r="D21" i="406"/>
  <c r="E20" i="406"/>
  <c r="D20" i="406"/>
  <c r="E19" i="406"/>
  <c r="D19" i="406"/>
  <c r="E18" i="406"/>
  <c r="D18" i="406"/>
  <c r="R17" i="406"/>
  <c r="E17" i="406"/>
  <c r="D17" i="406"/>
  <c r="E16" i="406"/>
  <c r="D16" i="406"/>
  <c r="E15" i="406"/>
  <c r="D15" i="406"/>
  <c r="J14" i="406"/>
  <c r="H14" i="406"/>
  <c r="D14" i="406"/>
  <c r="J10" i="406"/>
  <c r="R9" i="406"/>
  <c r="J9" i="406"/>
  <c r="V8" i="406"/>
  <c r="F9" i="406"/>
  <c r="N8" i="406"/>
  <c r="J8" i="406"/>
  <c r="R6" i="406"/>
  <c r="V3" i="406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H34" i="155"/>
  <c r="H28" i="155"/>
  <c r="H20" i="155"/>
  <c r="G295" i="229"/>
  <c r="H22" i="155"/>
  <c r="H30" i="155"/>
  <c r="H29" i="155"/>
  <c r="H32" i="155"/>
  <c r="H23" i="155"/>
  <c r="H21" i="155"/>
  <c r="H31" i="155"/>
  <c r="G293" i="229"/>
  <c r="H293" i="229"/>
  <c r="H33" i="155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J16" i="404"/>
  <c r="F285" i="229"/>
  <c r="F288" i="229"/>
  <c r="F291" i="229"/>
  <c r="G294" i="229"/>
  <c r="F294" i="229"/>
  <c r="F284" i="229"/>
  <c r="F287" i="229"/>
  <c r="F290" i="229"/>
  <c r="F293" i="229"/>
  <c r="H19" i="155"/>
  <c r="H24" i="155"/>
  <c r="G8" i="229"/>
  <c r="N4" i="229"/>
  <c r="O4" i="229" s="1"/>
  <c r="B281" i="229" s="1"/>
  <c r="F10" i="406"/>
  <c r="E10" i="404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J10" i="404"/>
  <c r="J18" i="404" s="1"/>
  <c r="J19" i="404" s="1"/>
  <c r="I290" i="229"/>
  <c r="E11" i="155" l="1"/>
  <c r="G11" i="155" s="1"/>
  <c r="H11" i="155" s="1"/>
  <c r="F8" i="229"/>
  <c r="I8" i="229" s="1"/>
  <c r="E8" i="155" s="1"/>
  <c r="G8" i="155" s="1"/>
  <c r="H8" i="155" s="1"/>
  <c r="Y88" i="805"/>
  <c r="I7" i="229"/>
  <c r="E17" i="155"/>
  <c r="G17" i="155" s="1"/>
  <c r="H17" i="155" s="1"/>
  <c r="E15" i="155"/>
  <c r="G15" i="155" s="1"/>
  <c r="H15" i="155" s="1"/>
  <c r="E14" i="155"/>
  <c r="G14" i="155" s="1"/>
  <c r="H14" i="155" s="1"/>
  <c r="E18" i="155"/>
  <c r="G18" i="155" s="1"/>
  <c r="H18" i="155" s="1"/>
  <c r="E12" i="155"/>
  <c r="G12" i="155" s="1"/>
  <c r="H12" i="155" s="1"/>
  <c r="E13" i="155"/>
  <c r="G13" i="155" s="1"/>
  <c r="H13" i="155" s="1"/>
  <c r="E16" i="155"/>
  <c r="G16" i="155" s="1"/>
  <c r="H16" i="155" s="1"/>
  <c r="E12" i="404" a="1"/>
  <c r="Y89" i="805" l="1"/>
  <c r="Y90" i="805" s="1"/>
  <c r="U89" i="805"/>
  <c r="E10" i="155"/>
  <c r="G10" i="155" s="1"/>
  <c r="H10" i="155" s="1"/>
  <c r="E9" i="155"/>
  <c r="G9" i="155" s="1"/>
  <c r="H9" i="155" s="1"/>
  <c r="E7" i="155"/>
  <c r="G7" i="155" s="1"/>
  <c r="H7" i="155" s="1"/>
  <c r="BW207" i="824" l="1"/>
  <c r="BW208" i="824" s="1"/>
  <c r="BE207" i="824"/>
  <c r="BE208" i="824" s="1"/>
  <c r="Y92" i="805"/>
  <c r="H35" i="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L6" authorId="0" shapeId="0" xr:uid="{A2AB3F5D-3E9D-4D71-B9D8-8A045DF54B8F}">
      <text>
        <r>
          <rPr>
            <b/>
            <sz val="9"/>
            <color indexed="81"/>
            <rFont val="Tahoma"/>
            <family val="2"/>
          </rPr>
          <t>1:សាប៊ូ
2:គ្រឿង និងសម្ភារសាប៊ូ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Z7" authorId="0" shapeId="0" xr:uid="{D6580948-AA50-4514-8305-6828F2B8B86B}">
      <text>
        <r>
          <rPr>
            <b/>
            <sz val="9"/>
            <color indexed="81"/>
            <rFont val="Tahoma"/>
            <family val="2"/>
          </rPr>
          <t>1:លាងចាន
2: បោកគក់
3:ទឹកសម្អាតការ៉ូ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M7" authorId="0" shapeId="0" xr:uid="{BCE6093D-B5C6-4D78-8777-CCC9D0B3057A}">
      <text>
        <r>
          <rPr>
            <b/>
            <sz val="9"/>
            <color indexed="81"/>
            <rFont val="Tahoma"/>
            <family val="2"/>
          </rPr>
          <t>Default unit price use big retail price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2B91BB49-0348-4121-A985-ACB05F1BCF97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19922E1-7140-4BA6-8DAF-EF475591660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<sst xmlns="http://schemas.openxmlformats.org/spreadsheetml/2006/main" count="12327" uniqueCount="3647">
  <si>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</si>
  <si>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</si>
  <si>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</si>
  <si>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</si>
  <si>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</si>
  <si>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</si>
  <si>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</si>
  <si>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</si>
  <si>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</si>
  <si>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</si>
  <si>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</si>
  <si>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</si>
  <si>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</si>
  <si>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</si>
  <si>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</si>
  <si>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</si>
  <si>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</si>
  <si>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</si>
  <si>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</si>
  <si>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</si>
  <si>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</si>
  <si>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</si>
  <si>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</si>
  <si>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</si>
  <si>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</si>
  <si>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</si>
  <si>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</si>
  <si>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</si>
  <si>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</si>
  <si>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</si>
  <si>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</si>
  <si>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</si>
  <si>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</si>
  <si>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</si>
  <si>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</si>
  <si>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</si>
  <si>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</si>
  <si>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</si>
  <si>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</si>
  <si>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</si>
  <si>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</si>
  <si>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</si>
  <si>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</si>
  <si>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</si>
  <si>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</si>
  <si>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</si>
  <si>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</si>
  <si>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</si>
  <si>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</si>
  <si>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</si>
  <si>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</si>
  <si>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</si>
  <si>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</si>
  <si>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</si>
  <si>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</si>
  <si>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</si>
  <si>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</si>
  <si>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</si>
  <si>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</si>
  <si>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</si>
  <si>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លេខកូដទំនិញ</t>
  </si>
  <si>
    <t>ឈ្មោះផលិតផល</t>
  </si>
  <si>
    <t>ខ្នាត</t>
  </si>
  <si>
    <t>ថ្លៃដើម</t>
  </si>
  <si>
    <t>តម្លៃលក់រាយ</t>
  </si>
  <si>
    <t>លេខកូដខ្នាត</t>
  </si>
  <si>
    <t>តម្លៃខ្នាតតូច</t>
  </si>
  <si>
    <t>08.ប៊ីដុង</t>
  </si>
  <si>
    <t>09.កាន</t>
  </si>
  <si>
    <t>05.គីឡូ</t>
  </si>
  <si>
    <t>03.លីត្រ</t>
  </si>
  <si>
    <t>សំគាល់</t>
  </si>
  <si>
    <t>42.ក្លឹន សាន់លីត្រ</t>
  </si>
  <si>
    <t>46.ទឹកជំនួយពពុះ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</si>
  <si>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</si>
  <si>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</si>
  <si>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</si>
  <si>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</si>
  <si>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</si>
  <si>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</si>
  <si>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</si>
  <si>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</si>
  <si>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</si>
  <si>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</si>
  <si>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</si>
  <si>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Week</t>
  </si>
  <si>
    <t>Description</t>
  </si>
  <si>
    <t>Remark</t>
  </si>
  <si>
    <t>003.សាប៊ូ</t>
  </si>
  <si>
    <t>Note</t>
  </si>
  <si>
    <t>ឈ្មោះអតិថិជន</t>
  </si>
  <si>
    <t>លេខវិក្កយបត្រ</t>
  </si>
  <si>
    <t>ប្រាក់បានទូទាត់</t>
  </si>
  <si>
    <t>Invoice No</t>
  </si>
  <si>
    <t>Total Amount</t>
  </si>
  <si>
    <t>Discount</t>
  </si>
  <si>
    <t>Balance</t>
  </si>
  <si>
    <t>បញ្ចូលបានតែស្តុកនៅសល់</t>
  </si>
  <si>
    <t>ជ្រើសរើសប្រភេទតម្លៃ ៖</t>
  </si>
  <si>
    <t>តម្លៃសរុប</t>
  </si>
  <si>
    <t>ជ្រើសរើសផលិតផល</t>
  </si>
  <si>
    <t>សរុបស្តុកជាសាច់ប្រាក់ ៖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</si>
  <si>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</si>
  <si>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</si>
  <si>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</si>
  <si>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</si>
  <si>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</si>
  <si>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Invoice Date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</si>
  <si>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</si>
  <si>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</si>
  <si>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</si>
  <si>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</si>
  <si>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</si>
  <si>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</si>
  <si>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</si>
  <si>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</si>
  <si>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</si>
  <si>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</si>
  <si>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</si>
  <si>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</si>
  <si>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</si>
  <si>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</si>
  <si>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</si>
  <si>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</si>
  <si>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</si>
  <si>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</si>
  <si>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</si>
  <si>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</si>
  <si>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</si>
  <si>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</si>
  <si>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</si>
  <si>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</si>
  <si>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</si>
  <si>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</si>
  <si>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</si>
  <si>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</si>
  <si>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</si>
  <si>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</si>
  <si>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</si>
  <si>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</si>
  <si>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</si>
  <si>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</si>
  <si>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</si>
  <si>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</si>
  <si>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</si>
  <si>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</si>
  <si>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</si>
  <si>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</si>
  <si>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</si>
  <si>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</si>
  <si>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</si>
  <si>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</si>
  <si>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</si>
  <si>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</si>
  <si>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</si>
  <si>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</si>
  <si>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</si>
  <si>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</si>
  <si>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</si>
  <si>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</si>
  <si>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</si>
  <si>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</si>
  <si>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</si>
  <si>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</si>
  <si>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</si>
  <si>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</si>
  <si>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</si>
  <si>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</si>
  <si>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</si>
  <si>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</si>
  <si>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</si>
  <si>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</si>
  <si>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</si>
  <si>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</si>
  <si>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</si>
  <si>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</si>
  <si>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</si>
  <si>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004.ចំណាយផ្សេងៗ</t>
  </si>
  <si>
    <t>ខែ</t>
  </si>
  <si>
    <t>បាយការណ៍រាប់ស្តុកចុងខែ</t>
  </si>
  <si>
    <t>12.ធ្នូ</t>
  </si>
  <si>
    <t>Customer Name</t>
  </si>
  <si>
    <t>Status</t>
  </si>
  <si>
    <t>ប្រាក់នៅខ្វះ</t>
  </si>
  <si>
    <t>លេខបង្កាន់ដៃ</t>
  </si>
  <si>
    <t>ប្រាក់សុទ្ធ</t>
  </si>
  <si>
    <t>កុងធនាគារ</t>
  </si>
  <si>
    <t>ទទួលពី</t>
  </si>
  <si>
    <t>ទឹកប្រាក់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</si>
  <si>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</si>
  <si>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</si>
  <si>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</si>
  <si>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</si>
  <si>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(ជារៀល)</t>
  </si>
  <si>
    <t>(ជាដុល្លា)</t>
  </si>
  <si>
    <t>1ដុល្លា =</t>
  </si>
  <si>
    <t>អត្រាប្តូរប្រាក់​​ ៖</t>
  </si>
  <si>
    <t>ហាមប៉ះពាល់ទម្រង់ Receive Payment ខាងក្រោម</t>
  </si>
  <si>
    <t>ប្រាក់ ( $ )</t>
  </si>
  <si>
    <t>ប្រភេទម៉ូឌុល</t>
  </si>
  <si>
    <t>អ្នកផ្ទត់ផ្គង់</t>
  </si>
  <si>
    <t>Amount( R )</t>
  </si>
  <si>
    <t>Amount ( $ )</t>
  </si>
  <si>
    <t>ប្រាក់ ( ៛ )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</si>
  <si>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</si>
  <si>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</si>
  <si>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</si>
  <si>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</si>
  <si>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ហាមប៉ះពាល់ពត៌មានវិក្កយប័ត្រចំណាយខាងក្រោម</t>
  </si>
  <si>
    <t>Vendor Name KH</t>
  </si>
  <si>
    <t>General Vendor</t>
  </si>
  <si>
    <t>ឈ្មោះក្រុមហ៊ុន</t>
  </si>
  <si>
    <t>វិក្កយ.យោង</t>
  </si>
  <si>
    <t>003.សាប៊ូបញ្ចុះតម្លៃ</t>
  </si>
  <si>
    <t/>
  </si>
  <si>
    <t>Sale​ Stock</t>
  </si>
  <si>
    <t>ជ្រើសរើសប្រភេទចំណាយ</t>
  </si>
  <si>
    <r>
      <t>Module Types</t>
    </r>
    <r>
      <rPr>
        <sz val="12"/>
        <color rgb="FFFF0000"/>
        <rFont val="Roboto"/>
      </rPr>
      <t xml:space="preserve"> *</t>
    </r>
  </si>
  <si>
    <t>តំរឹមស្តុក</t>
  </si>
  <si>
    <t>ប្រាក់ជំពាក់សរុប</t>
  </si>
  <si>
    <t>Branch ID</t>
  </si>
  <si>
    <t>លេខសាខា</t>
  </si>
  <si>
    <t>ប្រាក់បញ្ចុះតម្លៃ</t>
  </si>
  <si>
    <t>ប្រាក់សរុប</t>
  </si>
  <si>
    <t>ស្ថានភាព</t>
  </si>
  <si>
    <t>01.សៀមរាប</t>
  </si>
  <si>
    <t>សប្តាហ៍ទី1</t>
  </si>
  <si>
    <t>សប្តាហ៍ទី2</t>
  </si>
  <si>
    <t>សប្តាហ៍ទី3</t>
  </si>
  <si>
    <t>សប្តាហ៍ទី4</t>
  </si>
  <si>
    <t>09.ទឹកសម្អាតការ៉ូ 4លីត្រ</t>
  </si>
  <si>
    <t>10.ទឹកសម្អាតការ៉ូ 28លីត្រ</t>
  </si>
  <si>
    <t>11.ទឹកសម្អាតការ៉ូ 30លីត្រ</t>
  </si>
  <si>
    <t>04.សាប៊ូបោកគក់ 28លីត្រ</t>
  </si>
  <si>
    <t>06.សាប៊ូបោកគក់ 30លីត្រ</t>
  </si>
  <si>
    <t>01.សាប៊ូលាងចាន 4លីត្រ</t>
  </si>
  <si>
    <t>05.សាប៊ូលាងចាន 30លីត្រ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</si>
  <si>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</si>
  <si>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</si>
  <si>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</si>
  <si>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</si>
  <si>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</si>
  <si>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</si>
  <si>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</si>
  <si>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</si>
  <si>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</si>
  <si>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</si>
  <si>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</si>
  <si>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</si>
  <si>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</si>
  <si>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បញ្ចុះតម្លៃ ( R )</t>
  </si>
  <si>
    <t>ស្តុកផលិត</t>
  </si>
  <si>
    <t>ស្តុកលក់</t>
  </si>
  <si>
    <t>ឆ្នាំ</t>
  </si>
  <si>
    <t>Year</t>
  </si>
  <si>
    <t>ប្រាក់ជំពាក់</t>
  </si>
  <si>
    <t>ទឹកប្រាក់បានទូទាត់</t>
  </si>
  <si>
    <t>ប្រាក់ត្រូវទូទាត់សរុប</t>
  </si>
  <si>
    <t>ទូទាត់ប្រាក់ដោយ ៖</t>
  </si>
  <si>
    <t>ប្រាក់ទូទាត់លើស</t>
  </si>
  <si>
    <t>ស្តុករាប់ជាក់ស្តែង</t>
  </si>
  <si>
    <t>Avariable Stock</t>
  </si>
  <si>
    <t>ខ្នាតមិនទាន់បំបែក</t>
  </si>
  <si>
    <t>បរិយាយផលិតផល/មុខទំនិញ</t>
  </si>
  <si>
    <t>Items Description</t>
  </si>
  <si>
    <t>Branch Id</t>
  </si>
  <si>
    <t>Old Discount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</si>
  <si>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</si>
  <si>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</si>
  <si>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</si>
  <si>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</si>
  <si>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</si>
  <si>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</si>
  <si>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</si>
  <si>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</si>
  <si>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</si>
  <si>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</si>
  <si>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</si>
  <si>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</si>
  <si>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</si>
  <si>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</si>
  <si>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r>
      <t>ចំណូលពី</t>
    </r>
    <r>
      <rPr>
        <sz val="12"/>
        <color rgb="FFFF0000"/>
        <rFont val="Roboto"/>
      </rPr>
      <t xml:space="preserve"> *</t>
    </r>
  </si>
  <si>
    <r>
      <t>កាលបរិច្ឆេទ</t>
    </r>
    <r>
      <rPr>
        <sz val="12"/>
        <color rgb="FFFF0000"/>
        <rFont val="Roboto"/>
      </rPr>
      <t xml:space="preserve"> *</t>
    </r>
  </si>
  <si>
    <r>
      <t xml:space="preserve">សាខា </t>
    </r>
    <r>
      <rPr>
        <sz val="12"/>
        <color rgb="FFFF0000"/>
        <rFont val="Roboto"/>
      </rPr>
      <t>*</t>
    </r>
  </si>
  <si>
    <r>
      <t>លេខវិក្កយប័ត្រ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</si>
  <si>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Content"/>
      </rPr>
      <t xml:space="preserve"> *</t>
    </r>
  </si>
  <si>
    <r>
      <t>អ្នកទទួលប្រាក់</t>
    </r>
    <r>
      <rPr>
        <sz val="12"/>
        <color rgb="FFFF0000"/>
        <rFont val="Roboto"/>
      </rPr>
      <t xml:space="preserve"> *</t>
    </r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</si>
  <si>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</si>
  <si>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</si>
  <si>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</si>
  <si>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</si>
  <si>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</si>
  <si>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</si>
  <si>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r>
      <t>លេខចំណាយ</t>
    </r>
    <r>
      <rPr>
        <sz val="12"/>
        <color rgb="FFFF0000"/>
        <rFont val="Roboto"/>
      </rPr>
      <t xml:space="preserve"> *</t>
    </r>
  </si>
  <si>
    <r>
      <t>វិក្កយប័ត្រយោង</t>
    </r>
    <r>
      <rPr>
        <sz val="12"/>
        <color rgb="FFFF0000"/>
        <rFont val="Roboto"/>
      </rPr>
      <t>*</t>
    </r>
  </si>
  <si>
    <r>
      <t>អ្នកផ្គត់ផ្គង់</t>
    </r>
    <r>
      <rPr>
        <sz val="12"/>
        <color rgb="FFFF0000"/>
        <rFont val="Roboto"/>
      </rPr>
      <t xml:space="preserve"> *</t>
    </r>
  </si>
  <si>
    <r>
      <t>សមាជិក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</si>
  <si>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Roboto"/>
      </rPr>
      <t xml:space="preserve"> *</t>
    </r>
  </si>
  <si>
    <r>
      <t>ពិនិត្យដោយ</t>
    </r>
    <r>
      <rPr>
        <sz val="12"/>
        <color rgb="FFFF0000"/>
        <rFont val="Roboto"/>
      </rPr>
      <t xml:space="preserve"> *</t>
    </r>
  </si>
  <si>
    <r>
      <t>ប្រភេទចំណាយ</t>
    </r>
    <r>
      <rPr>
        <sz val="12"/>
        <color rgb="FFFF0000"/>
        <rFont val="Roboto"/>
      </rPr>
      <t xml:space="preserve"> *</t>
    </r>
  </si>
  <si>
    <t>កំណត់សម្គាល់</t>
  </si>
  <si>
    <t>បរិយាយចំណាយ</t>
  </si>
  <si>
    <t>Expense Description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</si>
  <si>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</si>
  <si>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</si>
  <si>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</si>
  <si>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</si>
  <si>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</si>
  <si>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</si>
  <si>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</si>
  <si>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</si>
  <si>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</si>
  <si>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បញ្ជីឈ្មោះអ្នកលក់</t>
  </si>
  <si>
    <t>38.អ៊ីដ្រុកស៊ីអេទីលសែលលុយឡូស (ពពុះសាប៊ូ)</t>
  </si>
  <si>
    <t>39.សូដ្យូមអាល់គីលបង់សែនស៊ុលផូណាត (ម្សៅខាប់)</t>
  </si>
  <si>
    <t>40.សូដ្យូមអ៊ីដ្រុកស៊ីត (កូស្ទិច)</t>
  </si>
  <si>
    <t>41.សូដ្យូមស៊ុលផាត (អំបិល)</t>
  </si>
  <si>
    <t>37.អាស៊ីតខ្លាញ់ (ទឹកខ្មៅ)</t>
  </si>
  <si>
    <t>43.ក្លិន ហ្រ្វេសរ៉ូមែនស៍</t>
  </si>
  <si>
    <t>48.ក្លិន​ ហ្រ្វេសរ៉ូសម៉ារី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</si>
  <si>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</si>
  <si>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</si>
  <si>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</si>
  <si>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</si>
  <si>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</si>
  <si>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</si>
  <si>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</si>
  <si>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</si>
  <si>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</si>
  <si>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</si>
  <si>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</si>
  <si>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</si>
  <si>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</si>
  <si>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</si>
  <si>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</si>
  <si>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</si>
  <si>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</si>
  <si>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</si>
  <si>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</si>
  <si>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</si>
  <si>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</si>
  <si>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</si>
  <si>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</si>
  <si>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</si>
  <si>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</si>
  <si>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</si>
  <si>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</si>
  <si>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</si>
  <si>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</si>
  <si>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</si>
  <si>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</si>
  <si>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</si>
  <si>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</si>
  <si>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</si>
  <si>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</si>
  <si>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</si>
  <si>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</si>
  <si>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</si>
  <si>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</si>
  <si>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</si>
  <si>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</si>
  <si>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</si>
  <si>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</si>
  <si>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</si>
  <si>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</si>
  <si>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</si>
  <si>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</si>
  <si>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</si>
  <si>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</si>
  <si>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</si>
  <si>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</si>
  <si>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</si>
  <si>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</si>
  <si>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</si>
  <si>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</si>
  <si>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</si>
  <si>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</si>
  <si>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</si>
  <si>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</si>
  <si>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</si>
  <si>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</si>
  <si>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</si>
  <si>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</si>
  <si>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</si>
  <si>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</si>
  <si>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</si>
  <si>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</si>
  <si>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</si>
  <si>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</si>
  <si>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</si>
  <si>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</si>
  <si>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</si>
  <si>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</si>
  <si>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</si>
  <si>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</si>
  <si>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</si>
  <si>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</si>
  <si>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</si>
  <si>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</si>
  <si>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</si>
  <si>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</si>
  <si>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</si>
  <si>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</si>
  <si>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</si>
  <si>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</si>
  <si>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</si>
  <si>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</si>
  <si>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</si>
  <si>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</si>
  <si>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</si>
  <si>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</si>
  <si>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</si>
  <si>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</si>
  <si>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</si>
  <si>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</si>
  <si>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</si>
  <si>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</si>
  <si>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</si>
  <si>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</si>
  <si>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</si>
  <si>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</si>
  <si>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</si>
  <si>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</si>
  <si>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</si>
  <si>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</si>
  <si>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</si>
  <si>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</si>
  <si>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</si>
  <si>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</si>
  <si>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</si>
  <si>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014.Cash Expense</t>
  </si>
  <si>
    <t>019.Sales / Invoice</t>
  </si>
  <si>
    <t>020.Receive Payments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</si>
  <si>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</si>
  <si>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</si>
  <si>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</si>
  <si>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</si>
  <si>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</si>
  <si>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</si>
  <si>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</si>
  <si>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</si>
  <si>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</si>
  <si>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</si>
  <si>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</si>
  <si>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</si>
  <si>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</si>
  <si>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</si>
  <si>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</si>
  <si>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</si>
  <si>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</si>
  <si>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</si>
  <si>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</si>
  <si>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</si>
  <si>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</si>
  <si>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</si>
  <si>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</si>
  <si>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</si>
  <si>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</si>
  <si>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</si>
  <si>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</si>
  <si>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</si>
  <si>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</si>
  <si>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</si>
  <si>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</si>
  <si>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</si>
  <si>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</si>
  <si>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</si>
  <si>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</si>
  <si>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</si>
  <si>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</si>
  <si>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</si>
  <si>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</si>
  <si>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</si>
  <si>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</si>
  <si>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</si>
  <si>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</si>
  <si>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</si>
  <si>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</si>
  <si>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</si>
  <si>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</si>
  <si>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</si>
  <si>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</si>
  <si>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</si>
  <si>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</si>
  <si>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</si>
  <si>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</si>
  <si>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</si>
  <si>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</si>
  <si>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</si>
  <si>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</si>
  <si>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</si>
  <si>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</si>
  <si>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</si>
  <si>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</si>
  <si>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</si>
  <si>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</si>
  <si>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</si>
  <si>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</si>
  <si>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</si>
  <si>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</si>
  <si>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</si>
  <si>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</si>
  <si>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</si>
  <si>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</si>
  <si>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</si>
  <si>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</si>
  <si>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</si>
  <si>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</si>
  <si>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</si>
  <si>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</si>
  <si>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</si>
  <si>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</si>
  <si>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</si>
  <si>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</si>
  <si>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</si>
  <si>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</si>
  <si>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</si>
  <si>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</si>
  <si>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</si>
  <si>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</si>
  <si>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</si>
  <si>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</si>
  <si>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</si>
  <si>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</si>
  <si>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</si>
  <si>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</si>
  <si>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</si>
  <si>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</si>
  <si>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</si>
  <si>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</si>
  <si>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</si>
  <si>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</si>
  <si>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</si>
  <si>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</si>
  <si>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</si>
  <si>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</si>
  <si>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</si>
  <si>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</si>
  <si>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</si>
  <si>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</si>
  <si>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</si>
  <si>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</si>
  <si>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</si>
  <si>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</si>
  <si>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</si>
  <si>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</si>
  <si>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</si>
  <si>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</si>
  <si>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</si>
  <si>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</si>
  <si>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</si>
  <si>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</si>
  <si>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</si>
  <si>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</si>
  <si>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Pricing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</si>
  <si>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</si>
  <si>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</si>
  <si>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</si>
  <si>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</si>
  <si>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</si>
  <si>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</si>
  <si>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</si>
  <si>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</si>
  <si>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</si>
  <si>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</si>
  <si>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</si>
  <si>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</si>
  <si>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</si>
  <si>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</si>
  <si>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</si>
  <si>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</si>
  <si>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</si>
  <si>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</si>
  <si>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</si>
  <si>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</si>
  <si>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</si>
  <si>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</si>
  <si>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</si>
  <si>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</si>
  <si>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</si>
  <si>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</si>
  <si>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</si>
  <si>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</si>
  <si>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</si>
  <si>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</si>
  <si>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</si>
  <si>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</si>
  <si>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</si>
  <si>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</si>
  <si>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</si>
  <si>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</si>
  <si>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</si>
  <si>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</si>
  <si>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</si>
  <si>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</si>
  <si>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</si>
  <si>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</si>
  <si>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</si>
  <si>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</si>
  <si>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</si>
  <si>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</si>
  <si>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</si>
  <si>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</si>
  <si>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</si>
  <si>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</si>
  <si>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</si>
  <si>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</si>
  <si>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</si>
  <si>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</si>
  <si>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</si>
  <si>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</si>
  <si>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</si>
  <si>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</si>
  <si>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</si>
  <si>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</si>
  <si>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</si>
  <si>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</si>
  <si>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</si>
  <si>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</si>
  <si>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</si>
  <si>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</si>
  <si>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</si>
  <si>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</si>
  <si>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</si>
  <si>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</si>
  <si>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</si>
  <si>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</si>
  <si>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</si>
  <si>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</si>
  <si>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</si>
  <si>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</si>
  <si>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</si>
  <si>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</si>
  <si>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</si>
  <si>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</si>
  <si>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</si>
  <si>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</si>
  <si>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</si>
  <si>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</si>
  <si>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</si>
  <si>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</si>
  <si>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</si>
  <si>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</si>
  <si>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</si>
  <si>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</si>
  <si>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</si>
  <si>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</si>
  <si>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</si>
  <si>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</si>
  <si>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</si>
  <si>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</si>
  <si>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</si>
  <si>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</si>
  <si>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</si>
  <si>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</si>
  <si>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</si>
  <si>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</si>
  <si>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</si>
  <si>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</si>
  <si>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</si>
  <si>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</si>
  <si>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</si>
  <si>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</si>
  <si>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</si>
  <si>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</si>
  <si>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</si>
  <si>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</si>
  <si>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</si>
  <si>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</si>
  <si>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</si>
  <si>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</si>
  <si>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</si>
  <si>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</si>
  <si>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</si>
  <si>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</si>
  <si>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</si>
  <si>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</si>
  <si>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</si>
  <si>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</si>
  <si>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</si>
  <si>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</si>
  <si>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</si>
  <si>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</si>
  <si>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</si>
  <si>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</si>
  <si>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</si>
  <si>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</si>
  <si>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</si>
  <si>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</si>
  <si>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</si>
  <si>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</si>
  <si>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</si>
  <si>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</si>
  <si>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</si>
  <si>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</si>
  <si>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</si>
  <si>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</si>
  <si>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</si>
  <si>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</si>
  <si>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</si>
  <si>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</si>
  <si>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</si>
  <si>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</si>
  <si>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</si>
  <si>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</si>
  <si>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</si>
  <si>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</si>
  <si>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</si>
  <si>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</si>
  <si>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</si>
  <si>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</si>
  <si>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</si>
  <si>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</si>
  <si>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</si>
  <si>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</si>
  <si>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</si>
  <si>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</si>
  <si>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</si>
  <si>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</si>
  <si>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</si>
  <si>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</si>
  <si>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</si>
  <si>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</si>
  <si>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</si>
  <si>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</si>
  <si>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</si>
  <si>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</si>
  <si>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</si>
  <si>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</si>
  <si>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</si>
  <si>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</si>
  <si>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</si>
  <si>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</si>
  <si>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</si>
  <si>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</si>
  <si>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</si>
  <si>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</si>
  <si>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</si>
  <si>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</si>
  <si>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</si>
  <si>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</si>
  <si>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</si>
  <si>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</si>
  <si>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</si>
  <si>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</si>
  <si>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</si>
  <si>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</si>
  <si>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</si>
  <si>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</si>
  <si>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</si>
  <si>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</si>
  <si>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</si>
  <si>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</si>
  <si>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</si>
  <si>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</si>
  <si>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</si>
  <si>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</si>
  <si>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</si>
  <si>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</si>
  <si>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</si>
  <si>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</si>
  <si>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</si>
  <si>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</si>
  <si>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</si>
  <si>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</si>
  <si>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</si>
  <si>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</si>
  <si>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</si>
  <si>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</si>
  <si>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</si>
  <si>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</si>
  <si>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</si>
  <si>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</si>
  <si>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</si>
  <si>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</si>
  <si>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</si>
  <si>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</si>
  <si>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</si>
  <si>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</si>
  <si>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</si>
  <si>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</si>
  <si>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</si>
  <si>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</si>
  <si>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</si>
  <si>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</si>
  <si>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</si>
  <si>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</si>
  <si>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</si>
  <si>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</si>
  <si>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</si>
  <si>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</si>
  <si>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</si>
  <si>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</si>
  <si>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</si>
  <si>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</si>
  <si>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</si>
  <si>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</si>
  <si>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</si>
  <si>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</si>
  <si>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</si>
  <si>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</si>
  <si>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</si>
  <si>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</si>
  <si>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</si>
  <si>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</si>
  <si>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</si>
  <si>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</si>
  <si>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</si>
  <si>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</si>
  <si>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</si>
  <si>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</si>
  <si>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</si>
  <si>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</si>
  <si>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</si>
  <si>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</si>
  <si>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</si>
  <si>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</si>
  <si>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</si>
  <si>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</si>
  <si>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</si>
  <si>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</si>
  <si>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</si>
  <si>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</si>
  <si>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</si>
  <si>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</si>
  <si>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</si>
  <si>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</si>
  <si>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</si>
  <si>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</si>
  <si>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</si>
  <si>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</si>
  <si>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</si>
  <si>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</si>
  <si>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</si>
  <si>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</si>
  <si>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</si>
  <si>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</si>
  <si>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</si>
  <si>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</si>
  <si>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</si>
  <si>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</si>
  <si>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</si>
  <si>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</si>
  <si>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</si>
  <si>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</si>
  <si>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</si>
  <si>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</si>
  <si>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</si>
  <si>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</si>
  <si>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</si>
  <si>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</si>
  <si>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</si>
  <si>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</si>
  <si>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</si>
  <si>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</si>
  <si>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</si>
  <si>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</si>
  <si>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</si>
  <si>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</si>
  <si>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</si>
  <si>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</si>
  <si>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</si>
  <si>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</si>
  <si>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</si>
  <si>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</si>
  <si>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</si>
  <si>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</si>
  <si>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</si>
  <si>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</si>
  <si>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</si>
  <si>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</si>
  <si>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</si>
  <si>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</si>
  <si>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</si>
  <si>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</si>
  <si>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</si>
  <si>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</si>
  <si>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</si>
  <si>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</si>
  <si>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</si>
  <si>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</si>
  <si>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</si>
  <si>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</si>
  <si>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</si>
  <si>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</si>
  <si>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</si>
  <si>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</si>
  <si>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</si>
  <si>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</si>
  <si>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</si>
  <si>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</si>
  <si>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</si>
  <si>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</si>
  <si>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</si>
  <si>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</si>
  <si>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</si>
  <si>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</si>
  <si>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</si>
  <si>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</si>
  <si>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</si>
  <si>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</si>
  <si>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</si>
  <si>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</si>
  <si>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</si>
  <si>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</si>
  <si>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</si>
  <si>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</si>
  <si>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</si>
  <si>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</si>
  <si>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</si>
  <si>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</si>
  <si>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</si>
  <si>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</si>
  <si>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</si>
  <si>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</si>
  <si>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</si>
  <si>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</si>
  <si>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</si>
  <si>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</si>
  <si>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</si>
  <si>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</si>
  <si>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</si>
  <si>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</si>
  <si>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</si>
  <si>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</si>
  <si>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</si>
  <si>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</si>
  <si>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</si>
  <si>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</si>
  <si>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</si>
  <si>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</si>
  <si>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</si>
  <si>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</si>
  <si>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</si>
  <si>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</si>
  <si>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</si>
  <si>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</si>
  <si>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</si>
  <si>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</si>
  <si>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</si>
  <si>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</si>
  <si>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</si>
  <si>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</si>
  <si>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</si>
  <si>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</si>
  <si>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</si>
  <si>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</si>
  <si>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</si>
  <si>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</si>
  <si>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</si>
  <si>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</si>
  <si>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</si>
  <si>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</si>
  <si>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</si>
  <si>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</si>
  <si>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</si>
  <si>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</si>
  <si>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</si>
  <si>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</si>
  <si>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</si>
  <si>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</si>
  <si>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</si>
  <si>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</si>
  <si>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</si>
  <si>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</si>
  <si>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</si>
  <si>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</si>
  <si>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</si>
  <si>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</si>
  <si>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</si>
  <si>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</si>
  <si>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</si>
  <si>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</si>
  <si>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</si>
  <si>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</si>
  <si>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</si>
  <si>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</si>
  <si>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</si>
  <si>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</si>
  <si>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</si>
  <si>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</si>
  <si>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</si>
  <si>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</si>
  <si>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</si>
  <si>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</si>
  <si>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</si>
  <si>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</si>
  <si>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</si>
  <si>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</si>
  <si>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</si>
  <si>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</si>
  <si>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</si>
  <si>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</si>
  <si>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</si>
  <si>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</si>
  <si>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</si>
  <si>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</si>
  <si>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</si>
  <si>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</si>
  <si>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</si>
  <si>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</si>
  <si>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</si>
  <si>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</si>
  <si>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</si>
  <si>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</si>
  <si>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</si>
  <si>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</si>
  <si>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</si>
  <si>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</si>
  <si>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</si>
  <si>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</si>
  <si>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</si>
  <si>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</si>
  <si>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</si>
  <si>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</si>
  <si>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</si>
  <si>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</si>
  <si>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</si>
  <si>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</si>
  <si>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</si>
  <si>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</si>
  <si>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</si>
  <si>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</si>
  <si>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</si>
  <si>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</si>
  <si>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</si>
  <si>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</si>
  <si>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</si>
  <si>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</si>
  <si>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</si>
  <si>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</si>
  <si>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</si>
  <si>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</si>
  <si>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</si>
  <si>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</si>
  <si>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</si>
  <si>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</si>
  <si>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</si>
  <si>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</si>
  <si>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</si>
  <si>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</si>
  <si>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</si>
  <si>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</si>
  <si>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</si>
  <si>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</si>
  <si>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</si>
  <si>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</si>
  <si>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</si>
  <si>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</si>
  <si>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</si>
  <si>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</si>
  <si>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</si>
  <si>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</si>
  <si>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</si>
  <si>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</si>
  <si>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</si>
  <si>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</si>
  <si>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</si>
  <si>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</si>
  <si>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</si>
  <si>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</si>
  <si>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</si>
  <si>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</si>
  <si>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</si>
  <si>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</si>
  <si>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</si>
  <si>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</si>
  <si>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</si>
  <si>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</si>
  <si>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</si>
  <si>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</si>
  <si>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</si>
  <si>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</si>
  <si>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</si>
  <si>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</si>
  <si>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</si>
  <si>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</si>
  <si>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</si>
  <si>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</si>
  <si>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</si>
  <si>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</si>
  <si>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</si>
  <si>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</si>
  <si>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</si>
  <si>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</si>
  <si>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</si>
  <si>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</si>
  <si>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</si>
  <si>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</si>
  <si>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</si>
  <si>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</si>
  <si>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</si>
  <si>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</si>
  <si>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</si>
  <si>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</si>
  <si>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</si>
  <si>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</si>
  <si>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</si>
  <si>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</si>
  <si>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</si>
  <si>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</si>
  <si>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</si>
  <si>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</si>
  <si>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</si>
  <si>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</si>
  <si>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</si>
  <si>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</si>
  <si>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</si>
  <si>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</si>
  <si>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</si>
  <si>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</si>
  <si>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</si>
  <si>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</si>
  <si>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</si>
  <si>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</si>
  <si>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</si>
  <si>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</si>
  <si>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</si>
  <si>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</si>
  <si>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</si>
  <si>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</si>
  <si>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</si>
  <si>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</si>
  <si>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</si>
  <si>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</si>
  <si>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</si>
  <si>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</si>
  <si>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</si>
  <si>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</si>
  <si>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</si>
  <si>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</si>
  <si>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</si>
  <si>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</si>
  <si>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</si>
  <si>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</si>
  <si>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</si>
  <si>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</si>
  <si>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</si>
  <si>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</si>
  <si>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</si>
  <si>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</si>
  <si>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</si>
  <si>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</si>
  <si>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</si>
  <si>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</si>
  <si>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</si>
  <si>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</si>
  <si>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</si>
  <si>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</si>
  <si>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</si>
  <si>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</si>
  <si>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</si>
  <si>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</si>
  <si>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</si>
  <si>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</si>
  <si>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</si>
  <si>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</si>
  <si>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</si>
  <si>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</si>
  <si>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</si>
  <si>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</si>
  <si>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</si>
  <si>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</si>
  <si>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</si>
  <si>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</si>
  <si>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</si>
  <si>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</si>
  <si>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</si>
  <si>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</si>
  <si>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</si>
  <si>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</si>
  <si>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</si>
  <si>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</si>
  <si>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</si>
  <si>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</si>
  <si>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</si>
  <si>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</si>
  <si>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</si>
  <si>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</si>
  <si>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</si>
  <si>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</si>
  <si>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</si>
  <si>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</si>
  <si>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</si>
  <si>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</si>
  <si>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</si>
  <si>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</si>
  <si>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</si>
  <si>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</si>
  <si>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</si>
  <si>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</si>
  <si>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</si>
  <si>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</si>
  <si>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</si>
  <si>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</si>
  <si>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</si>
  <si>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</si>
  <si>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</si>
  <si>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</si>
  <si>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</si>
  <si>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</si>
  <si>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</si>
  <si>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</si>
  <si>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</si>
  <si>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</si>
  <si>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</si>
  <si>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</si>
  <si>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</si>
  <si>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</si>
  <si>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</si>
  <si>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</si>
  <si>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</si>
  <si>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</si>
  <si>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</si>
  <si>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</si>
  <si>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</si>
  <si>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</si>
  <si>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</si>
  <si>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</si>
  <si>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</si>
  <si>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</si>
  <si>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</si>
  <si>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</si>
  <si>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</si>
  <si>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</si>
  <si>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</si>
  <si>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</si>
  <si>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</si>
  <si>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</si>
  <si>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</si>
  <si>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</si>
  <si>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</si>
  <si>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</si>
  <si>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</si>
  <si>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</si>
  <si>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</si>
  <si>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</si>
  <si>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</si>
  <si>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</si>
  <si>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</si>
  <si>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</si>
  <si>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</si>
  <si>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</si>
  <si>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</si>
  <si>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</si>
  <si>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</si>
  <si>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</si>
  <si>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</si>
  <si>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</si>
  <si>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</si>
  <si>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</si>
  <si>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</si>
  <si>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</si>
  <si>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</si>
  <si>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</si>
  <si>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</si>
  <si>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</si>
  <si>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</si>
  <si>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</si>
  <si>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</si>
  <si>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</si>
  <si>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</si>
  <si>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</si>
  <si>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</si>
  <si>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</si>
  <si>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</si>
  <si>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</si>
  <si>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</si>
  <si>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</si>
  <si>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</si>
  <si>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</si>
  <si>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</si>
  <si>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</si>
  <si>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</si>
  <si>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</si>
  <si>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</si>
  <si>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</si>
  <si>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</si>
  <si>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</si>
  <si>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</si>
  <si>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</si>
  <si>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</si>
  <si>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</si>
  <si>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</si>
  <si>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</si>
  <si>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</si>
  <si>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</si>
  <si>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</si>
  <si>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</si>
  <si>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</si>
  <si>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</si>
  <si>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</si>
  <si>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</si>
  <si>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</si>
  <si>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</si>
  <si>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</si>
  <si>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</si>
  <si>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</si>
  <si>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</si>
  <si>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</si>
  <si>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</si>
  <si>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</si>
  <si>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</si>
  <si>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</si>
  <si>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</si>
  <si>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</si>
  <si>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</si>
  <si>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</si>
  <si>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</si>
  <si>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</si>
  <si>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</si>
  <si>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</si>
  <si>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</si>
  <si>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</si>
  <si>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</si>
  <si>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</si>
  <si>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</si>
  <si>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</si>
  <si>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</si>
  <si>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</si>
  <si>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</si>
  <si>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</si>
  <si>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</si>
  <si>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</si>
  <si>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</si>
  <si>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</si>
  <si>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</si>
  <si>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</si>
  <si>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</si>
  <si>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</si>
  <si>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</si>
  <si>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</si>
  <si>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</si>
  <si>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</si>
  <si>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</si>
  <si>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</si>
  <si>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</si>
  <si>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</si>
  <si>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</si>
  <si>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</si>
  <si>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</si>
  <si>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</si>
  <si>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</si>
  <si>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</si>
  <si>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</si>
  <si>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</si>
  <si>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</si>
  <si>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</si>
  <si>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</si>
  <si>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</si>
  <si>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</si>
  <si>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</si>
  <si>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</si>
  <si>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</si>
  <si>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</si>
  <si>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</si>
  <si>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</si>
  <si>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</si>
  <si>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</si>
  <si>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</si>
  <si>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</si>
  <si>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</si>
  <si>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</si>
  <si>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</si>
  <si>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</si>
  <si>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</si>
  <si>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</si>
  <si>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</si>
  <si>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</si>
  <si>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</si>
  <si>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</si>
  <si>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</si>
  <si>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</si>
  <si>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</si>
  <si>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</si>
  <si>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</si>
  <si>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</si>
  <si>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</si>
  <si>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</si>
  <si>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</si>
  <si>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</si>
  <si>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</si>
  <si>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</si>
  <si>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</si>
  <si>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</si>
  <si>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</si>
  <si>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</si>
  <si>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</si>
  <si>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</si>
  <si>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</si>
  <si>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</si>
  <si>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</si>
  <si>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</si>
  <si>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</si>
  <si>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</si>
  <si>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</si>
  <si>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</si>
  <si>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</si>
  <si>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</si>
  <si>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</si>
  <si>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</si>
  <si>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</si>
  <si>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</si>
  <si>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</si>
  <si>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</si>
  <si>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</si>
  <si>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</si>
  <si>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</si>
  <si>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</si>
  <si>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</si>
  <si>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</si>
  <si>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</si>
  <si>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</si>
  <si>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</si>
  <si>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</si>
  <si>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</si>
  <si>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</si>
  <si>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</si>
  <si>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</si>
  <si>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</si>
  <si>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</si>
  <si>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</si>
  <si>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</si>
  <si>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</si>
  <si>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</si>
  <si>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</si>
  <si>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</si>
  <si>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</si>
  <si>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</si>
  <si>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</si>
  <si>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</si>
  <si>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</si>
  <si>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</si>
  <si>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</si>
  <si>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</si>
  <si>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</si>
  <si>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</si>
  <si>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</si>
  <si>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</si>
  <si>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</si>
  <si>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</si>
  <si>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</si>
  <si>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</si>
  <si>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</si>
  <si>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</si>
  <si>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</si>
  <si>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</si>
  <si>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</si>
  <si>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</si>
  <si>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</si>
  <si>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</si>
  <si>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</si>
  <si>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</si>
  <si>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</si>
  <si>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</si>
  <si>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</si>
  <si>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</si>
  <si>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</si>
  <si>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</si>
  <si>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</si>
  <si>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</si>
  <si>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</si>
  <si>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</si>
  <si>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</si>
  <si>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</si>
  <si>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</si>
  <si>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</si>
  <si>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</si>
  <si>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</si>
  <si>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</si>
  <si>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</si>
  <si>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</si>
  <si>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</si>
  <si>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</si>
  <si>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</si>
  <si>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</si>
  <si>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</si>
  <si>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</si>
  <si>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</si>
  <si>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</si>
  <si>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</si>
  <si>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</si>
  <si>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</si>
  <si>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</si>
  <si>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</si>
  <si>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</si>
  <si>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</si>
  <si>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</si>
  <si>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</si>
  <si>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</si>
  <si>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</si>
  <si>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</si>
  <si>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</si>
  <si>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</si>
  <si>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</si>
  <si>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</si>
  <si>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</si>
  <si>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</si>
  <si>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</si>
  <si>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</si>
  <si>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</si>
  <si>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</si>
  <si>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</si>
  <si>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</si>
  <si>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</si>
  <si>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</si>
  <si>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</si>
  <si>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</si>
  <si>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</si>
  <si>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</si>
  <si>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</si>
  <si>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</si>
  <si>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</si>
  <si>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</si>
  <si>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</si>
  <si>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</si>
  <si>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</si>
  <si>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</si>
  <si>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</si>
  <si>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</si>
  <si>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</si>
  <si>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</si>
  <si>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</si>
  <si>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</si>
  <si>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</si>
  <si>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</si>
  <si>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</si>
  <si>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</si>
  <si>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</si>
  <si>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</si>
  <si>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</si>
  <si>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</si>
  <si>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</si>
  <si>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</si>
  <si>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</si>
  <si>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</si>
  <si>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</si>
  <si>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</si>
  <si>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</si>
  <si>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</si>
  <si>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</si>
  <si>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</si>
  <si>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</si>
  <si>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</si>
  <si>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</si>
  <si>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</si>
  <si>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</si>
  <si>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</si>
  <si>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</si>
  <si>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</si>
  <si>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</si>
  <si>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</si>
  <si>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</si>
  <si>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</si>
  <si>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</si>
  <si>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</si>
  <si>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</si>
  <si>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</si>
  <si>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</si>
  <si>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</si>
  <si>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</si>
  <si>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</si>
  <si>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</si>
  <si>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</si>
  <si>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</si>
  <si>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</si>
  <si>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</si>
  <si>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</si>
  <si>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</si>
  <si>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</si>
  <si>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</si>
  <si>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</si>
  <si>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</si>
  <si>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</si>
  <si>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</si>
  <si>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</si>
  <si>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</si>
  <si>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</si>
  <si>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</si>
  <si>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</si>
  <si>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</si>
  <si>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</si>
  <si>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</si>
  <si>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</si>
  <si>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</si>
  <si>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</si>
  <si>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</si>
  <si>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</si>
  <si>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</si>
  <si>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Wholesale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</si>
  <si>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</si>
  <si>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</si>
  <si>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</si>
  <si>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</si>
  <si>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</si>
  <si>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</si>
  <si>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</si>
  <si>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</si>
  <si>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</si>
  <si>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</si>
  <si>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</si>
  <si>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</si>
  <si>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</si>
  <si>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</si>
  <si>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</si>
  <si>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</si>
  <si>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</si>
  <si>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</si>
  <si>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</si>
  <si>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</si>
  <si>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</si>
  <si>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</si>
  <si>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</si>
  <si>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</si>
  <si>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</si>
  <si>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</si>
  <si>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</si>
  <si>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</si>
  <si>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</si>
  <si>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</si>
  <si>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10.សាប៊ូលាងម៉ូតូ ឡាន 4លីត្រ</t>
  </si>
  <si>
    <t>11.សាប៊ូលាងម៉ូតូ ឡាន 28លីត្រ</t>
  </si>
  <si>
    <t>12.សាប៊ូលាងម៉ូតូ ឡាន 30លីត្រ</t>
  </si>
  <si>
    <t xml:space="preserve">Type </t>
  </si>
  <si>
    <t>សរុប (Unit) ៖</t>
  </si>
  <si>
    <t>002.ប្រាក់ទូទាត់លើស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</si>
  <si>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</si>
  <si>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</si>
  <si>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</si>
  <si>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</si>
  <si>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</si>
  <si>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</si>
  <si>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</si>
  <si>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</si>
  <si>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</si>
  <si>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</si>
  <si>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</si>
  <si>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</si>
  <si>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</si>
  <si>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</si>
  <si>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លេខវិក្កយប័ត្រ *</t>
  </si>
  <si>
    <t>\</t>
  </si>
  <si>
    <t>ស្តុកសល់ខែមុន</t>
  </si>
  <si>
    <t>0129.សំអុន (Samon)</t>
  </si>
  <si>
    <t>បាយ និងសាំង</t>
  </si>
  <si>
    <t>ឈ្មោះជាភាសាខ្មែរ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</si>
  <si>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</si>
  <si>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</si>
  <si>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</si>
  <si>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</si>
  <si>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</si>
  <si>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</si>
  <si>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</si>
  <si>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</si>
  <si>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</si>
  <si>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</si>
  <si>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</si>
  <si>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</si>
  <si>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</si>
  <si>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</si>
  <si>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</si>
  <si>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</si>
  <si>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</si>
  <si>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Eight Month</t>
  </si>
  <si>
    <t>Ten Month</t>
  </si>
  <si>
    <t>Twelve Month</t>
  </si>
  <si>
    <t>Customer Company</t>
  </si>
  <si>
    <t>Social Network</t>
  </si>
  <si>
    <t>CKS0000001</t>
  </si>
  <si>
    <t>0001.ប៊ូ បញ្ញា (BOU Panha)</t>
  </si>
  <si>
    <t>00002.ឌីសង់តឺ schneder 32A</t>
  </si>
  <si>
    <t>កំណត់ការកម្មង់ទិញ</t>
  </si>
  <si>
    <t>00001.អំពូលភ្លើង 75W</t>
  </si>
  <si>
    <t>04.អាករ ១០%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</si>
  <si>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</si>
  <si>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</si>
  <si>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</si>
  <si>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</si>
  <si>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</si>
  <si>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</si>
  <si>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</si>
  <si>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</si>
  <si>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</si>
  <si>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</si>
  <si>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</si>
  <si>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</si>
  <si>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</si>
  <si>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</si>
  <si>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</si>
  <si>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</si>
  <si>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</si>
  <si>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</si>
  <si>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</si>
  <si>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</si>
  <si>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</si>
  <si>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</si>
  <si>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</si>
  <si>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</si>
  <si>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</si>
  <si>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</si>
  <si>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</si>
  <si>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</si>
  <si>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</si>
  <si>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</si>
  <si>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</si>
  <si>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</si>
  <si>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</si>
  <si>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</si>
  <si>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</si>
  <si>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</si>
  <si>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</si>
  <si>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</si>
  <si>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</si>
  <si>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</si>
  <si>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</si>
  <si>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</si>
  <si>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</si>
  <si>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</si>
  <si>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</si>
  <si>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</si>
  <si>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</si>
  <si>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</si>
  <si>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</si>
  <si>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</si>
  <si>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</si>
  <si>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</si>
  <si>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</si>
  <si>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</si>
  <si>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</si>
  <si>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</si>
  <si>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</si>
  <si>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</si>
  <si>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</si>
  <si>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</si>
  <si>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</si>
  <si>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</si>
  <si>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</si>
  <si>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</si>
  <si>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</si>
  <si>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</si>
  <si>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</si>
  <si>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</si>
  <si>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</si>
  <si>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</si>
  <si>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</si>
  <si>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</si>
  <si>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</si>
  <si>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</si>
  <si>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</si>
  <si>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</si>
  <si>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</si>
  <si>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</si>
  <si>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</si>
  <si>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</si>
  <si>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</si>
  <si>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</si>
  <si>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</si>
  <si>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</si>
  <si>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</si>
  <si>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</si>
  <si>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</si>
  <si>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</si>
  <si>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</si>
  <si>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</si>
  <si>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</si>
  <si>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</si>
  <si>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</si>
  <si>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</si>
  <si>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</si>
  <si>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</si>
  <si>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</si>
  <si>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</si>
  <si>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</si>
  <si>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</si>
  <si>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</si>
  <si>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</si>
  <si>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</si>
  <si>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</si>
  <si>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</si>
  <si>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</si>
  <si>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</si>
  <si>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</si>
  <si>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</si>
  <si>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</si>
  <si>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</si>
  <si>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</si>
  <si>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</si>
  <si>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</si>
  <si>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</si>
  <si>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</si>
  <si>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</si>
  <si>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</si>
  <si>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</si>
  <si>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</si>
  <si>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</si>
  <si>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</si>
  <si>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</si>
  <si>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</si>
  <si>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</si>
  <si>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</si>
  <si>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</si>
  <si>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</si>
  <si>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</si>
  <si>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</si>
  <si>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</si>
  <si>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</si>
  <si>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</si>
  <si>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</si>
  <si>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</si>
  <si>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</si>
  <si>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</si>
  <si>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</si>
  <si>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</si>
  <si>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</si>
  <si>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</si>
  <si>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</si>
  <si>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</si>
  <si>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</si>
  <si>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</si>
  <si>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</si>
  <si>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</si>
  <si>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</si>
  <si>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</si>
  <si>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</si>
  <si>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</si>
  <si>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</si>
  <si>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</si>
  <si>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</si>
  <si>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</si>
  <si>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</si>
  <si>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</si>
  <si>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</si>
  <si>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</si>
  <si>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</si>
  <si>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</si>
  <si>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</si>
  <si>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</si>
  <si>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</si>
  <si>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</si>
  <si>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</si>
  <si>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</si>
  <si>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</si>
  <si>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</si>
  <si>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</si>
  <si>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</si>
  <si>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</si>
  <si>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</si>
  <si>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</si>
  <si>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</si>
  <si>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</si>
  <si>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</si>
  <si>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</si>
  <si>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</si>
  <si>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</si>
  <si>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</si>
  <si>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</si>
  <si>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</si>
  <si>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</si>
  <si>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</si>
  <si>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</si>
  <si>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</si>
  <si>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</si>
  <si>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</si>
  <si>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</si>
  <si>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</si>
  <si>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</si>
  <si>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</si>
  <si>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</si>
  <si>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</si>
  <si>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</si>
  <si>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</si>
  <si>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</si>
  <si>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</si>
  <si>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</si>
  <si>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</si>
  <si>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</si>
  <si>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</si>
  <si>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</si>
  <si>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</si>
  <si>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</si>
  <si>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</si>
  <si>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</si>
  <si>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</si>
  <si>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</si>
  <si>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</si>
  <si>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</si>
  <si>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</si>
  <si>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</si>
  <si>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</si>
  <si>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</si>
  <si>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</si>
  <si>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</si>
  <si>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</si>
  <si>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</si>
  <si>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</si>
  <si>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</si>
  <si>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</si>
  <si>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</si>
  <si>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</si>
  <si>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002.ផល​ ពិសិទ្ធ</t>
  </si>
  <si>
    <t>00001.អ្នកផ្គត់ផ្គង់ទូទៅ</t>
  </si>
  <si>
    <t>003.នឹម ស្រីមុំ</t>
  </si>
  <si>
    <t>1ដុល្លា         =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</si>
  <si>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</si>
  <si>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</si>
  <si>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</si>
  <si>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</si>
  <si>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</si>
  <si>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</si>
  <si>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</si>
  <si>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</si>
  <si>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</si>
  <si>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</si>
  <si>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</si>
  <si>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</si>
  <si>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</si>
  <si>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</si>
  <si>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</si>
  <si>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</si>
  <si>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</si>
  <si>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</si>
  <si>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</si>
  <si>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</si>
  <si>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</si>
  <si>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</si>
  <si>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</si>
  <si>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</si>
  <si>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</si>
  <si>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</si>
  <si>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</si>
  <si>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</si>
  <si>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</si>
  <si>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</si>
  <si>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</si>
  <si>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</si>
  <si>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</si>
  <si>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</si>
  <si>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</si>
  <si>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</si>
  <si>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</si>
  <si>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</si>
  <si>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</si>
  <si>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</si>
  <si>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</si>
  <si>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</si>
  <si>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</si>
  <si>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</si>
  <si>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</si>
  <si>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</si>
  <si>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</si>
  <si>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</si>
  <si>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</si>
  <si>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</si>
  <si>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</si>
  <si>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</si>
  <si>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</si>
  <si>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</si>
  <si>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</si>
  <si>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</si>
  <si>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</si>
  <si>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</si>
  <si>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</si>
  <si>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</si>
  <si>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</si>
  <si>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</si>
  <si>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</si>
  <si>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</si>
  <si>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</si>
  <si>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</si>
  <si>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</si>
  <si>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</si>
  <si>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</si>
  <si>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</si>
  <si>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</si>
  <si>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</si>
  <si>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</si>
  <si>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ច្បាប់ដើមសម្រាប់អតិថិជន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</si>
  <si>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customer, the copied one is kept by the Company.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</si>
  <si>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</si>
  <si>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</si>
  <si>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</si>
  <si>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</si>
  <si>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</si>
  <si>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</si>
  <si>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</si>
  <si>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</si>
  <si>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</si>
  <si>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</si>
  <si>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</si>
  <si>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</si>
  <si>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</si>
  <si>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</si>
  <si>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</si>
  <si>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</si>
  <si>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</si>
  <si>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</si>
  <si>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</si>
  <si>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</si>
  <si>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</si>
  <si>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</si>
  <si>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</si>
  <si>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</si>
  <si>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02.Three Month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</si>
  <si>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</si>
  <si>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</si>
  <si>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</si>
  <si>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</si>
  <si>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</si>
  <si>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</si>
  <si>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</si>
  <si>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</si>
  <si>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</si>
  <si>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</si>
  <si>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</si>
  <si>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</si>
  <si>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</si>
  <si>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</si>
  <si>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</si>
  <si>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</si>
  <si>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</si>
  <si>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</si>
  <si>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</si>
  <si>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</si>
  <si>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</si>
  <si>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</si>
  <si>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</si>
  <si>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</si>
  <si>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</si>
  <si>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</si>
  <si>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</si>
  <si>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</si>
  <si>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</si>
  <si>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</si>
  <si>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</si>
  <si>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</si>
  <si>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</si>
  <si>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</si>
  <si>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</si>
  <si>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</si>
  <si>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</si>
  <si>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</si>
  <si>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</si>
  <si>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</si>
  <si>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</si>
  <si>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</si>
  <si>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</si>
  <si>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</si>
  <si>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</si>
  <si>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</si>
  <si>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</si>
  <si>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</si>
  <si>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</si>
  <si>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</si>
  <si>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</si>
  <si>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Toul Kork, Phnom Penh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</si>
  <si>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</si>
  <si>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</si>
  <si>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</si>
  <si>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</si>
  <si>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</si>
  <si>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ឆែកស្តុកក្នុងទីតាំង</t>
  </si>
  <si>
    <t>Group Total Detail</t>
  </si>
  <si>
    <t>Cost By UoM</t>
  </si>
  <si>
    <t>Old Unit Price</t>
  </si>
  <si>
    <t>Lot No.</t>
  </si>
  <si>
    <t>លេខឡតិ័</t>
  </si>
  <si>
    <t xml:space="preserve">អត្រាប្តូរប្រាក់ធនាគារជាតិ (NBC Exchage) ៖​ 1ដុល្លា = </t>
  </si>
  <si>
    <t>Main Warehouse</t>
  </si>
  <si>
    <t>001.Main Warehouse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</si>
  <si>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</si>
  <si>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</si>
  <si>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</si>
  <si>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</si>
  <si>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</si>
  <si>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</si>
  <si>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</si>
  <si>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</si>
  <si>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</si>
  <si>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</si>
  <si>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</si>
  <si>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</si>
  <si>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</si>
  <si>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</si>
  <si>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</si>
  <si>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តម្លៃទំនិញ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</si>
  <si>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</si>
  <si>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</si>
  <si>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</si>
  <si>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</si>
  <si>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</si>
  <si>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</si>
  <si>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</si>
  <si>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00001.អំពូលភ្លើង 75W #KS01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</si>
  <si>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</si>
  <si>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</si>
  <si>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</si>
  <si>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</si>
  <si>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</si>
  <si>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</si>
  <si>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</si>
  <si>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</si>
  <si>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</si>
  <si>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</si>
  <si>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</si>
  <si>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</si>
  <si>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SKS-001</t>
  </si>
  <si>
    <t>SKS-002</t>
  </si>
  <si>
    <t>SKS-003</t>
  </si>
  <si>
    <t>001.កែវ វណ្ណា (Keo Vanna)</t>
  </si>
  <si>
    <t>Ending Stock</t>
  </si>
  <si>
    <t>Total Qty Sale</t>
  </si>
  <si>
    <t>Small</t>
  </si>
  <si>
    <t>Sum Qty Sale Group By Product</t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</si>
  <si>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</si>
  <si>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</si>
  <si>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</si>
  <si>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</si>
  <si>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</si>
  <si>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</si>
  <si>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</si>
  <si>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</si>
  <si>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</si>
  <si>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</si>
  <si>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</si>
  <si>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</si>
  <si>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</si>
  <si>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</si>
  <si>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</si>
  <si>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</si>
  <si>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</si>
  <si>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</si>
  <si>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</si>
  <si>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</si>
  <si>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</si>
  <si>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</si>
  <si>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</si>
  <si>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</si>
  <si>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</si>
  <si>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</si>
  <si>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</si>
  <si>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</si>
  <si>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</si>
  <si>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</si>
  <si>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</si>
  <si>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</si>
  <si>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</si>
  <si>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</si>
  <si>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</si>
  <si>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</si>
  <si>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</si>
  <si>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</si>
  <si>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</si>
  <si>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</si>
  <si>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</si>
  <si>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</si>
  <si>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</si>
  <si>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2.Invoice Normal</t>
  </si>
  <si>
    <t>Uom Value</t>
  </si>
  <si>
    <t>D:\1_Documents\1_Companies\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</si>
  <si>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</si>
  <si>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</si>
  <si>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</si>
  <si>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</si>
  <si>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</si>
  <si>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</si>
  <si>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</si>
  <si>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</si>
  <si>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</si>
  <si>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</si>
  <si>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</si>
  <si>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</si>
  <si>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</si>
  <si>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</si>
  <si>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</si>
  <si>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</si>
  <si>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</si>
  <si>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U-91</t>
  </si>
  <si>
    <t>អេកូ ផាប</t>
  </si>
  <si>
    <t>អ៊ុយ 90</t>
  </si>
  <si>
    <t>Kbal Kla</t>
  </si>
  <si>
    <t>PL</t>
  </si>
  <si>
    <t>ទំនិញចិន</t>
  </si>
  <si>
    <t>ភី អិល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</si>
  <si>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</si>
  <si>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</si>
  <si>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</si>
  <si>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</si>
  <si>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</si>
  <si>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</si>
  <si>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</si>
  <si>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</si>
  <si>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</si>
  <si>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</si>
  <si>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</si>
  <si>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</si>
  <si>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</si>
  <si>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</si>
  <si>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</si>
  <si>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</si>
  <si>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</si>
  <si>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</si>
  <si>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</si>
  <si>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</si>
  <si>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</si>
  <si>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</si>
  <si>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</si>
  <si>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</si>
  <si>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</si>
  <si>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</si>
  <si>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</si>
  <si>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</si>
  <si>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</si>
  <si>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</si>
  <si>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</si>
  <si>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</si>
  <si>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</si>
  <si>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</si>
  <si>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</si>
  <si>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</si>
  <si>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</si>
  <si>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</si>
  <si>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</si>
  <si>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</si>
  <si>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</si>
  <si>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</si>
  <si>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</si>
  <si>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</si>
  <si>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</si>
  <si>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</si>
  <si>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</si>
  <si>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</si>
  <si>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</si>
  <si>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</si>
  <si>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</si>
  <si>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</si>
  <si>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</si>
  <si>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</si>
  <si>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</si>
  <si>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</si>
  <si>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</si>
  <si>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</si>
  <si>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</si>
  <si>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</si>
  <si>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</si>
  <si>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</si>
  <si>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</si>
  <si>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</si>
  <si>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</si>
  <si>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</si>
  <si>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</si>
  <si>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</si>
  <si>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</si>
  <si>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</si>
  <si>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</si>
  <si>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</si>
  <si>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</si>
  <si>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</si>
  <si>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</si>
  <si>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</si>
  <si>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</si>
  <si>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</si>
  <si>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</si>
  <si>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</si>
  <si>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</si>
  <si>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</si>
  <si>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</si>
  <si>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</si>
  <si>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</si>
  <si>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</si>
  <si>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</si>
  <si>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</si>
  <si>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</si>
  <si>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</si>
  <si>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</si>
  <si>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</si>
  <si>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</si>
  <si>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</si>
  <si>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</si>
  <si>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</si>
  <si>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</si>
  <si>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</si>
  <si>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</si>
  <si>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</si>
  <si>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</si>
  <si>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</si>
  <si>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</si>
  <si>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</si>
  <si>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</si>
  <si>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</si>
  <si>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</si>
  <si>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</si>
  <si>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</si>
  <si>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</si>
  <si>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</si>
  <si>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</si>
  <si>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</si>
  <si>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</si>
  <si>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</si>
  <si>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</si>
  <si>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បរិមាណជាក់ស្តែង</t>
  </si>
  <si>
    <t>បរិមាណបានលក់</t>
  </si>
  <si>
    <t>តម្លៃសរុបលក់រាយ</t>
  </si>
  <si>
    <t>ទំហំ/ទ្រង់ទ្រាយលំអិត</t>
  </si>
  <si>
    <t>Actual QTY</t>
  </si>
  <si>
    <t>SOLD QTY</t>
  </si>
  <si>
    <t>Total Cost of Sold</t>
  </si>
  <si>
    <t>ទីប​100(8.5)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</si>
  <si>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</si>
  <si>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</si>
  <si>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</si>
  <si>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</si>
  <si>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</si>
  <si>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</si>
  <si>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</si>
  <si>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</si>
  <si>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</si>
  <si>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</si>
  <si>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</si>
  <si>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</si>
  <si>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</si>
  <si>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</si>
  <si>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</si>
  <si>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</si>
  <si>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</si>
  <si>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</si>
  <si>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</si>
  <si>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</si>
  <si>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</si>
  <si>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</si>
  <si>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</si>
  <si>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</si>
  <si>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</si>
  <si>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</si>
  <si>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</si>
  <si>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</si>
  <si>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</si>
  <si>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</si>
  <si>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</si>
  <si>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</si>
  <si>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</si>
  <si>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</si>
  <si>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</si>
  <si>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</si>
  <si>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</si>
  <si>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</si>
  <si>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</si>
  <si>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</si>
  <si>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</si>
  <si>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</si>
  <si>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</si>
  <si>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</si>
  <si>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</si>
  <si>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គ្រឿងដំណរ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</si>
  <si>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</si>
  <si>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</si>
  <si>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</si>
  <si>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</si>
  <si>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</si>
  <si>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</si>
  <si>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</si>
  <si>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</si>
  <si>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</si>
  <si>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</si>
  <si>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</si>
  <si>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</si>
  <si>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</si>
  <si>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</si>
  <si>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</si>
  <si>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</si>
  <si>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</si>
  <si>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</si>
  <si>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</si>
  <si>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</si>
  <si>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</si>
  <si>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</si>
  <si>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</si>
  <si>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</si>
  <si>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</si>
  <si>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</si>
  <si>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</si>
  <si>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</si>
  <si>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</si>
  <si>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</si>
  <si>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</si>
  <si>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</si>
  <si>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</si>
  <si>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</si>
  <si>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</si>
  <si>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</si>
  <si>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</si>
  <si>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</si>
  <si>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</si>
  <si>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</si>
  <si>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</si>
  <si>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</si>
  <si>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</si>
  <si>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</si>
  <si>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</si>
  <si>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</si>
  <si>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</si>
  <si>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</si>
  <si>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</si>
  <si>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</si>
  <si>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</si>
  <si>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</si>
  <si>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</si>
  <si>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</si>
  <si>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</si>
  <si>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</si>
  <si>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</si>
  <si>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</si>
  <si>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</si>
  <si>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</si>
  <si>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</si>
  <si>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</si>
  <si>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</si>
  <si>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</si>
  <si>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</si>
  <si>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</si>
  <si>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</si>
  <si>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</si>
  <si>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</si>
  <si>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</si>
  <si>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</si>
  <si>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</si>
  <si>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</si>
  <si>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</si>
  <si>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</si>
  <si>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</si>
  <si>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</si>
  <si>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</si>
  <si>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</si>
  <si>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</si>
  <si>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</si>
  <si>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</si>
  <si>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</si>
  <si>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</si>
  <si>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</si>
  <si>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</si>
  <si>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</si>
  <si>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</si>
  <si>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</si>
  <si>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</si>
  <si>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</si>
  <si>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</si>
  <si>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</si>
  <si>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</si>
  <si>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</si>
  <si>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</si>
  <si>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</si>
  <si>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</si>
  <si>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</si>
  <si>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</si>
  <si>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</si>
  <si>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</si>
  <si>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</si>
  <si>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</si>
  <si>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</si>
  <si>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</si>
  <si>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</si>
  <si>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</si>
  <si>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</si>
  <si>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</si>
  <si>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</si>
  <si>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</si>
  <si>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</si>
  <si>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</si>
  <si>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</si>
  <si>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</si>
  <si>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</si>
  <si>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</si>
  <si>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</si>
  <si>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</si>
  <si>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</si>
  <si>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</si>
  <si>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</si>
  <si>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</si>
  <si>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</si>
  <si>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</si>
  <si>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</si>
  <si>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</si>
  <si>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</si>
  <si>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</si>
  <si>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</si>
  <si>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</si>
  <si>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</si>
  <si>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</si>
  <si>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</si>
  <si>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</si>
  <si>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</si>
  <si>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</si>
  <si>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</si>
  <si>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</si>
  <si>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</si>
  <si>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</si>
  <si>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</si>
  <si>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</si>
  <si>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</si>
  <si>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</si>
  <si>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</si>
  <si>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</si>
  <si>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</si>
  <si>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</si>
  <si>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</si>
  <si>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</si>
  <si>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</si>
  <si>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</si>
  <si>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</si>
  <si>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</si>
  <si>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</si>
  <si>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</si>
  <si>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</si>
  <si>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</si>
  <si>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</si>
  <si>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</si>
  <si>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</si>
  <si>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</si>
  <si>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</si>
  <si>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</si>
  <si>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</si>
  <si>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</si>
  <si>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</si>
  <si>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</si>
  <si>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</si>
  <si>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</si>
  <si>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</si>
  <si>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</si>
  <si>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</si>
  <si>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</si>
  <si>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</si>
  <si>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</si>
  <si>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</si>
  <si>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</si>
  <si>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</si>
  <si>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</si>
  <si>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</si>
  <si>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</si>
  <si>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</si>
  <si>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</si>
  <si>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</si>
  <si>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</si>
  <si>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</si>
  <si>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</si>
  <si>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</si>
  <si>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</si>
  <si>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</si>
  <si>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</si>
  <si>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</si>
  <si>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</si>
  <si>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</si>
  <si>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</si>
  <si>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</si>
  <si>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</si>
  <si>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</si>
  <si>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</si>
  <si>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</si>
  <si>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</si>
  <si>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</si>
  <si>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</si>
  <si>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</si>
  <si>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</si>
  <si>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</si>
  <si>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</si>
  <si>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</si>
  <si>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</si>
  <si>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</si>
  <si>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</si>
  <si>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</si>
  <si>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</si>
  <si>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</si>
  <si>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</si>
  <si>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</si>
  <si>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</si>
  <si>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</si>
  <si>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</si>
  <si>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</si>
  <si>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</si>
  <si>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</si>
  <si>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</si>
  <si>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</si>
  <si>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</si>
  <si>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</si>
  <si>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</si>
  <si>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</si>
  <si>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</si>
  <si>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</si>
  <si>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</si>
  <si>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</si>
  <si>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</si>
  <si>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</si>
  <si>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</si>
  <si>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</si>
  <si>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</si>
  <si>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</si>
  <si>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</si>
  <si>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</si>
  <si>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</si>
  <si>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</si>
  <si>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</si>
  <si>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</si>
  <si>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</si>
  <si>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</si>
  <si>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</si>
  <si>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</si>
  <si>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</si>
  <si>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</si>
  <si>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</si>
  <si>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</si>
  <si>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</si>
  <si>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</si>
  <si>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</si>
  <si>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</si>
  <si>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</si>
  <si>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ថ្នាំពណ៍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</si>
  <si>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</si>
  <si>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</si>
  <si>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</si>
  <si>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</si>
  <si>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</si>
  <si>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</si>
  <si>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</si>
  <si>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</si>
  <si>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</si>
  <si>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</si>
  <si>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</si>
  <si>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</si>
  <si>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</si>
  <si>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</si>
  <si>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</si>
  <si>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</si>
  <si>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</si>
  <si>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</si>
  <si>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</si>
  <si>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</si>
  <si>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</si>
  <si>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</si>
  <si>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</si>
  <si>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</si>
  <si>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</si>
  <si>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</si>
  <si>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</si>
  <si>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</si>
  <si>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</si>
  <si>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</si>
  <si>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</si>
  <si>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</si>
  <si>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</si>
  <si>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</si>
  <si>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</si>
  <si>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</si>
  <si>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</si>
  <si>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</si>
  <si>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</si>
  <si>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</si>
  <si>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</si>
  <si>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</si>
  <si>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</si>
  <si>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</si>
  <si>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</si>
  <si>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</si>
  <si>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</si>
  <si>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</si>
  <si>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</si>
  <si>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</si>
  <si>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</si>
  <si>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</si>
  <si>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</si>
  <si>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ដែក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</si>
  <si>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</si>
  <si>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</si>
  <si>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</si>
  <si>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</si>
  <si>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</si>
  <si>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</si>
  <si>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</si>
  <si>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</si>
  <si>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</si>
  <si>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</si>
  <si>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</si>
  <si>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</si>
  <si>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</si>
  <si>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</si>
  <si>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</si>
  <si>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</si>
  <si>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</si>
  <si>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</si>
  <si>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</si>
  <si>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</si>
  <si>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</si>
  <si>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</si>
  <si>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</si>
  <si>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</si>
  <si>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</si>
  <si>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</si>
  <si>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</si>
  <si>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</si>
  <si>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</si>
  <si>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</si>
  <si>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</si>
  <si>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</si>
  <si>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</si>
  <si>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</si>
  <si>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</si>
  <si>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</si>
  <si>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</si>
  <si>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</si>
  <si>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</si>
  <si>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</si>
  <si>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</si>
  <si>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</si>
  <si>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</si>
  <si>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</si>
  <si>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</si>
  <si>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</si>
  <si>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</si>
  <si>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</si>
  <si>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</si>
  <si>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</si>
  <si>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</si>
  <si>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</si>
  <si>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Beginning Cost</t>
  </si>
  <si>
    <t>Total Retail Price</t>
  </si>
  <si>
    <t>1Case/24pcs</t>
  </si>
  <si>
    <t>1Case/25pcs</t>
  </si>
  <si>
    <t>1Case/100pcs</t>
  </si>
  <si>
    <t>1Case/24Pack</t>
  </si>
  <si>
    <t>ថ្លៃUnitសរុប</t>
  </si>
  <si>
    <t>ថ្លៃUnitបានលក់សរុប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</si>
  <si>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</si>
  <si>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</si>
  <si>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</si>
  <si>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</si>
  <si>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</si>
  <si>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</si>
  <si>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</si>
  <si>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</si>
  <si>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</si>
  <si>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</si>
  <si>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</si>
  <si>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</si>
  <si>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</si>
  <si>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</si>
  <si>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</si>
  <si>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ថ្លៃដើមខ្នាតធំ</t>
  </si>
  <si>
    <t>ថ្លៃដើមខ្នាតតូច</t>
  </si>
  <si>
    <t>Small Unit Cost</t>
  </si>
  <si>
    <t>Big Unit Cost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</si>
  <si>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</si>
  <si>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</si>
  <si>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</si>
  <si>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</si>
  <si>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</si>
  <si>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</si>
  <si>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</si>
  <si>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</si>
  <si>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</si>
  <si>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</si>
  <si>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</si>
  <si>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</si>
  <si>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</si>
  <si>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</si>
  <si>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</si>
  <si>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</si>
  <si>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</si>
  <si>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</si>
  <si>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</si>
  <si>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</si>
  <si>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</si>
  <si>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</si>
  <si>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</si>
  <si>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</si>
  <si>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</si>
  <si>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</si>
  <si>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</si>
  <si>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</si>
  <si>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</si>
  <si>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</si>
  <si>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</si>
  <si>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</si>
  <si>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</si>
  <si>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</si>
  <si>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</si>
  <si>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</si>
  <si>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</si>
  <si>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</si>
  <si>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</si>
  <si>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 xml:space="preserve">តារាងបញ្ជីទំនិញ និង ផលិតផល </t>
  </si>
  <si>
    <t>កំណត់ឡូត៍</t>
  </si>
  <si>
    <t>កន្លែងរូបភាព</t>
  </si>
  <si>
    <t>001.Unit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</si>
  <si>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</si>
  <si>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</si>
  <si>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</si>
  <si>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</si>
  <si>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</si>
  <si>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</si>
  <si>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</si>
  <si>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</si>
  <si>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</si>
  <si>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</si>
  <si>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</si>
  <si>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</si>
  <si>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</si>
  <si>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</si>
  <si>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</si>
  <si>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</si>
  <si>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</si>
  <si>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</si>
  <si>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</si>
  <si>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</si>
  <si>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</si>
  <si>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ប្រព័ន្ធគ្រប់គ្រង សន្និធិ ទិញ លក់ និងគណនេយ្យខ្នាតតូច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</si>
  <si>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</si>
  <si>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</si>
  <si>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</si>
  <si>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</si>
  <si>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</si>
  <si>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</si>
  <si>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</si>
  <si>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</si>
  <si>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</si>
  <si>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</si>
  <si>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</si>
  <si>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</si>
  <si>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</si>
  <si>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</si>
  <si>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</si>
  <si>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</si>
  <si>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</si>
  <si>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</si>
  <si>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</si>
  <si>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</si>
  <si>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</si>
  <si>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</si>
  <si>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</si>
  <si>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</si>
  <si>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</si>
  <si>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fun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</si>
  <si>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</si>
  <si>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</si>
  <si>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</si>
  <si>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</si>
  <si>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</si>
  <si>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</si>
  <si>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</si>
  <si>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</si>
  <si>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</si>
  <si>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</si>
  <si>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</si>
  <si>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</si>
  <si>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</si>
  <si>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</si>
  <si>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</si>
  <si>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</si>
  <si>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</si>
  <si>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</si>
  <si>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</si>
  <si>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</si>
  <si>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</si>
  <si>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</si>
  <si>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</si>
  <si>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</si>
  <si>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</si>
  <si>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</si>
  <si>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</si>
  <si>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</si>
  <si>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</si>
  <si>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</si>
  <si>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</si>
  <si>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</si>
  <si>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</si>
  <si>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</si>
  <si>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</si>
  <si>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</si>
  <si>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</si>
  <si>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</si>
  <si>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</si>
  <si>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</si>
  <si>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</si>
  <si>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</si>
  <si>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</si>
  <si>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</si>
  <si>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</si>
  <si>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</si>
  <si>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តម្លៃលក់</t>
  </si>
  <si>
    <t>Small Value Uom</t>
  </si>
  <si>
    <t>150</t>
  </si>
  <si>
    <t>288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</si>
  <si>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</si>
  <si>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</si>
  <si>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</si>
  <si>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</si>
  <si>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</si>
  <si>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</si>
  <si>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</si>
  <si>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</si>
  <si>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</si>
  <si>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</si>
  <si>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</si>
  <si>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</si>
  <si>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</si>
  <si>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</si>
  <si>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</si>
  <si>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</si>
  <si>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</si>
  <si>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</si>
  <si>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</si>
  <si>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</si>
  <si>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</si>
  <si>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</si>
  <si>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Parent Group</t>
  </si>
  <si>
    <t>ក្រុមទំនិញមេ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</si>
  <si>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</si>
  <si>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</si>
  <si>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</si>
  <si>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</si>
  <si>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</si>
  <si>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</si>
  <si>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</si>
  <si>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</si>
  <si>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</si>
  <si>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</si>
  <si>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</si>
  <si>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</si>
  <si>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</si>
  <si>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</si>
  <si>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</si>
  <si>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</si>
  <si>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</si>
  <si>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</si>
  <si>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</si>
  <si>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</si>
  <si>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</si>
  <si>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</si>
  <si>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</si>
  <si>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</si>
  <si>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</si>
  <si>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</si>
  <si>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</si>
  <si>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</si>
  <si>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</si>
  <si>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</si>
  <si>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</si>
  <si>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</si>
  <si>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</si>
  <si>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</si>
  <si>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</si>
  <si>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</si>
  <si>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</si>
  <si>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</si>
  <si>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</si>
  <si>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020.គ្រឿងបំភ្លឺ និងគ្រឿងបន្លាស់</t>
  </si>
  <si>
    <t>018.ព្រីភ្លើង និងគ្រឿងចែកចាយថាមពល</t>
  </si>
  <si>
    <t>015.ទុយោទឹក</t>
  </si>
  <si>
    <t>016.គ្រឿងដំណរទុយោ</t>
  </si>
  <si>
    <t>017.ខ្សែភ្លើង និងខ្សែ</t>
  </si>
  <si>
    <t>019.គ្រឿងបរិក្ខារ និងឧបករណ៍ភ្ជាប់</t>
  </si>
  <si>
    <t>012.ឧបករណ៍ភ្ជាប់ ដែកគោល វីស...</t>
  </si>
  <si>
    <t>008.ឧបករណ៍​រុះរើ និង​បេតុង</t>
  </si>
  <si>
    <t>009.ឧបករណ៍ដៃ ដង្កាប់ ទួណឺវីស…</t>
  </si>
  <si>
    <t>025.សោ និងកូនសោ</t>
  </si>
  <si>
    <t>001.គ្រឿងជាង</t>
  </si>
  <si>
    <t>026.ឧបករណ៍សម្រាប់បិទភ្ជាប់ និងស្អិត</t>
  </si>
  <si>
    <t>027.ឧបករណ៍សួនច្បារ និងឧបករណ៍កាត់</t>
  </si>
  <si>
    <t>028.ការសម្អាត និងការដុសខាត់</t>
  </si>
  <si>
    <t>011.ឧបករណ៍ កាត់ សំណឹក…</t>
  </si>
  <si>
    <t>010.ឧបករណ៍ការពារ PPE</t>
  </si>
  <si>
    <t>023.ថ្នាំលាប និងថ្នាំកូត</t>
  </si>
  <si>
    <t>024.ឧបករណ៍លាបថ្នាំលាប</t>
  </si>
  <si>
    <t>022.ស៊ីម៉ង់ត៍ និងបេតុង</t>
  </si>
  <si>
    <t>013.ដែកសរសៃ</t>
  </si>
  <si>
    <t>014.ដែកទីប និងដែកជ្រុង</t>
  </si>
  <si>
    <t>002.CHIP MONG</t>
  </si>
  <si>
    <t>003.ECO PIPE</t>
  </si>
  <si>
    <t>004.China</t>
  </si>
  <si>
    <t>005.Kbal Kla</t>
  </si>
  <si>
    <t>006.PL</t>
  </si>
  <si>
    <t>007.U-91</t>
  </si>
  <si>
    <t>ទីប​100(8.5) CHIP MONG</t>
  </si>
  <si>
    <t>ទីប75(8.5) CHIP MONG</t>
  </si>
  <si>
    <t>ទីប60(8.5) CHIP MONG</t>
  </si>
  <si>
    <t>ទីប49(8.5) CHIP MONG</t>
  </si>
  <si>
    <t>ទីប42(8.5) CHIP MONG</t>
  </si>
  <si>
    <t>ទីប34(8.5) CHIP MONG</t>
  </si>
  <si>
    <t>ទីប27(8.5) CHIP MONG</t>
  </si>
  <si>
    <t>ទីប21(8.5) CHIP MONG</t>
  </si>
  <si>
    <t>ទីប​100(8.5) ECO PIPE</t>
  </si>
  <si>
    <t>ទីប80(8.5) ECO PIPE</t>
  </si>
  <si>
    <t>ទីប75(8.5) ECO PIPE</t>
  </si>
  <si>
    <t>ទីប60(8.5) ECO PIPE</t>
  </si>
  <si>
    <t>ទីប49(8.5) ECO PIPE</t>
  </si>
  <si>
    <t>ទីប42(8.5) ECO PIPE</t>
  </si>
  <si>
    <t>ទីប34(8.5) ECO PIPE</t>
  </si>
  <si>
    <t>ទីប27(8.5) ECO PIPE</t>
  </si>
  <si>
    <t>ទីប21(8.5) ECO PIPE</t>
  </si>
  <si>
    <t>ទីប100(5.0) ECO PIPE</t>
  </si>
  <si>
    <t>ទីប80(5.0) ECO PIPE</t>
  </si>
  <si>
    <t>ទីប75(5.0) ECO PIPE</t>
  </si>
  <si>
    <t>ទីប60(5.0) ECO PIPE</t>
  </si>
  <si>
    <t>ទីប49(5.0) ECO PIPE</t>
  </si>
  <si>
    <t>ទីប42(5.0) ECO PIPE</t>
  </si>
  <si>
    <t>ទីប34(5.0) ECO PIPE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</si>
  <si>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</si>
  <si>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</si>
  <si>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</si>
  <si>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</si>
  <si>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</si>
  <si>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</si>
  <si>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</si>
  <si>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</si>
  <si>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</si>
  <si>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</si>
  <si>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</si>
  <si>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</si>
  <si>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</si>
  <si>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</si>
  <si>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</si>
  <si>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</si>
  <si>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</si>
  <si>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</si>
  <si>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</si>
  <si>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</si>
  <si>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</si>
  <si>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</si>
  <si>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</si>
  <si>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</si>
  <si>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</si>
  <si>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</si>
  <si>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</si>
  <si>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</si>
  <si>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</si>
  <si>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</si>
  <si>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</si>
  <si>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</si>
  <si>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</si>
  <si>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</si>
  <si>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</si>
  <si>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</si>
  <si>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</si>
  <si>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</si>
  <si>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</si>
  <si>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</si>
  <si>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</si>
  <si>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</si>
  <si>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</si>
  <si>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</si>
  <si>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</si>
  <si>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</si>
  <si>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</si>
  <si>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</si>
  <si>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</si>
  <si>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</si>
  <si>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</si>
  <si>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</si>
  <si>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</si>
  <si>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</si>
  <si>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</si>
  <si>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</si>
  <si>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</si>
  <si>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</si>
  <si>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</si>
  <si>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</si>
  <si>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</si>
  <si>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</si>
  <si>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</si>
  <si>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</si>
  <si>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</si>
  <si>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</si>
  <si>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</si>
  <si>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</si>
  <si>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</si>
  <si>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</si>
  <si>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</si>
  <si>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</si>
  <si>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</si>
  <si>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</si>
  <si>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</si>
  <si>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ដែកគោល 3H 4H 5H 6H… Kbal Kla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</si>
  <si>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</si>
  <si>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</si>
  <si>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</si>
  <si>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</si>
  <si>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</si>
  <si>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</si>
  <si>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</si>
  <si>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</si>
  <si>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</si>
  <si>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</si>
  <si>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</si>
  <si>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</si>
  <si>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</si>
  <si>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</si>
  <si>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</si>
  <si>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</si>
  <si>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</si>
  <si>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</si>
  <si>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</si>
  <si>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</si>
  <si>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</si>
  <si>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</si>
  <si>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</si>
  <si>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</si>
  <si>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</si>
  <si>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</si>
  <si>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</si>
  <si>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</si>
  <si>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</si>
  <si>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</si>
  <si>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</si>
  <si>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</si>
  <si>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</si>
  <si>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</si>
  <si>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</si>
  <si>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</si>
  <si>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</si>
  <si>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</si>
  <si>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</si>
  <si>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</si>
  <si>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</si>
  <si>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</si>
  <si>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</si>
  <si>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</si>
  <si>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</si>
  <si>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</si>
  <si>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</si>
  <si>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</si>
  <si>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</si>
  <si>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</si>
  <si>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</si>
  <si>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</si>
  <si>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</si>
  <si>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</si>
  <si>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</si>
  <si>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</si>
  <si>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</si>
  <si>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</si>
  <si>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</si>
  <si>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</si>
  <si>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</si>
  <si>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</si>
  <si>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</si>
  <si>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</si>
  <si>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</si>
  <si>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</si>
  <si>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</si>
  <si>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</si>
  <si>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</si>
  <si>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</si>
  <si>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</si>
  <si>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</si>
  <si>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</si>
  <si>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</si>
  <si>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</si>
  <si>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</si>
  <si>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</si>
  <si>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</si>
  <si>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</si>
  <si>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</si>
  <si>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</si>
  <si>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</si>
  <si>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</si>
  <si>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</si>
  <si>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</si>
  <si>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</si>
  <si>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</si>
  <si>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</si>
  <si>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</si>
  <si>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</si>
  <si>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</si>
  <si>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</si>
  <si>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</si>
  <si>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</si>
  <si>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</si>
  <si>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</si>
  <si>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</si>
  <si>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</si>
  <si>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</si>
  <si>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 xml:space="preserve">Old Cost </t>
  </si>
  <si>
    <t>ថ្លៃដើមគ្រា</t>
  </si>
  <si>
    <t>ថ្លៃដើមមុនបំបែក</t>
  </si>
  <si>
    <t>ថ្លៃដើមសរុប</t>
  </si>
  <si>
    <t>ទីប80(8.5) CHIP MONG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</si>
  <si>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</si>
  <si>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</si>
  <si>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</si>
  <si>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</si>
  <si>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</si>
  <si>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</si>
  <si>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</si>
  <si>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</si>
  <si>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</si>
  <si>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</si>
  <si>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</si>
  <si>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t>អត្រាប្តូរប្រាក់ : ២៣ មិថុនា ២០២៦</t>
  </si>
  <si>
    <t>អត្រាប្តូរប្រាក់ផ្លូវការ : ៤.០២៤រៀល / ដុល្លារ</t>
  </si>
  <si>
    <t>២.៨១៥</t>
  </si>
  <si>
    <t>២.៨៤៣</t>
  </si>
  <si>
    <t>៥៩៤</t>
  </si>
  <si>
    <t>៦០០</t>
  </si>
  <si>
    <t>៤.៦០៧</t>
  </si>
  <si>
    <t>៤.៦៥៤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</si>
  <si>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</si>
  <si>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</si>
  <si>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</si>
  <si>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</si>
  <si>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</si>
  <si>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</si>
  <si>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</si>
  <si>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</si>
  <si>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</si>
  <si>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</si>
  <si>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</si>
  <si>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</si>
  <si>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</si>
  <si>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</si>
  <si>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</si>
  <si>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</si>
  <si>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</si>
  <si>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</si>
  <si>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</si>
  <si>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តម្លៃលក់ដុំ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</si>
  <si>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</si>
  <si>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</si>
  <si>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</si>
  <si>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</si>
  <si>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Unit Price Big Uom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</si>
  <si>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</si>
  <si>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</si>
  <si>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</si>
  <si>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</si>
  <si>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</si>
  <si>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លេខអតបអតិថិជន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</si>
  <si>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</si>
  <si>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</si>
  <si>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</si>
  <si>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</si>
  <si>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</si>
  <si>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</si>
  <si>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</si>
  <si>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</si>
  <si>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</si>
  <si>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</si>
  <si>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</si>
  <si>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</si>
  <si>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</si>
  <si>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</si>
  <si>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</si>
  <si>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</si>
  <si>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</si>
  <si>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</si>
  <si>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</si>
  <si>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</si>
  <si>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</si>
  <si>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</si>
  <si>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</si>
  <si>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</si>
  <si>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</si>
  <si>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</si>
  <si>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</si>
  <si>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</si>
  <si>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</si>
  <si>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</si>
  <si>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</si>
  <si>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</si>
  <si>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</si>
  <si>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</si>
  <si>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</si>
  <si>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</si>
  <si>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</si>
  <si>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</si>
  <si>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</si>
  <si>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</si>
  <si>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</si>
  <si>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</si>
  <si>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</si>
  <si>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</si>
  <si>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</si>
  <si>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</si>
  <si>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</si>
  <si>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</si>
  <si>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</si>
  <si>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</si>
  <si>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</si>
  <si>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</si>
  <si>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</si>
  <si>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</si>
  <si>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</si>
  <si>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</si>
  <si>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</si>
  <si>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</si>
  <si>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</si>
  <si>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</si>
  <si>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</si>
  <si>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</si>
  <si>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</si>
  <si>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</si>
  <si>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</si>
  <si>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</si>
  <si>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</si>
  <si>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</si>
  <si>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</si>
  <si>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</si>
  <si>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</si>
  <si>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</si>
  <si>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</si>
  <si>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</si>
  <si>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</si>
  <si>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</si>
  <si>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</si>
  <si>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</si>
  <si>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</si>
  <si>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</si>
  <si>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</si>
  <si>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</si>
  <si>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</si>
  <si>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</si>
  <si>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</si>
  <si>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</si>
  <si>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</si>
  <si>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</si>
  <si>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</si>
  <si>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</si>
  <si>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</si>
  <si>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</si>
  <si>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</si>
  <si>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</si>
  <si>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</si>
  <si>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</si>
  <si>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</si>
  <si>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</si>
  <si>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</si>
  <si>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</si>
  <si>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</si>
  <si>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</si>
  <si>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</si>
  <si>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</si>
  <si>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</si>
  <si>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</si>
  <si>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</si>
  <si>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</si>
  <si>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</si>
  <si>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</si>
  <si>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</si>
  <si>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</si>
  <si>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</si>
  <si>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</si>
  <si>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</si>
  <si>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</si>
  <si>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</si>
  <si>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</si>
  <si>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</si>
  <si>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</si>
  <si>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</si>
  <si>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</si>
  <si>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</si>
  <si>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</si>
  <si>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</si>
  <si>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</si>
  <si>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</si>
  <si>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</si>
  <si>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</si>
  <si>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</si>
  <si>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</si>
  <si>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</si>
  <si>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</si>
  <si>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</si>
  <si>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</si>
  <si>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</si>
  <si>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</si>
  <si>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</si>
  <si>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</si>
  <si>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</si>
  <si>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</si>
  <si>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</si>
  <si>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</si>
  <si>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</si>
  <si>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</si>
  <si>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</si>
  <si>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</si>
  <si>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</si>
  <si>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</si>
  <si>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</si>
  <si>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</si>
  <si>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</si>
  <si>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</si>
  <si>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</si>
  <si>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</si>
  <si>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</si>
  <si>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</si>
  <si>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</si>
  <si>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</si>
  <si>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</si>
  <si>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</si>
  <si>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</si>
  <si>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</si>
  <si>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</si>
  <si>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</si>
  <si>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</si>
  <si>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</si>
  <si>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</si>
  <si>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</si>
  <si>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</si>
  <si>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</si>
  <si>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</si>
  <si>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</si>
  <si>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</si>
  <si>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</si>
  <si>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</si>
  <si>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</si>
  <si>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</si>
  <si>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</si>
  <si>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</si>
  <si>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</si>
  <si>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</si>
  <si>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</si>
  <si>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</si>
  <si>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</si>
  <si>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</si>
  <si>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</si>
  <si>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</si>
  <si>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</si>
  <si>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</si>
  <si>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</si>
  <si>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</si>
  <si>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</si>
  <si>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</si>
  <si>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</si>
  <si>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</si>
  <si>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</si>
  <si>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</si>
  <si>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</si>
  <si>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</si>
  <si>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</si>
  <si>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</si>
  <si>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</si>
  <si>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</si>
  <si>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</si>
  <si>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</si>
  <si>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</si>
  <si>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</si>
  <si>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</si>
  <si>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</si>
  <si>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</si>
  <si>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</si>
  <si>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</si>
  <si>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</si>
  <si>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</si>
  <si>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</si>
  <si>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</si>
  <si>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</si>
  <si>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</si>
  <si>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</si>
  <si>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</si>
  <si>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</si>
  <si>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</si>
  <si>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General</t>
  </si>
  <si>
    <t>0001.អតិថិជនទូទៅ (General Customer)</t>
  </si>
  <si>
    <t>ហឿត ចន្ត្រា</t>
  </si>
  <si>
    <t>សម ស៊ីផៃ</t>
  </si>
  <si>
    <t>ប៉ុន ស្រីអូន</t>
  </si>
  <si>
    <t>SAM SIPHAI</t>
  </si>
  <si>
    <t>HOEURT CHANTRA</t>
  </si>
  <si>
    <t>PON SREYOUN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</si>
  <si>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</si>
  <si>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</si>
  <si>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</si>
  <si>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</si>
  <si>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</si>
  <si>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</si>
  <si>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Folder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</si>
  <si>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</si>
  <si>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</si>
  <si>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</si>
  <si>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</si>
  <si>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</si>
  <si>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</si>
  <si>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</si>
  <si>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</si>
  <si>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</si>
  <si>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</si>
  <si>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</si>
  <si>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</si>
  <si>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</si>
  <si>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</si>
  <si>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</si>
  <si>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</si>
  <si>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</si>
  <si>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</si>
  <si>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</si>
  <si>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</si>
  <si>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</si>
  <si>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</si>
  <si>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</si>
  <si>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</si>
  <si>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</si>
  <si>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</si>
  <si>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</si>
  <si>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</si>
  <si>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</si>
  <si>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</si>
  <si>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</si>
  <si>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</si>
  <si>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</si>
  <si>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</si>
  <si>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</si>
  <si>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</si>
  <si>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</si>
  <si>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</si>
  <si>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</si>
  <si>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</si>
  <si>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</si>
  <si>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</si>
  <si>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</si>
  <si>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</si>
  <si>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</si>
  <si>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</si>
  <si>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</si>
  <si>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</si>
  <si>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</si>
  <si>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</si>
  <si>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</si>
  <si>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</si>
  <si>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</si>
  <si>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ks_system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</si>
  <si>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</si>
  <si>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</si>
  <si>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</si>
  <si>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</si>
  <si>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</si>
  <si>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</si>
  <si>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</si>
  <si>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</si>
  <si>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</si>
  <si>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</si>
  <si>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</si>
  <si>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</si>
  <si>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</si>
  <si>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</si>
  <si>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</si>
  <si>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</si>
  <si>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</si>
  <si>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</si>
  <si>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</si>
  <si>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</si>
  <si>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</si>
  <si>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</si>
  <si>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</si>
  <si>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</si>
  <si>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</si>
  <si>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</si>
  <si>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</si>
  <si>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</si>
  <si>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t xml:space="preserve">ប្រអប់បណ្ដាញមុខ 20 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</si>
  <si>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</si>
  <si>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</si>
  <si>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</si>
  <si>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</si>
  <si>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</si>
  <si>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</si>
  <si>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</si>
  <si>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>CKS0000002</t>
  </si>
  <si>
    <t>នឹម ស្រីមុំ</t>
  </si>
  <si>
    <t>លក់រាយ</t>
  </si>
  <si>
    <t>Neom Sreymom</t>
  </si>
  <si>
    <t>098776655</t>
  </si>
  <si>
    <t>Domreychlong Village, Sangvoeuy Commune, Chikraeng District, Siem Reap</t>
  </si>
  <si>
    <t>sreymom@gmail.com</t>
  </si>
  <si>
    <t>special</t>
  </si>
  <si>
    <t>TIN987-123456790</t>
  </si>
  <si>
    <t>0002.នឹម ស្រីមុំ (Neom Sreymom)</t>
  </si>
  <si>
    <t>CKS0000003</t>
  </si>
  <si>
    <t>ព្រុំ សុភា</t>
  </si>
  <si>
    <t>002.លក់ដុំ</t>
  </si>
  <si>
    <t>Prom Sophea</t>
  </si>
  <si>
    <t>012334455</t>
  </si>
  <si>
    <t>@nimul_02</t>
  </si>
  <si>
    <t>Chba Ampov Phnom Penh</t>
  </si>
  <si>
    <t>sophea@gmail.com</t>
  </si>
  <si>
    <t>TIN987-123456791</t>
  </si>
  <si>
    <t>0003.ព្រុំ សុភា (Prom Sophea)</t>
  </si>
  <si>
    <t>CKS0000004</t>
  </si>
  <si>
    <t>អ៊ុំ សុភា</t>
  </si>
  <si>
    <t>Uom Sophea</t>
  </si>
  <si>
    <t>0004.Uom Sophea (Uom Sophea)</t>
  </si>
  <si>
    <t>CKS0000005</t>
  </si>
  <si>
    <t>កែវ ចិន្តា</t>
  </si>
  <si>
    <t>Keo Chenda</t>
  </si>
  <si>
    <t>089771122</t>
  </si>
  <si>
    <t>chenda@gmail.com</t>
  </si>
  <si>
    <t>0005.កែវ ចិន្តា (Keo Chenda)</t>
  </si>
  <si>
    <t>CKS0000006</t>
  </si>
  <si>
    <t>សុខ សម្បត្តិ</t>
  </si>
  <si>
    <t>001.លក់រាយ</t>
  </si>
  <si>
    <t>SOK Sambath</t>
  </si>
  <si>
    <t>Kampong Thom , Cmabodia</t>
  </si>
  <si>
    <t>0006.សុខ សម្បត្តិ (SOK Sambath)</t>
  </si>
  <si>
    <t>CKS0000007</t>
  </si>
  <si>
    <t>រស់ សុខសាន្ត</t>
  </si>
  <si>
    <t>Ros Soksan</t>
  </si>
  <si>
    <t>0007.រស់ សុខសាន្ត (Ros Soksan)</t>
  </si>
  <si>
    <t>CKS0000008</t>
  </si>
  <si>
    <t>សុភ័កត្រា</t>
  </si>
  <si>
    <t>Sopheaktra</t>
  </si>
  <si>
    <t>Kampongspeu , Cambodia</t>
  </si>
  <si>
    <t>0008.សុភ័កត្រា (Sopheaktra)</t>
  </si>
  <si>
    <t>CKS0000009</t>
  </si>
  <si>
    <t>ជេមី</t>
  </si>
  <si>
    <t>004.ផ្សារញ៉ែ</t>
  </si>
  <si>
    <t>Jamy</t>
  </si>
  <si>
    <t>012889977</t>
  </si>
  <si>
    <t>0009.ជេមី (Jamy)</t>
  </si>
  <si>
    <t>CKS0000010</t>
  </si>
  <si>
    <t>មុន្នី</t>
  </si>
  <si>
    <t>Mony</t>
  </si>
  <si>
    <t>089990099</t>
  </si>
  <si>
    <t>0010.មុន្នី (Mony)</t>
  </si>
  <si>
    <t>CKS0000011</t>
  </si>
  <si>
    <t>សំណាង</t>
  </si>
  <si>
    <t>Yem Samnang</t>
  </si>
  <si>
    <t>PP</t>
  </si>
  <si>
    <t>samnang@gmail.com</t>
  </si>
  <si>
    <t>0011.សំណាង (Yem Samnang)</t>
  </si>
  <si>
    <t>CKS0000012</t>
  </si>
  <si>
    <t>SAN Sreymom</t>
  </si>
  <si>
    <t>098765544</t>
  </si>
  <si>
    <t>Phnom Penh</t>
  </si>
  <si>
    <t>0012.SAN Sreymom (SAN Sreymom)</t>
  </si>
  <si>
    <t xml:space="preserve">KSADJ26-0002 </t>
  </si>
  <si>
    <t xml:space="preserve">ព្រីភ្លើង​ 5m រុន6 China </t>
  </si>
  <si>
    <t xml:space="preserve">Inv Total​ </t>
  </si>
  <si>
    <t xml:space="preserve">GroupTotal​ </t>
  </si>
  <si>
    <t>2.តំរឹមស្តុក</t>
  </si>
  <si>
    <t xml:space="preserve">អតិថិជនទូទៅ </t>
  </si>
  <si>
    <t>Lock And Protect Formula</t>
  </si>
  <si>
    <t xml:space="preserve">ទីប​100(8.5) CHIP MONG </t>
  </si>
  <si>
    <t xml:space="preserve">KSPB26-0004 </t>
  </si>
  <si>
    <t>KSINV26-0003</t>
  </si>
  <si>
    <t xml:space="preserve">CI2026-0005 </t>
  </si>
  <si>
    <t xml:space="preserve">ទប80(8.5) CHIP MONG </t>
  </si>
  <si>
    <t xml:space="preserve">ទីប75(8.5) CHIP MONG </t>
  </si>
  <si>
    <t xml:space="preserve">ទីប60(8.5) CHIP MONG </t>
  </si>
  <si>
    <t xml:space="preserve">ទីប49(8.5) CHIP MONG </t>
  </si>
  <si>
    <t xml:space="preserve">ទីប42(8.5) CHIP MONG </t>
  </si>
  <si>
    <t xml:space="preserve">ទីប34(8.5) CHIP MONG </t>
  </si>
  <si>
    <t xml:space="preserve">ទីប27(8.5) CHIP MONG </t>
  </si>
  <si>
    <t xml:space="preserve">ទីប21(8.5) CHIP MONG </t>
  </si>
  <si>
    <t xml:space="preserve">ទីប​100(8.5) ECO PIPE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</si>
</sst>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 [$R-46C]\ * #,##0_ ;_ [$R-46C]\ * \-#,##0_ ;_ [$R-46C]\ * \-_ ;_ @_ "/>
    <numFmt numFmtId="169" formatCode="_-[$$-409]* #,##0.00_ ;_-[$$-409]* \-#,##0.00\ ;_-[$$-409]* &quot;-&quot;??_ ;_-@_ "/>
    <numFmt numFmtId="170" formatCode="yyyy"/>
    <numFmt numFmtId="171" formatCode="_-[$R-46C]\ * #,##0_-;\-[$R-46C]\ * #,##0_-;_-[$R-46C]\ * &quot;-&quot;??_-;_-@_-"/>
    <numFmt numFmtId="172" formatCode="0;[Red]0"/>
    <numFmt numFmtId="173" formatCode="#,##0\ [$៛]\ "/>
    <numFmt numFmtId="174" formatCode="_-[$R-46C]\ * #,##0.00_-;\-[$R-46C]\ * #,##0.00_-;_-[$R-46C]\ * &quot;-&quot;??_-;_-@_-"/>
    <numFmt numFmtId="175" formatCode="[$-12000453]0"/>
    <numFmt numFmtId="176" formatCode="#,##0;[Red]#,##0"/>
    <numFmt numFmtId="177" formatCode="0#"/>
    <numFmt numFmtId="178" formatCode="0.000000000"/>
    <numFmt numFmtId="179" formatCode="\R\ #,##0_);\(\R\ #,##0\)"/>
    <numFmt numFmtId="180" formatCode="dd/mm/yyyy\ h:mm:ss"/>
    <numFmt numFmtId="181" formatCode="_([$$-409]* #,##0.00_);_([$$-409]* \(#,##0.00\);_([$$-409]* &quot;-&quot;??_);_(@_)"/>
    <numFmt numFmtId="182" formatCode="_([$$-409]* #,##0.0000_);_([$$-409]* \(#,##0.0000\);_([$$-409]* &quot;-&quot;??_);_(@_)"/>
    <numFmt numFmtId="183" formatCode="#,##0.000"/>
    <numFmt numFmtId="184" formatCode="0.000"/>
  </numFmts>
  <fonts count="3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b/>
      <sz val="12"/>
      <color rgb="FFFF0000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8"/>
      <color rgb="FF000099"/>
      <name val="Moul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b/>
      <sz val="11"/>
      <color rgb="FF000099"/>
      <name val="Content"/>
    </font>
    <font>
      <sz val="11"/>
      <color rgb="FF000099"/>
      <name val="Calibri"/>
      <family val="2"/>
      <scheme val="minor"/>
    </font>
    <font>
      <sz val="11"/>
      <color rgb="FF000099"/>
      <name val="Content"/>
    </font>
    <font>
      <sz val="14"/>
      <color rgb="FF000099"/>
      <name val="Moul"/>
    </font>
    <font>
      <b/>
      <sz val="11"/>
      <color rgb="FF00B0F0"/>
      <name val="Arial"/>
      <family val="2"/>
    </font>
    <font>
      <sz val="11"/>
      <color theme="1"/>
      <name val="Calibri Light"/>
      <family val="2"/>
      <scheme val="major"/>
    </font>
    <font>
      <sz val="10"/>
      <color rgb="FFFF0000"/>
      <name val="Khmer OS Battambang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Khmer OS Muol Light"/>
    </font>
    <font>
      <sz val="10"/>
      <color rgb="FF000000"/>
      <name val="Roboto"/>
    </font>
    <font>
      <sz val="11"/>
      <color theme="0"/>
      <name val="Content"/>
    </font>
    <font>
      <sz val="10"/>
      <color theme="0"/>
      <name val="Roboto"/>
    </font>
    <font>
      <u/>
      <sz val="11"/>
      <color rgb="FF000099"/>
      <name val="Khmer OS Battambang"/>
    </font>
    <font>
      <sz val="14"/>
      <color rgb="FF000099"/>
      <name val="Roboto Medium"/>
    </font>
    <font>
      <sz val="14"/>
      <color rgb="FFFF0000"/>
      <name val="Roboto Medium"/>
    </font>
    <font>
      <b/>
      <u/>
      <sz val="16"/>
      <color theme="0"/>
      <name val="Khmer Pen-Surin"/>
    </font>
    <font>
      <sz val="11"/>
      <name val="Content"/>
    </font>
    <font>
      <sz val="14"/>
      <color rgb="FFFF0000"/>
      <name val="Content"/>
    </font>
    <font>
      <u/>
      <sz val="14"/>
      <color rgb="FFFF0000"/>
      <name val="Content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0"/>
      <color rgb="FF000099"/>
      <name val="Content"/>
    </font>
    <font>
      <b/>
      <sz val="11"/>
      <color theme="1"/>
      <name val="Content"/>
    </font>
    <font>
      <b/>
      <sz val="11"/>
      <color rgb="FF003399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0"/>
      <color theme="0"/>
      <name val="Khmer OS Battambang"/>
    </font>
    <font>
      <sz val="11"/>
      <color rgb="FF002060"/>
      <name val="Content"/>
    </font>
    <font>
      <sz val="10"/>
      <color theme="0"/>
      <name val="Content"/>
    </font>
    <font>
      <sz val="12"/>
      <color rgb="FFFF000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1"/>
      <color rgb="FF003399"/>
      <name val="Roboto"/>
    </font>
    <font>
      <sz val="12"/>
      <color theme="1"/>
      <name val="Khmer OS Siemreap"/>
    </font>
    <font>
      <sz val="14"/>
      <color theme="1"/>
      <name val="Roboto Medium"/>
    </font>
    <font>
      <b/>
      <sz val="22"/>
      <color rgb="FFFF0000"/>
      <name val="Roboto Medium"/>
    </font>
    <font>
      <sz val="22"/>
      <color rgb="FFFF0000"/>
      <name val="Moul"/>
    </font>
    <font>
      <sz val="11"/>
      <color rgb="FF003399"/>
      <name val="Content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Khmer OS Battambang"/>
    </font>
    <font>
      <u/>
      <sz val="11"/>
      <color rgb="FF3366FF"/>
      <name val="Roboto"/>
    </font>
    <font>
      <sz val="12"/>
      <color rgb="FF0066CC"/>
      <name val="Roboto"/>
    </font>
    <font>
      <u/>
      <sz val="12"/>
      <color rgb="FF3366FF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2"/>
      <color indexed="9"/>
      <name val="Roboto"/>
    </font>
    <font>
      <u/>
      <sz val="14"/>
      <color rgb="FF3366FF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2"/>
      <color indexed="10"/>
      <name val="Roboto"/>
    </font>
    <font>
      <b/>
      <sz val="22"/>
      <color rgb="FF0066CC"/>
      <name val="Roboto"/>
    </font>
    <font>
      <sz val="22"/>
      <color rgb="FF0066CC"/>
      <name val="Roboto Medium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6"/>
      <color rgb="FFFF6600"/>
      <name val="Roboto Medium"/>
    </font>
    <font>
      <sz val="18"/>
      <color rgb="FF0070C0"/>
      <name val="Roboto Medium"/>
    </font>
    <font>
      <sz val="12"/>
      <color rgb="FF0070C0"/>
      <name val="Roboto Medium"/>
    </font>
    <font>
      <b/>
      <sz val="22"/>
      <color rgb="FF0070C0"/>
      <name val="Roboto Medium"/>
    </font>
    <font>
      <sz val="16"/>
      <color rgb="FFFF0000"/>
      <name val="Roboto"/>
    </font>
    <font>
      <u/>
      <sz val="11"/>
      <color rgb="FFFF6600"/>
      <name val="Roboto"/>
    </font>
    <font>
      <sz val="12"/>
      <color rgb="FF0066CC"/>
      <name val="Content"/>
    </font>
    <font>
      <sz val="11"/>
      <color rgb="FF002060"/>
      <name val="Khmer OS Battambang"/>
    </font>
    <font>
      <sz val="12"/>
      <color theme="4" tint="-0.499984740745262"/>
      <name val="Content"/>
    </font>
    <font>
      <sz val="11"/>
      <color theme="4" tint="-0.499984740745262"/>
      <name val="Roboto"/>
    </font>
    <font>
      <u/>
      <sz val="14"/>
      <color rgb="FF0066CC"/>
      <name val="Khmer S4"/>
    </font>
    <font>
      <sz val="14"/>
      <color rgb="FF0066CC"/>
      <name val="Content"/>
    </font>
    <font>
      <sz val="11"/>
      <color rgb="FFFF6600"/>
      <name val="Content"/>
    </font>
    <font>
      <sz val="12"/>
      <color rgb="FFFF6600"/>
      <name val="Roboto"/>
    </font>
    <font>
      <sz val="14"/>
      <color rgb="FF0066CC"/>
      <name val="Roboto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4"/>
      <color rgb="FFFF6600"/>
      <name val="Roboto Medium"/>
    </font>
    <font>
      <u/>
      <sz val="14"/>
      <color rgb="FF3366FF"/>
      <name val="Khmer OS Battambang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24"/>
      <color rgb="FF3366FF"/>
      <name val="Roboto"/>
    </font>
    <font>
      <sz val="14"/>
      <color rgb="FF3366FF"/>
      <name val="Khmer OS Battambang"/>
    </font>
    <font>
      <u/>
      <sz val="12"/>
      <color rgb="FF3366FF"/>
      <name val="Content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10"/>
      <color theme="1"/>
      <name val="Moul"/>
    </font>
    <font>
      <b/>
      <sz val="10"/>
      <color theme="1"/>
      <name val="Khmer OS Battambang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b/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Calibri"/>
      <family val="2"/>
      <scheme val="minor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6"/>
      <color theme="1"/>
      <name val="Content"/>
    </font>
    <font>
      <sz val="12"/>
      <color theme="0"/>
      <name val="Roboto Medium"/>
    </font>
    <font>
      <sz val="12"/>
      <color theme="0"/>
      <name val="Calibri"/>
      <family val="2"/>
      <scheme val="minor"/>
    </font>
    <font>
      <sz val="12"/>
      <color theme="0"/>
      <name val="Khmer OS Battambang"/>
    </font>
    <font>
      <sz val="22"/>
      <color rgb="FF0070C0"/>
      <name val="Moul"/>
    </font>
    <font>
      <u/>
      <sz val="11"/>
      <color rgb="FF0066CC"/>
      <name val="Roboto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sz val="12"/>
      <color rgb="FF000000"/>
      <name val="Khmer OS Battambang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b/>
      <sz val="11"/>
      <color rgb="FF0066CC"/>
      <name val="Content"/>
    </font>
    <font>
      <sz val="11"/>
      <color rgb="FF0066CC"/>
      <name val="Khmer Muol"/>
    </font>
    <font>
      <sz val="11"/>
      <color rgb="FF0066CC"/>
      <name val="Roboto Medium"/>
    </font>
    <font>
      <b/>
      <u/>
      <sz val="11"/>
      <color rgb="FF0066CC"/>
      <name val="Content"/>
    </font>
    <font>
      <sz val="10"/>
      <color rgb="FF0066CC"/>
      <name val="Khmer OS Battambang"/>
    </font>
    <font>
      <u/>
      <sz val="14"/>
      <color rgb="FF0066CC"/>
      <name val="Moul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4"/>
      <color indexed="30"/>
      <name val="Roboto Medium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rgb="FF0070C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2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/>
      <bottom style="dashed">
        <color indexed="64"/>
      </bottom>
      <diagonal/>
    </border>
    <border>
      <left/>
      <right style="thin">
        <color theme="4" tint="0.59999389629810485"/>
      </right>
      <top/>
      <bottom style="dashed">
        <color indexed="64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79998168889431442"/>
      </right>
      <top/>
      <bottom/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79998168889431442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dashed">
        <color indexed="64"/>
      </bottom>
      <diagonal/>
    </border>
    <border>
      <left/>
      <right style="thin">
        <color theme="0" tint="-0.14999847407452621"/>
      </right>
      <top/>
      <bottom style="dashed">
        <color indexed="64"/>
      </bottom>
      <diagonal/>
    </border>
    <border>
      <left style="thin">
        <color theme="0" tint="-0.14999847407452621"/>
      </left>
      <right style="medium">
        <color theme="4" tint="0.7999816888943144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4" tint="0.7999816888943144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/>
      <top style="thin">
        <color theme="0" tint="-0.249977111117893"/>
      </top>
      <bottom/>
      <diagonal/>
    </border>
    <border>
      <left/>
      <right style="medium">
        <color theme="4" tint="0.59999389629810485"/>
      </right>
      <top style="thin">
        <color theme="0" tint="-0.249977111117893"/>
      </top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</cellStyleXfs>
  <cellXfs count="219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0" fontId="10" fillId="0" borderId="0" xfId="0" applyFont="1"/>
    <xf numFmtId="1" fontId="10" fillId="0" borderId="0" xfId="0" applyNumberFormat="1" applyFont="1"/>
    <xf numFmtId="0" fontId="10" fillId="0" borderId="5" xfId="0" applyFont="1" applyBorder="1" applyAlignment="1">
      <alignment horizontal="right"/>
    </xf>
    <xf numFmtId="0" fontId="10" fillId="0" borderId="0" xfId="0" applyFont="1" applyAlignment="1">
      <alignment horizontal="center"/>
    </xf>
    <xf numFmtId="0" fontId="6" fillId="0" borderId="0" xfId="0" applyFont="1"/>
    <xf numFmtId="9" fontId="6" fillId="0" borderId="0" xfId="2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6" xfId="0" applyFont="1" applyBorder="1"/>
    <xf numFmtId="0" fontId="10" fillId="0" borderId="13" xfId="0" applyFont="1" applyBorder="1"/>
    <xf numFmtId="0" fontId="10" fillId="0" borderId="5" xfId="0" applyFont="1" applyBorder="1"/>
    <xf numFmtId="0" fontId="10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6" fillId="0" borderId="2" xfId="0" applyFont="1" applyBorder="1" applyAlignment="1">
      <alignment horizontal="center"/>
    </xf>
    <xf numFmtId="0" fontId="10" fillId="0" borderId="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0" fontId="11" fillId="0" borderId="3" xfId="0" applyFont="1" applyBorder="1"/>
    <xf numFmtId="0" fontId="10" fillId="0" borderId="15" xfId="0" applyFont="1" applyBorder="1"/>
    <xf numFmtId="14" fontId="3" fillId="3" borderId="3" xfId="0" applyNumberFormat="1" applyFont="1" applyFill="1" applyBorder="1" applyAlignment="1" applyProtection="1">
      <alignment vertical="center"/>
      <protection locked="0"/>
    </xf>
    <xf numFmtId="14" fontId="3" fillId="3" borderId="3" xfId="0" applyNumberFormat="1" applyFont="1" applyFill="1" applyBorder="1" applyAlignment="1" applyProtection="1">
      <alignment horizontal="center" vertical="center"/>
      <protection locked="0"/>
    </xf>
    <xf numFmtId="1" fontId="3" fillId="3" borderId="10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0" xfId="0" applyAlignment="1">
      <alignment wrapText="1"/>
    </xf>
    <xf numFmtId="0" fontId="10" fillId="0" borderId="15" xfId="0" applyFont="1" applyBorder="1" applyAlignment="1">
      <alignment vertical="center"/>
    </xf>
    <xf numFmtId="0" fontId="4" fillId="0" borderId="0" xfId="1" applyFill="1" applyBorder="1"/>
    <xf numFmtId="0" fontId="21" fillId="0" borderId="0" xfId="0" applyFont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center" vertical="center"/>
    </xf>
    <xf numFmtId="0" fontId="22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1" fontId="6" fillId="0" borderId="0" xfId="3" applyNumberFormat="1" applyFont="1" applyFill="1" applyBorder="1" applyAlignment="1">
      <alignment horizontal="left"/>
    </xf>
    <xf numFmtId="0" fontId="10" fillId="0" borderId="15" xfId="0" quotePrefix="1" applyFont="1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9" fillId="0" borderId="0" xfId="0" applyFont="1"/>
    <xf numFmtId="0" fontId="0" fillId="0" borderId="5" xfId="0" applyBorder="1"/>
    <xf numFmtId="0" fontId="5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8" fillId="0" borderId="5" xfId="0" applyFont="1" applyBorder="1" applyAlignment="1">
      <alignment horizontal="right" vertical="center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1" fontId="13" fillId="0" borderId="0" xfId="0" applyNumberFormat="1" applyFont="1"/>
    <xf numFmtId="0" fontId="13" fillId="0" borderId="3" xfId="0" applyFont="1" applyBorder="1" applyAlignment="1">
      <alignment horizontal="right" vertical="top" indent="1"/>
    </xf>
    <xf numFmtId="0" fontId="13" fillId="0" borderId="4" xfId="0" applyFont="1" applyBorder="1" applyAlignment="1">
      <alignment horizontal="right" vertical="top" indent="1"/>
    </xf>
    <xf numFmtId="14" fontId="13" fillId="0" borderId="6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2" fillId="0" borderId="1" xfId="0" applyFont="1" applyBorder="1" applyAlignment="1">
      <alignment horizontal="left"/>
    </xf>
    <xf numFmtId="0" fontId="15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3" fillId="3" borderId="10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6" fillId="0" borderId="1" xfId="0" applyFont="1" applyBorder="1"/>
    <xf numFmtId="0" fontId="6" fillId="0" borderId="4" xfId="0" applyFont="1" applyBorder="1"/>
    <xf numFmtId="14" fontId="13" fillId="0" borderId="13" xfId="0" applyNumberFormat="1" applyFont="1" applyBorder="1" applyAlignment="1">
      <alignment horizontal="center" vertical="center"/>
    </xf>
    <xf numFmtId="0" fontId="18" fillId="0" borderId="0" xfId="0" applyFont="1"/>
    <xf numFmtId="0" fontId="13" fillId="0" borderId="0" xfId="0" applyFont="1" applyAlignment="1">
      <alignment vertical="center"/>
    </xf>
    <xf numFmtId="0" fontId="4" fillId="0" borderId="0" xfId="1" applyAlignment="1" applyProtection="1">
      <alignment vertical="top"/>
      <protection locked="0"/>
    </xf>
    <xf numFmtId="0" fontId="4" fillId="0" borderId="0" xfId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horizontal="center" vertical="center" wrapText="1"/>
      <protection locked="0"/>
    </xf>
    <xf numFmtId="1" fontId="10" fillId="0" borderId="17" xfId="0" applyNumberFormat="1" applyFont="1" applyBorder="1" applyAlignment="1" applyProtection="1">
      <alignment horizontal="center" vertical="center" wrapText="1"/>
      <protection locked="0"/>
    </xf>
    <xf numFmtId="2" fontId="10" fillId="0" borderId="17" xfId="0" applyNumberFormat="1" applyFont="1" applyBorder="1" applyAlignment="1" applyProtection="1">
      <alignment horizontal="center" vertical="center" wrapText="1"/>
      <protection locked="0"/>
    </xf>
    <xf numFmtId="43" fontId="10" fillId="0" borderId="17" xfId="3" applyFont="1" applyBorder="1" applyAlignment="1" applyProtection="1">
      <alignment horizontal="center" vertical="center"/>
      <protection locked="0"/>
    </xf>
    <xf numFmtId="2" fontId="10" fillId="0" borderId="17" xfId="0" applyNumberFormat="1" applyFont="1" applyBorder="1" applyAlignment="1" applyProtection="1">
      <alignment horizontal="right" vertical="center" wrapText="1"/>
      <protection locked="0"/>
    </xf>
    <xf numFmtId="9" fontId="10" fillId="0" borderId="17" xfId="0" applyNumberFormat="1" applyFont="1" applyBorder="1" applyAlignment="1" applyProtection="1">
      <alignment horizontal="center" wrapText="1"/>
      <protection locked="0"/>
    </xf>
    <xf numFmtId="1" fontId="10" fillId="0" borderId="17" xfId="0" applyNumberFormat="1" applyFont="1" applyBorder="1" applyAlignment="1" applyProtection="1">
      <alignment wrapText="1"/>
      <protection locked="0"/>
    </xf>
    <xf numFmtId="2" fontId="10" fillId="0" borderId="17" xfId="0" applyNumberFormat="1" applyFont="1" applyBorder="1" applyAlignment="1" applyProtection="1">
      <alignment horizontal="right" wrapText="1"/>
      <protection locked="0"/>
    </xf>
    <xf numFmtId="14" fontId="10" fillId="0" borderId="17" xfId="0" applyNumberFormat="1" applyFont="1" applyBorder="1" applyAlignment="1" applyProtection="1">
      <alignment horizontal="center" wrapText="1"/>
      <protection locked="0"/>
    </xf>
    <xf numFmtId="14" fontId="3" fillId="3" borderId="0" xfId="0" applyNumberFormat="1" applyFont="1" applyFill="1" applyAlignment="1" applyProtection="1">
      <alignment vertical="center"/>
      <protection locked="0"/>
    </xf>
    <xf numFmtId="0" fontId="10" fillId="0" borderId="18" xfId="0" applyFont="1" applyBorder="1" applyAlignment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wrapText="1"/>
    </xf>
    <xf numFmtId="0" fontId="10" fillId="0" borderId="20" xfId="0" applyFont="1" applyBorder="1" applyAlignment="1">
      <alignment horizontal="center" wrapText="1"/>
    </xf>
    <xf numFmtId="14" fontId="10" fillId="0" borderId="21" xfId="0" applyNumberFormat="1" applyFont="1" applyBorder="1" applyAlignment="1" applyProtection="1">
      <alignment horizontal="center" wrapText="1"/>
      <protection locked="0"/>
    </xf>
    <xf numFmtId="1" fontId="10" fillId="0" borderId="21" xfId="0" applyNumberFormat="1" applyFont="1" applyBorder="1" applyAlignment="1" applyProtection="1">
      <alignment wrapText="1"/>
      <protection locked="0"/>
    </xf>
    <xf numFmtId="2" fontId="10" fillId="0" borderId="21" xfId="0" applyNumberFormat="1" applyFont="1" applyBorder="1" applyAlignment="1" applyProtection="1">
      <alignment horizontal="right" wrapText="1"/>
      <protection locked="0"/>
    </xf>
    <xf numFmtId="2" fontId="10" fillId="0" borderId="21" xfId="0" applyNumberFormat="1" applyFont="1" applyBorder="1" applyAlignment="1" applyProtection="1">
      <alignment horizontal="center" wrapText="1"/>
      <protection locked="0"/>
    </xf>
    <xf numFmtId="165" fontId="10" fillId="0" borderId="22" xfId="3" applyNumberFormat="1" applyFont="1" applyBorder="1" applyAlignment="1" applyProtection="1">
      <alignment horizontal="center" wrapText="1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15" xfId="0" applyFont="1" applyBorder="1" applyAlignme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5" xfId="0" applyFont="1" applyBorder="1" applyAlignment="1">
      <alignment horizontal="right"/>
    </xf>
    <xf numFmtId="0" fontId="7" fillId="0" borderId="3" xfId="0" applyFont="1" applyBorder="1"/>
    <xf numFmtId="0" fontId="20" fillId="0" borderId="0" xfId="0" applyFont="1"/>
    <xf numFmtId="165" fontId="10" fillId="0" borderId="19" xfId="3" applyNumberFormat="1" applyFont="1" applyBorder="1" applyAlignment="1" applyProtection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0" xfId="0" applyFont="1"/>
    <xf numFmtId="0" fontId="9" fillId="0" borderId="0" xfId="0" applyFont="1" applyAlignment="1">
      <alignment vertical="center"/>
    </xf>
    <xf numFmtId="0" fontId="36" fillId="0" borderId="0" xfId="0" applyFont="1"/>
    <xf numFmtId="0" fontId="36" fillId="0" borderId="0" xfId="0" quotePrefix="1" applyFont="1"/>
    <xf numFmtId="0" fontId="39" fillId="0" borderId="0" xfId="0" applyFont="1"/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53" fillId="0" borderId="0" xfId="0" applyNumberFormat="1" applyFont="1"/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0" fillId="0" borderId="0" xfId="0" applyAlignment="1">
      <alignment horizontal="left"/>
    </xf>
    <xf numFmtId="0" fontId="3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0" borderId="0" xfId="0" applyFont="1"/>
    <xf numFmtId="49" fontId="38" fillId="0" borderId="0" xfId="0" applyNumberFormat="1" applyFont="1" applyAlignment="1">
      <alignment horizontal="left" vertical="center"/>
    </xf>
    <xf numFmtId="49" fontId="0" fillId="0" borderId="0" xfId="0" applyNumberFormat="1"/>
    <xf numFmtId="0" fontId="40" fillId="0" borderId="0" xfId="0" applyFont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66" fillId="0" borderId="0" xfId="0" applyFont="1"/>
    <xf numFmtId="0" fontId="10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42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4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51" fillId="0" borderId="0" xfId="0" applyFont="1" applyAlignment="1">
      <alignment vertical="top"/>
    </xf>
    <xf numFmtId="0" fontId="61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57" fillId="0" borderId="0" xfId="0" applyFont="1"/>
    <xf numFmtId="0" fontId="62" fillId="0" borderId="0" xfId="0" applyFont="1"/>
    <xf numFmtId="0" fontId="6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71" fillId="0" borderId="0" xfId="0" applyFont="1" applyAlignment="1">
      <alignment horizontal="right"/>
    </xf>
    <xf numFmtId="0" fontId="44" fillId="0" borderId="0" xfId="0" applyFont="1" applyAlignment="1">
      <alignment horizontal="left" vertical="top"/>
    </xf>
    <xf numFmtId="0" fontId="66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173" fontId="42" fillId="0" borderId="0" xfId="0" applyNumberFormat="1" applyFont="1" applyAlignment="1">
      <alignment horizontal="left"/>
    </xf>
    <xf numFmtId="49" fontId="39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top"/>
    </xf>
    <xf numFmtId="0" fontId="72" fillId="0" borderId="0" xfId="0" applyFont="1" applyAlignment="1">
      <alignment vertical="top"/>
    </xf>
    <xf numFmtId="0" fontId="39" fillId="0" borderId="0" xfId="0" applyFont="1" applyAlignment="1">
      <alignment horizontal="right" vertical="center"/>
    </xf>
    <xf numFmtId="1" fontId="42" fillId="0" borderId="0" xfId="0" applyNumberFormat="1" applyFont="1"/>
    <xf numFmtId="0" fontId="76" fillId="0" borderId="0" xfId="0" applyFont="1"/>
    <xf numFmtId="0" fontId="76" fillId="0" borderId="0" xfId="0" applyFont="1" applyAlignment="1">
      <alignment horizontal="left" vertical="center"/>
    </xf>
    <xf numFmtId="173" fontId="81" fillId="0" borderId="0" xfId="0" applyNumberFormat="1" applyFont="1" applyAlignment="1">
      <alignment horizontal="left"/>
    </xf>
    <xf numFmtId="0" fontId="82" fillId="0" borderId="0" xfId="0" applyFont="1"/>
    <xf numFmtId="0" fontId="56" fillId="0" borderId="0" xfId="0" applyFont="1" applyAlignment="1">
      <alignment horizontal="right"/>
    </xf>
    <xf numFmtId="0" fontId="83" fillId="0" borderId="0" xfId="0" applyFont="1" applyAlignment="1">
      <alignment horizontal="left"/>
    </xf>
    <xf numFmtId="170" fontId="46" fillId="0" borderId="0" xfId="0" applyNumberFormat="1" applyFont="1" applyAlignment="1">
      <alignment horizontal="left" vertical="center"/>
    </xf>
    <xf numFmtId="172" fontId="67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vertical="top"/>
    </xf>
    <xf numFmtId="0" fontId="87" fillId="0" borderId="0" xfId="0" applyFont="1"/>
    <xf numFmtId="0" fontId="18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8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9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4" fillId="0" borderId="0" xfId="0" applyFont="1"/>
    <xf numFmtId="0" fontId="93" fillId="0" borderId="0" xfId="0" applyFont="1" applyAlignment="1">
      <alignment horizontal="right"/>
    </xf>
    <xf numFmtId="0" fontId="64" fillId="0" borderId="0" xfId="0" applyFont="1" applyAlignment="1">
      <alignment horizontal="center" vertical="center" wrapText="1"/>
    </xf>
    <xf numFmtId="0" fontId="77" fillId="0" borderId="0" xfId="0" applyFont="1"/>
    <xf numFmtId="0" fontId="77" fillId="0" borderId="0" xfId="0" applyFont="1" applyAlignment="1">
      <alignment horizontal="center"/>
    </xf>
    <xf numFmtId="14" fontId="39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left"/>
    </xf>
    <xf numFmtId="1" fontId="6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68" fontId="49" fillId="0" borderId="0" xfId="0" applyNumberFormat="1" applyFont="1" applyAlignment="1">
      <alignment vertical="center" wrapText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vertical="center" wrapText="1"/>
    </xf>
    <xf numFmtId="0" fontId="70" fillId="0" borderId="0" xfId="0" applyFont="1" applyAlignment="1">
      <alignment horizontal="center" vertical="center"/>
    </xf>
    <xf numFmtId="0" fontId="84" fillId="0" borderId="0" xfId="0" applyFont="1" applyAlignment="1">
      <alignment horizontal="center" wrapText="1"/>
    </xf>
    <xf numFmtId="164" fontId="94" fillId="0" borderId="0" xfId="0" applyNumberFormat="1" applyFont="1" applyAlignment="1" applyProtection="1">
      <alignment horizontal="center" vertical="center" wrapText="1"/>
      <protection locked="0"/>
    </xf>
    <xf numFmtId="172" fontId="49" fillId="0" borderId="0" xfId="0" applyNumberFormat="1" applyFont="1" applyAlignment="1">
      <alignment horizontal="center" vertical="center"/>
    </xf>
    <xf numFmtId="171" fontId="49" fillId="0" borderId="0" xfId="3" applyNumberFormat="1" applyFont="1" applyFill="1" applyBorder="1" applyAlignment="1" applyProtection="1">
      <alignment horizontal="left" vertical="center"/>
    </xf>
    <xf numFmtId="0" fontId="86" fillId="0" borderId="0" xfId="0" applyFont="1" applyAlignment="1">
      <alignment horizontal="center" vertical="center"/>
    </xf>
    <xf numFmtId="172" fontId="86" fillId="0" borderId="0" xfId="0" applyNumberFormat="1" applyFont="1" applyAlignment="1">
      <alignment horizontal="center" vertical="center"/>
    </xf>
    <xf numFmtId="168" fontId="86" fillId="0" borderId="0" xfId="0" applyNumberFormat="1" applyFont="1" applyAlignment="1">
      <alignment vertical="center" wrapText="1"/>
    </xf>
    <xf numFmtId="168" fontId="80" fillId="0" borderId="0" xfId="0" applyNumberFormat="1" applyFont="1" applyAlignment="1">
      <alignment horizontal="left"/>
    </xf>
    <xf numFmtId="0" fontId="83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 vertical="center" wrapText="1"/>
    </xf>
    <xf numFmtId="0" fontId="83" fillId="0" borderId="0" xfId="0" applyFont="1"/>
    <xf numFmtId="0" fontId="75" fillId="0" borderId="0" xfId="0" applyFont="1" applyAlignment="1">
      <alignment vertical="center"/>
    </xf>
    <xf numFmtId="0" fontId="90" fillId="0" borderId="0" xfId="0" applyFont="1" applyAlignment="1">
      <alignment horizontal="center" vertical="center" wrapText="1"/>
    </xf>
    <xf numFmtId="0" fontId="94" fillId="0" borderId="0" xfId="0" applyFont="1" applyAlignment="1" applyProtection="1">
      <alignment vertical="center"/>
      <protection locked="0"/>
    </xf>
    <xf numFmtId="172" fontId="42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44" fillId="0" borderId="0" xfId="0" applyFont="1" applyAlignment="1">
      <alignment horizontal="center" vertical="top"/>
    </xf>
    <xf numFmtId="0" fontId="49" fillId="0" borderId="0" xfId="0" applyFont="1" applyAlignment="1">
      <alignment horizontal="left" vertical="center"/>
    </xf>
    <xf numFmtId="0" fontId="80" fillId="0" borderId="0" xfId="0" applyFont="1" applyAlignment="1">
      <alignment horizontal="left" vertical="center"/>
    </xf>
    <xf numFmtId="1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left" vertical="center"/>
    </xf>
    <xf numFmtId="0" fontId="49" fillId="0" borderId="0" xfId="0" applyFont="1"/>
    <xf numFmtId="0" fontId="101" fillId="0" borderId="0" xfId="0" applyFont="1" applyAlignment="1">
      <alignment horizontal="left" vertical="center"/>
    </xf>
    <xf numFmtId="0" fontId="109" fillId="0" borderId="0" xfId="0" applyFont="1" applyAlignment="1">
      <alignment vertical="center"/>
    </xf>
    <xf numFmtId="0" fontId="107" fillId="0" borderId="0" xfId="0" applyFont="1" applyAlignment="1">
      <alignment horizontal="left" vertical="center"/>
    </xf>
    <xf numFmtId="0" fontId="110" fillId="0" borderId="0" xfId="0" applyFont="1"/>
    <xf numFmtId="0" fontId="111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06" fillId="0" borderId="0" xfId="0" applyFont="1" applyAlignment="1">
      <alignment vertical="center"/>
    </xf>
    <xf numFmtId="0" fontId="48" fillId="0" borderId="0" xfId="0" applyFont="1" applyAlignment="1">
      <alignment horizontal="right" vertical="center"/>
    </xf>
    <xf numFmtId="0" fontId="101" fillId="0" borderId="0" xfId="0" applyFont="1"/>
    <xf numFmtId="0" fontId="74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102" fillId="0" borderId="0" xfId="0" applyFont="1" applyAlignment="1">
      <alignment vertical="top"/>
    </xf>
    <xf numFmtId="0" fontId="58" fillId="0" borderId="0" xfId="0" applyFont="1" applyAlignment="1">
      <alignment vertical="top"/>
    </xf>
    <xf numFmtId="0" fontId="49" fillId="0" borderId="25" xfId="0" applyFont="1" applyBorder="1" applyAlignment="1">
      <alignment horizontal="center" vertical="center"/>
    </xf>
    <xf numFmtId="168" fontId="49" fillId="0" borderId="25" xfId="0" applyNumberFormat="1" applyFont="1" applyBorder="1" applyAlignment="1">
      <alignment vertical="center" wrapText="1"/>
    </xf>
    <xf numFmtId="0" fontId="49" fillId="0" borderId="40" xfId="0" applyFont="1" applyBorder="1" applyAlignment="1">
      <alignment horizontal="center" vertical="center"/>
    </xf>
    <xf numFmtId="49" fontId="39" fillId="0" borderId="40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0" fontId="48" fillId="0" borderId="49" xfId="0" applyFont="1" applyBorder="1" applyAlignment="1">
      <alignment horizontal="left"/>
    </xf>
    <xf numFmtId="0" fontId="48" fillId="0" borderId="51" xfId="0" applyFont="1" applyBorder="1" applyAlignment="1">
      <alignment horizontal="left"/>
    </xf>
    <xf numFmtId="0" fontId="101" fillId="0" borderId="51" xfId="0" applyFont="1" applyBorder="1" applyAlignment="1">
      <alignment horizontal="left" vertical="center"/>
    </xf>
    <xf numFmtId="0" fontId="123" fillId="7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8" fillId="0" borderId="0" xfId="0" applyFont="1" applyAlignment="1">
      <alignment horizontal="right"/>
    </xf>
    <xf numFmtId="0" fontId="129" fillId="0" borderId="0" xfId="0" applyFont="1" applyAlignment="1">
      <alignment horizontal="center" vertical="center"/>
    </xf>
    <xf numFmtId="0" fontId="19" fillId="0" borderId="41" xfId="0" applyFont="1" applyBorder="1"/>
    <xf numFmtId="0" fontId="19" fillId="0" borderId="47" xfId="0" applyFont="1" applyBorder="1"/>
    <xf numFmtId="0" fontId="19" fillId="0" borderId="47" xfId="0" applyFont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0" fillId="0" borderId="48" xfId="0" applyBorder="1"/>
    <xf numFmtId="0" fontId="93" fillId="0" borderId="47" xfId="0" applyFont="1" applyBorder="1" applyAlignment="1">
      <alignment horizontal="right"/>
    </xf>
    <xf numFmtId="0" fontId="0" fillId="0" borderId="48" xfId="0" applyBorder="1" applyAlignment="1">
      <alignment vertical="center"/>
    </xf>
    <xf numFmtId="0" fontId="39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7" fillId="0" borderId="48" xfId="0" applyFont="1" applyBorder="1" applyAlignment="1">
      <alignment vertical="top" wrapText="1"/>
    </xf>
    <xf numFmtId="0" fontId="19" fillId="0" borderId="42" xfId="0" applyFont="1" applyBorder="1" applyAlignment="1">
      <alignment wrapText="1"/>
    </xf>
    <xf numFmtId="0" fontId="0" fillId="0" borderId="49" xfId="0" applyBorder="1" applyAlignment="1">
      <alignment horizontal="left" wrapText="1"/>
    </xf>
    <xf numFmtId="0" fontId="0" fillId="0" borderId="49" xfId="0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95" fillId="0" borderId="0" xfId="0" applyFont="1"/>
    <xf numFmtId="1" fontId="48" fillId="0" borderId="0" xfId="0" applyNumberFormat="1" applyFont="1"/>
    <xf numFmtId="0" fontId="48" fillId="0" borderId="0" xfId="0" applyFont="1"/>
    <xf numFmtId="0" fontId="48" fillId="0" borderId="0" xfId="0" applyFont="1" applyAlignment="1">
      <alignment horizontal="center"/>
    </xf>
    <xf numFmtId="1" fontId="49" fillId="0" borderId="40" xfId="0" applyNumberFormat="1" applyFont="1" applyBorder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14" fontId="99" fillId="0" borderId="0" xfId="0" applyNumberFormat="1" applyFont="1" applyAlignment="1" applyProtection="1">
      <alignment horizontal="left" vertical="center"/>
      <protection locked="0"/>
    </xf>
    <xf numFmtId="0" fontId="42" fillId="0" borderId="49" xfId="0" applyFont="1" applyBorder="1" applyAlignment="1">
      <alignment horizontal="left"/>
    </xf>
    <xf numFmtId="0" fontId="104" fillId="0" borderId="40" xfId="0" applyFont="1" applyBorder="1" applyAlignment="1">
      <alignment horizontal="center" vertical="center"/>
    </xf>
    <xf numFmtId="0" fontId="104" fillId="7" borderId="52" xfId="0" applyFont="1" applyFill="1" applyBorder="1" applyAlignment="1">
      <alignment horizontal="center" vertical="center"/>
    </xf>
    <xf numFmtId="0" fontId="127" fillId="0" borderId="47" xfId="0" applyFont="1" applyBorder="1"/>
    <xf numFmtId="0" fontId="127" fillId="0" borderId="48" xfId="0" applyFont="1" applyBorder="1"/>
    <xf numFmtId="0" fontId="143" fillId="0" borderId="53" xfId="0" applyFont="1" applyBorder="1" applyAlignment="1">
      <alignment horizontal="left"/>
    </xf>
    <xf numFmtId="168" fontId="144" fillId="0" borderId="54" xfId="0" applyNumberFormat="1" applyFont="1" applyBorder="1" applyAlignment="1">
      <alignment horizontal="left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48" fillId="0" borderId="0" xfId="0" applyFont="1" applyAlignment="1">
      <alignment vertical="center"/>
    </xf>
    <xf numFmtId="14" fontId="49" fillId="0" borderId="0" xfId="0" applyNumberFormat="1" applyFont="1" applyAlignment="1">
      <alignment vertical="center"/>
    </xf>
    <xf numFmtId="172" fontId="97" fillId="0" borderId="0" xfId="0" applyNumberFormat="1" applyFont="1"/>
    <xf numFmtId="0" fontId="39" fillId="0" borderId="47" xfId="0" applyFont="1" applyBorder="1" applyAlignment="1">
      <alignment horizontal="right"/>
    </xf>
    <xf numFmtId="0" fontId="92" fillId="0" borderId="0" xfId="0" applyFont="1" applyAlignment="1">
      <alignment vertical="center"/>
    </xf>
    <xf numFmtId="0" fontId="44" fillId="0" borderId="47" xfId="0" applyFont="1" applyBorder="1" applyAlignment="1">
      <alignment vertical="center" wrapText="1"/>
    </xf>
    <xf numFmtId="0" fontId="117" fillId="0" borderId="0" xfId="0" applyFont="1" applyAlignment="1">
      <alignment horizontal="center" vertical="center"/>
    </xf>
    <xf numFmtId="0" fontId="64" fillId="0" borderId="0" xfId="0" applyFont="1" applyAlignment="1">
      <alignment horizontal="right" vertical="center"/>
    </xf>
    <xf numFmtId="0" fontId="3" fillId="0" borderId="47" xfId="0" applyFont="1" applyBorder="1" applyAlignment="1">
      <alignment vertical="top"/>
    </xf>
    <xf numFmtId="0" fontId="122" fillId="0" borderId="0" xfId="0" applyFont="1" applyAlignment="1">
      <alignment horizontal="left"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0" fontId="42" fillId="5" borderId="40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top" wrapText="1"/>
    </xf>
    <xf numFmtId="0" fontId="0" fillId="0" borderId="49" xfId="0" applyBorder="1" applyAlignment="1">
      <alignment horizontal="right" vertical="top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84" fillId="0" borderId="65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14" fontId="94" fillId="0" borderId="65" xfId="0" applyNumberFormat="1" applyFont="1" applyBorder="1" applyAlignment="1" applyProtection="1">
      <alignment horizontal="center" vertical="center"/>
      <protection locked="0"/>
    </xf>
    <xf numFmtId="14" fontId="94" fillId="0" borderId="66" xfId="0" applyNumberFormat="1" applyFont="1" applyBorder="1" applyAlignment="1" applyProtection="1">
      <alignment horizontal="center" vertical="center"/>
      <protection locked="0"/>
    </xf>
    <xf numFmtId="172" fontId="49" fillId="0" borderId="65" xfId="0" applyNumberFormat="1" applyFont="1" applyBorder="1" applyAlignment="1">
      <alignment horizontal="center" vertical="center"/>
    </xf>
    <xf numFmtId="172" fontId="49" fillId="0" borderId="66" xfId="0" applyNumberFormat="1" applyFont="1" applyBorder="1" applyAlignment="1">
      <alignment horizontal="center" vertical="center"/>
    </xf>
    <xf numFmtId="172" fontId="49" fillId="0" borderId="61" xfId="0" applyNumberFormat="1" applyFont="1" applyBorder="1" applyAlignment="1">
      <alignment horizontal="center" vertical="center"/>
    </xf>
    <xf numFmtId="172" fontId="49" fillId="0" borderId="64" xfId="0" applyNumberFormat="1" applyFont="1" applyBorder="1" applyAlignment="1">
      <alignment horizontal="center" vertical="center"/>
    </xf>
    <xf numFmtId="0" fontId="139" fillId="7" borderId="67" xfId="0" applyFont="1" applyFill="1" applyBorder="1" applyAlignment="1">
      <alignment horizontal="center" vertical="center"/>
    </xf>
    <xf numFmtId="0" fontId="140" fillId="7" borderId="68" xfId="0" applyFont="1" applyFill="1" applyBorder="1" applyAlignment="1">
      <alignment horizontal="center" vertical="top"/>
    </xf>
    <xf numFmtId="169" fontId="0" fillId="0" borderId="69" xfId="0" applyNumberForma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1" fontId="7" fillId="0" borderId="69" xfId="0" applyNumberFormat="1" applyFont="1" applyBorder="1" applyAlignment="1">
      <alignment horizontal="center" vertical="center"/>
    </xf>
    <xf numFmtId="0" fontId="94" fillId="0" borderId="69" xfId="0" applyFont="1" applyBorder="1" applyAlignment="1" applyProtection="1">
      <alignment vertical="center"/>
      <protection locked="0"/>
    </xf>
    <xf numFmtId="168" fontId="49" fillId="0" borderId="69" xfId="0" applyNumberFormat="1" applyFont="1" applyBorder="1" applyAlignment="1">
      <alignment vertical="center" wrapText="1"/>
    </xf>
    <xf numFmtId="168" fontId="49" fillId="0" borderId="68" xfId="0" applyNumberFormat="1" applyFont="1" applyBorder="1" applyAlignment="1">
      <alignment vertical="center" wrapText="1"/>
    </xf>
    <xf numFmtId="0" fontId="0" fillId="7" borderId="0" xfId="0" applyFill="1"/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49" fontId="39" fillId="0" borderId="33" xfId="0" applyNumberFormat="1" applyFont="1" applyBorder="1" applyAlignment="1">
      <alignment horizontal="center" vertical="center"/>
    </xf>
    <xf numFmtId="0" fontId="39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left" vertical="center"/>
    </xf>
    <xf numFmtId="0" fontId="39" fillId="0" borderId="33" xfId="0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1" fillId="0" borderId="33" xfId="0" applyFont="1" applyBorder="1" applyAlignment="1">
      <alignment horizontal="left" vertical="center"/>
    </xf>
    <xf numFmtId="172" fontId="151" fillId="0" borderId="49" xfId="0" applyNumberFormat="1" applyFont="1" applyBorder="1" applyAlignment="1">
      <alignment horizontal="left" vertical="center" wrapText="1"/>
    </xf>
    <xf numFmtId="175" fontId="155" fillId="0" borderId="0" xfId="0" applyNumberFormat="1" applyFont="1" applyAlignment="1">
      <alignment horizontal="center" vertical="center"/>
    </xf>
    <xf numFmtId="14" fontId="145" fillId="7" borderId="40" xfId="0" applyNumberFormat="1" applyFont="1" applyFill="1" applyBorder="1" applyAlignment="1">
      <alignment horizontal="center" vertical="center" wrapText="1"/>
    </xf>
    <xf numFmtId="0" fontId="138" fillId="0" borderId="0" xfId="0" applyFont="1" applyAlignment="1">
      <alignment horizontal="left" vertical="center"/>
    </xf>
    <xf numFmtId="0" fontId="101" fillId="0" borderId="0" xfId="0" applyFont="1" applyAlignment="1">
      <alignment horizontal="right" vertical="center"/>
    </xf>
    <xf numFmtId="175" fontId="9" fillId="0" borderId="0" xfId="0" applyNumberFormat="1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19" fillId="0" borderId="34" xfId="0" applyFont="1" applyBorder="1"/>
    <xf numFmtId="0" fontId="19" fillId="0" borderId="58" xfId="0" applyFont="1" applyBorder="1"/>
    <xf numFmtId="0" fontId="19" fillId="0" borderId="37" xfId="0" applyFont="1" applyBorder="1"/>
    <xf numFmtId="0" fontId="44" fillId="0" borderId="0" xfId="0" applyFont="1"/>
    <xf numFmtId="14" fontId="0" fillId="0" borderId="0" xfId="0" applyNumberFormat="1" applyAlignment="1">
      <alignment horizontal="left"/>
    </xf>
    <xf numFmtId="14" fontId="39" fillId="0" borderId="0" xfId="0" applyNumberFormat="1" applyFont="1" applyAlignment="1">
      <alignment horizontal="center" vertical="center"/>
    </xf>
    <xf numFmtId="14" fontId="39" fillId="0" borderId="0" xfId="0" applyNumberFormat="1" applyFont="1"/>
    <xf numFmtId="49" fontId="39" fillId="0" borderId="0" xfId="0" applyNumberFormat="1" applyFont="1"/>
    <xf numFmtId="0" fontId="39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2" fillId="0" borderId="40" xfId="0" applyFont="1" applyBorder="1"/>
    <xf numFmtId="172" fontId="0" fillId="0" borderId="4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3" fillId="0" borderId="40" xfId="0" applyFont="1" applyBorder="1"/>
    <xf numFmtId="49" fontId="53" fillId="0" borderId="40" xfId="0" applyNumberFormat="1" applyFont="1" applyBorder="1"/>
    <xf numFmtId="14" fontId="52" fillId="0" borderId="40" xfId="0" applyNumberFormat="1" applyFont="1" applyBorder="1" applyAlignment="1">
      <alignment horizontal="center" vertical="center"/>
    </xf>
    <xf numFmtId="1" fontId="42" fillId="0" borderId="40" xfId="0" applyNumberFormat="1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49" fontId="53" fillId="0" borderId="40" xfId="0" applyNumberFormat="1" applyFont="1" applyBorder="1" applyAlignment="1">
      <alignment horizontal="left" vertical="center"/>
    </xf>
    <xf numFmtId="0" fontId="127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top"/>
    </xf>
    <xf numFmtId="49" fontId="121" fillId="0" borderId="0" xfId="0" applyNumberFormat="1" applyFont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40" xfId="0" applyFont="1" applyBorder="1" applyAlignment="1">
      <alignment horizontal="left" vertical="center" wrapText="1"/>
    </xf>
    <xf numFmtId="0" fontId="39" fillId="0" borderId="40" xfId="0" applyFont="1" applyBorder="1"/>
    <xf numFmtId="0" fontId="49" fillId="7" borderId="44" xfId="0" applyFont="1" applyFill="1" applyBorder="1" applyAlignment="1">
      <alignment horizontal="center" vertical="top"/>
    </xf>
    <xf numFmtId="0" fontId="101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2" fillId="0" borderId="0" xfId="0" applyFont="1" applyAlignment="1">
      <alignment wrapText="1"/>
    </xf>
    <xf numFmtId="0" fontId="39" fillId="0" borderId="0" xfId="0" applyFont="1" applyAlignment="1">
      <alignment horizontal="left"/>
    </xf>
    <xf numFmtId="0" fontId="42" fillId="0" borderId="0" xfId="0" applyFont="1" applyAlignment="1">
      <alignment vertical="top"/>
    </xf>
    <xf numFmtId="0" fontId="48" fillId="0" borderId="25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8" fillId="0" borderId="25" xfId="0" applyFont="1" applyBorder="1" applyAlignment="1">
      <alignment horizontal="left" vertical="top"/>
    </xf>
    <xf numFmtId="0" fontId="49" fillId="0" borderId="26" xfId="0" applyFont="1" applyBorder="1" applyAlignment="1">
      <alignment horizontal="left" vertical="center"/>
    </xf>
    <xf numFmtId="0" fontId="88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49" fillId="0" borderId="40" xfId="0" applyFont="1" applyBorder="1"/>
    <xf numFmtId="0" fontId="48" fillId="0" borderId="40" xfId="0" applyFont="1" applyBorder="1"/>
    <xf numFmtId="0" fontId="42" fillId="0" borderId="40" xfId="0" applyFont="1" applyBorder="1" applyAlignment="1">
      <alignment horizontal="left" vertical="center" wrapText="1"/>
    </xf>
    <xf numFmtId="49" fontId="39" fillId="0" borderId="40" xfId="0" applyNumberFormat="1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/>
    </xf>
    <xf numFmtId="172" fontId="173" fillId="0" borderId="0" xfId="0" applyNumberFormat="1" applyFont="1" applyAlignment="1">
      <alignment horizontal="center" vertical="center"/>
    </xf>
    <xf numFmtId="172" fontId="174" fillId="0" borderId="0" xfId="0" applyNumberFormat="1" applyFont="1" applyAlignment="1">
      <alignment horizontal="center" vertical="center"/>
    </xf>
    <xf numFmtId="172" fontId="43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0" fontId="175" fillId="0" borderId="0" xfId="0" applyFont="1"/>
    <xf numFmtId="0" fontId="176" fillId="0" borderId="0" xfId="0" applyFont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49" fillId="0" borderId="44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8" fillId="0" borderId="29" xfId="0" applyFont="1" applyBorder="1" applyAlignment="1">
      <alignment horizontal="left"/>
    </xf>
    <xf numFmtId="0" fontId="48" fillId="0" borderId="0" xfId="0" applyFont="1" applyAlignment="1">
      <alignment horizontal="left" vertical="top"/>
    </xf>
    <xf numFmtId="0" fontId="49" fillId="0" borderId="44" xfId="0" applyFont="1" applyBorder="1"/>
    <xf numFmtId="0" fontId="48" fillId="0" borderId="44" xfId="0" applyFont="1" applyBorder="1"/>
    <xf numFmtId="0" fontId="49" fillId="0" borderId="79" xfId="0" applyFont="1" applyBorder="1"/>
    <xf numFmtId="0" fontId="48" fillId="0" borderId="79" xfId="0" applyFont="1" applyBorder="1"/>
    <xf numFmtId="0" fontId="48" fillId="0" borderId="79" xfId="0" applyFont="1" applyBorder="1" applyAlignment="1">
      <alignment horizontal="center"/>
    </xf>
    <xf numFmtId="0" fontId="49" fillId="0" borderId="43" xfId="0" applyFont="1" applyBorder="1"/>
    <xf numFmtId="0" fontId="49" fillId="0" borderId="79" xfId="0" applyFont="1" applyBorder="1" applyAlignment="1">
      <alignment horizontal="left" vertical="center"/>
    </xf>
    <xf numFmtId="0" fontId="48" fillId="0" borderId="79" xfId="0" applyFont="1" applyBorder="1" applyAlignment="1">
      <alignment horizontal="left" vertical="center"/>
    </xf>
    <xf numFmtId="0" fontId="137" fillId="7" borderId="27" xfId="0" applyFont="1" applyFill="1" applyBorder="1" applyAlignment="1">
      <alignment horizontal="center"/>
    </xf>
    <xf numFmtId="0" fontId="113" fillId="7" borderId="28" xfId="0" applyFont="1" applyFill="1" applyBorder="1" applyAlignment="1">
      <alignment horizontal="center" vertical="top"/>
    </xf>
    <xf numFmtId="0" fontId="49" fillId="4" borderId="0" xfId="0" applyFont="1" applyFill="1" applyAlignment="1">
      <alignment horizontal="center" vertical="center"/>
    </xf>
    <xf numFmtId="0" fontId="0" fillId="0" borderId="75" xfId="0" applyBorder="1"/>
    <xf numFmtId="0" fontId="39" fillId="0" borderId="7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 wrapText="1"/>
    </xf>
    <xf numFmtId="0" fontId="1" fillId="0" borderId="0" xfId="0" applyFont="1"/>
    <xf numFmtId="0" fontId="0" fillId="0" borderId="32" xfId="0" applyBorder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10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64" fillId="0" borderId="29" xfId="0" applyFont="1" applyBorder="1"/>
    <xf numFmtId="14" fontId="114" fillId="0" borderId="79" xfId="0" applyNumberFormat="1" applyFont="1" applyBorder="1" applyAlignment="1">
      <alignment horizontal="center" vertical="center"/>
    </xf>
    <xf numFmtId="0" fontId="130" fillId="0" borderId="79" xfId="0" applyFont="1" applyBorder="1" applyAlignment="1">
      <alignment horizontal="center" vertical="center"/>
    </xf>
    <xf numFmtId="168" fontId="131" fillId="0" borderId="79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wrapText="1"/>
    </xf>
    <xf numFmtId="0" fontId="86" fillId="0" borderId="0" xfId="0" applyFont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29" xfId="0" applyFont="1" applyBorder="1"/>
    <xf numFmtId="0" fontId="91" fillId="0" borderId="29" xfId="0" applyFont="1" applyBorder="1" applyAlignment="1">
      <alignment horizontal="center"/>
    </xf>
    <xf numFmtId="0" fontId="91" fillId="0" borderId="29" xfId="0" applyFont="1" applyBorder="1" applyAlignment="1">
      <alignment wrapText="1"/>
    </xf>
    <xf numFmtId="0" fontId="86" fillId="0" borderId="29" xfId="0" applyFont="1" applyBorder="1" applyAlignment="1">
      <alignment vertical="center"/>
    </xf>
    <xf numFmtId="14" fontId="92" fillId="0" borderId="29" xfId="0" applyNumberFormat="1" applyFont="1" applyBorder="1" applyAlignment="1" applyProtection="1">
      <alignment horizontal="center" vertical="center"/>
      <protection locked="0"/>
    </xf>
    <xf numFmtId="0" fontId="48" fillId="0" borderId="29" xfId="0" applyFont="1" applyBorder="1" applyAlignment="1">
      <alignment horizontal="right"/>
    </xf>
    <xf numFmtId="14" fontId="49" fillId="0" borderId="26" xfId="0" applyNumberFormat="1" applyFont="1" applyBorder="1" applyAlignment="1" applyProtection="1">
      <alignment vertical="center"/>
      <protection locked="0"/>
    </xf>
    <xf numFmtId="0" fontId="43" fillId="0" borderId="25" xfId="0" applyFont="1" applyBorder="1" applyAlignment="1">
      <alignment horizontal="left" vertical="top"/>
    </xf>
    <xf numFmtId="0" fontId="7" fillId="0" borderId="25" xfId="0" applyFont="1" applyBorder="1" applyAlignment="1">
      <alignment vertical="top" wrapText="1"/>
    </xf>
    <xf numFmtId="168" fontId="40" fillId="0" borderId="25" xfId="0" applyNumberFormat="1" applyFont="1" applyBorder="1" applyAlignment="1">
      <alignment vertical="center" wrapText="1"/>
    </xf>
    <xf numFmtId="0" fontId="132" fillId="0" borderId="79" xfId="0" applyFont="1" applyBorder="1" applyAlignment="1">
      <alignment horizontal="center" vertical="center"/>
    </xf>
    <xf numFmtId="0" fontId="48" fillId="4" borderId="76" xfId="0" applyFont="1" applyFill="1" applyBorder="1" applyAlignment="1">
      <alignment horizontal="left"/>
    </xf>
    <xf numFmtId="0" fontId="48" fillId="4" borderId="29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vertical="center" wrapText="1"/>
    </xf>
    <xf numFmtId="0" fontId="42" fillId="4" borderId="30" xfId="0" applyFont="1" applyFill="1" applyBorder="1" applyAlignment="1">
      <alignment vertical="center" wrapText="1"/>
    </xf>
    <xf numFmtId="0" fontId="19" fillId="0" borderId="76" xfId="0" applyFont="1" applyBorder="1"/>
    <xf numFmtId="0" fontId="83" fillId="0" borderId="29" xfId="0" applyFont="1" applyBorder="1" applyAlignment="1">
      <alignment horizontal="left"/>
    </xf>
    <xf numFmtId="0" fontId="83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13" fillId="0" borderId="29" xfId="0" applyFont="1" applyBorder="1"/>
    <xf numFmtId="0" fontId="16" fillId="0" borderId="29" xfId="0" applyFont="1" applyBorder="1" applyAlignment="1">
      <alignment vertical="center"/>
    </xf>
    <xf numFmtId="0" fontId="42" fillId="0" borderId="29" xfId="0" applyFont="1" applyBorder="1" applyAlignment="1">
      <alignment horizontal="center" vertical="top"/>
    </xf>
    <xf numFmtId="0" fontId="64" fillId="0" borderId="30" xfId="0" applyFont="1" applyBorder="1" applyAlignment="1">
      <alignment horizontal="center"/>
    </xf>
    <xf numFmtId="0" fontId="19" fillId="0" borderId="74" xfId="0" applyFont="1" applyBorder="1"/>
    <xf numFmtId="0" fontId="64" fillId="0" borderId="75" xfId="0" applyFont="1" applyBorder="1" applyAlignment="1">
      <alignment horizontal="center"/>
    </xf>
    <xf numFmtId="0" fontId="19" fillId="0" borderId="74" xfId="0" applyFont="1" applyBorder="1" applyAlignment="1">
      <alignment vertic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64" fillId="0" borderId="75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17" fillId="0" borderId="0" xfId="0" applyNumberFormat="1" applyFont="1" applyAlignment="1">
      <alignment horizontal="left"/>
    </xf>
    <xf numFmtId="0" fontId="86" fillId="0" borderId="0" xfId="0" applyFont="1"/>
    <xf numFmtId="14" fontId="19" fillId="0" borderId="74" xfId="0" applyNumberFormat="1" applyFont="1" applyBorder="1" applyAlignment="1">
      <alignment horizontal="center" vertical="center"/>
    </xf>
    <xf numFmtId="0" fontId="50" fillId="0" borderId="0" xfId="0" applyFont="1"/>
    <xf numFmtId="168" fontId="40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top"/>
    </xf>
    <xf numFmtId="0" fontId="43" fillId="0" borderId="0" xfId="0" applyFont="1" applyAlignment="1">
      <alignment horizontal="left" vertical="top"/>
    </xf>
    <xf numFmtId="0" fontId="4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8" fontId="126" fillId="0" borderId="0" xfId="0" applyNumberFormat="1" applyFont="1" applyAlignment="1">
      <alignment horizontal="left" vertical="center" wrapText="1"/>
    </xf>
    <xf numFmtId="168" fontId="149" fillId="0" borderId="0" xfId="0" applyNumberFormat="1" applyFont="1" applyAlignment="1">
      <alignment horizontal="left" vertical="center" wrapText="1"/>
    </xf>
    <xf numFmtId="14" fontId="19" fillId="0" borderId="31" xfId="0" applyNumberFormat="1" applyFont="1" applyBorder="1" applyAlignment="1">
      <alignment horizontal="center" vertical="center"/>
    </xf>
    <xf numFmtId="0" fontId="76" fillId="0" borderId="25" xfId="0" applyFont="1" applyBorder="1"/>
    <xf numFmtId="1" fontId="86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wrapText="1"/>
    </xf>
    <xf numFmtId="0" fontId="64" fillId="0" borderId="32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75" xfId="0" applyFont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98" fillId="0" borderId="75" xfId="0" applyFont="1" applyBorder="1" applyAlignment="1">
      <alignment vertical="center"/>
    </xf>
    <xf numFmtId="0" fontId="19" fillId="0" borderId="74" xfId="0" applyFont="1" applyBorder="1" applyAlignment="1">
      <alignment horizontal="center" vertical="center"/>
    </xf>
    <xf numFmtId="0" fontId="93" fillId="0" borderId="74" xfId="0" applyFont="1" applyBorder="1" applyAlignment="1">
      <alignment horizontal="right"/>
    </xf>
    <xf numFmtId="0" fontId="92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0" fontId="0" fillId="0" borderId="75" xfId="0" applyBorder="1" applyAlignment="1">
      <alignment vertical="center"/>
    </xf>
    <xf numFmtId="0" fontId="63" fillId="0" borderId="0" xfId="0" applyFont="1" applyAlignment="1">
      <alignment horizontal="right" vertical="center"/>
    </xf>
    <xf numFmtId="0" fontId="19" fillId="0" borderId="7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168" fontId="92" fillId="0" borderId="0" xfId="0" applyNumberFormat="1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49" fontId="4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center" vertical="center" wrapText="1"/>
    </xf>
    <xf numFmtId="0" fontId="7" fillId="0" borderId="75" xfId="0" applyFont="1" applyBorder="1" applyAlignment="1">
      <alignment vertical="top" wrapText="1"/>
    </xf>
    <xf numFmtId="0" fontId="19" fillId="0" borderId="31" xfId="0" applyFont="1" applyBorder="1" applyAlignment="1">
      <alignment wrapText="1"/>
    </xf>
    <xf numFmtId="0" fontId="0" fillId="0" borderId="25" xfId="0" applyBorder="1" applyAlignment="1">
      <alignment horizontal="left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50" fillId="0" borderId="25" xfId="0" applyFont="1" applyBorder="1" applyAlignment="1">
      <alignment horizontal="center" vertical="center"/>
    </xf>
    <xf numFmtId="171" fontId="86" fillId="0" borderId="25" xfId="0" applyNumberFormat="1" applyFont="1" applyBorder="1" applyAlignment="1">
      <alignment horizontal="left" vertical="center" wrapText="1"/>
    </xf>
    <xf numFmtId="0" fontId="19" fillId="0" borderId="31" xfId="0" applyFont="1" applyBorder="1"/>
    <xf numFmtId="0" fontId="48" fillId="0" borderId="25" xfId="0" applyFont="1" applyBorder="1" applyAlignment="1">
      <alignment horizontal="left" vertical="center" wrapText="1"/>
    </xf>
    <xf numFmtId="0" fontId="19" fillId="0" borderId="77" xfId="0" applyFont="1" applyBorder="1"/>
    <xf numFmtId="0" fontId="48" fillId="0" borderId="26" xfId="0" applyFont="1" applyBorder="1" applyAlignment="1">
      <alignment horizontal="left" vertical="center" wrapText="1"/>
    </xf>
    <xf numFmtId="0" fontId="50" fillId="0" borderId="26" xfId="0" applyFont="1" applyBorder="1" applyAlignment="1">
      <alignment horizontal="center" vertical="center"/>
    </xf>
    <xf numFmtId="171" fontId="86" fillId="0" borderId="26" xfId="0" applyNumberFormat="1" applyFont="1" applyBorder="1" applyAlignment="1">
      <alignment horizontal="left" vertical="center" wrapText="1"/>
    </xf>
    <xf numFmtId="14" fontId="49" fillId="7" borderId="78" xfId="0" applyNumberFormat="1" applyFont="1" applyFill="1" applyBorder="1" applyAlignment="1">
      <alignment horizontal="center" vertical="center"/>
    </xf>
    <xf numFmtId="0" fontId="0" fillId="0" borderId="78" xfId="0" applyBorder="1"/>
    <xf numFmtId="0" fontId="49" fillId="0" borderId="25" xfId="0" applyFont="1" applyBorder="1" applyAlignment="1">
      <alignment horizontal="left" vertical="center" wrapText="1"/>
    </xf>
    <xf numFmtId="0" fontId="48" fillId="0" borderId="25" xfId="0" applyFont="1" applyBorder="1" applyAlignment="1">
      <alignment horizontal="center" vertical="center"/>
    </xf>
    <xf numFmtId="0" fontId="146" fillId="0" borderId="80" xfId="0" applyFont="1" applyBorder="1" applyAlignment="1">
      <alignment horizontal="left"/>
    </xf>
    <xf numFmtId="168" fontId="104" fillId="0" borderId="81" xfId="0" applyNumberFormat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15" fillId="8" borderId="82" xfId="0" applyFont="1" applyFill="1" applyBorder="1" applyAlignment="1">
      <alignment horizontal="center" vertical="center"/>
    </xf>
    <xf numFmtId="0" fontId="133" fillId="0" borderId="83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101" fillId="0" borderId="79" xfId="0" applyFont="1" applyBorder="1" applyAlignment="1">
      <alignment horizontal="center" vertical="center" wrapText="1"/>
    </xf>
    <xf numFmtId="168" fontId="39" fillId="0" borderId="79" xfId="0" applyNumberFormat="1" applyFont="1" applyBorder="1" applyAlignment="1">
      <alignment horizontal="center" vertical="center" wrapText="1"/>
    </xf>
    <xf numFmtId="171" fontId="39" fillId="0" borderId="79" xfId="3" applyNumberFormat="1" applyFont="1" applyBorder="1" applyAlignment="1" applyProtection="1">
      <alignment horizontal="left" vertical="center"/>
    </xf>
    <xf numFmtId="171" fontId="80" fillId="0" borderId="79" xfId="3" applyNumberFormat="1" applyFont="1" applyBorder="1" applyAlignment="1" applyProtection="1">
      <alignment horizontal="left" vertical="center"/>
    </xf>
    <xf numFmtId="0" fontId="42" fillId="7" borderId="79" xfId="0" applyFont="1" applyFill="1" applyBorder="1" applyAlignment="1">
      <alignment horizontal="center" vertical="top"/>
    </xf>
    <xf numFmtId="0" fontId="39" fillId="7" borderId="79" xfId="0" applyFont="1" applyFill="1" applyBorder="1" applyAlignment="1">
      <alignment horizontal="center" vertical="center" wrapText="1"/>
    </xf>
    <xf numFmtId="1" fontId="84" fillId="7" borderId="79" xfId="0" applyNumberFormat="1" applyFont="1" applyFill="1" applyBorder="1"/>
    <xf numFmtId="0" fontId="39" fillId="7" borderId="79" xfId="0" applyFont="1" applyFill="1" applyBorder="1"/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4" xfId="0" applyFont="1" applyBorder="1" applyAlignment="1">
      <alignment vertical="center"/>
    </xf>
    <xf numFmtId="0" fontId="42" fillId="0" borderId="75" xfId="0" applyFont="1" applyBorder="1" applyAlignment="1">
      <alignment vertical="center"/>
    </xf>
    <xf numFmtId="0" fontId="42" fillId="7" borderId="31" xfId="0" applyFont="1" applyFill="1" applyBorder="1" applyAlignment="1">
      <alignment vertical="center"/>
    </xf>
    <xf numFmtId="0" fontId="42" fillId="7" borderId="25" xfId="0" applyFont="1" applyFill="1" applyBorder="1" applyAlignment="1">
      <alignment vertical="center"/>
    </xf>
    <xf numFmtId="0" fontId="42" fillId="7" borderId="32" xfId="0" applyFont="1" applyFill="1" applyBorder="1" applyAlignment="1">
      <alignment vertical="center"/>
    </xf>
    <xf numFmtId="0" fontId="39" fillId="0" borderId="33" xfId="0" applyFont="1" applyBorder="1" applyAlignment="1">
      <alignment horizontal="center" vertical="center" wrapText="1"/>
    </xf>
    <xf numFmtId="49" fontId="101" fillId="0" borderId="33" xfId="0" applyNumberFormat="1" applyFont="1" applyBorder="1" applyAlignment="1">
      <alignment horizontal="left" vertical="center"/>
    </xf>
    <xf numFmtId="49" fontId="101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39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right" vertical="center"/>
    </xf>
    <xf numFmtId="0" fontId="49" fillId="0" borderId="0" xfId="0" applyFont="1" applyAlignment="1">
      <alignment vertical="center"/>
    </xf>
    <xf numFmtId="0" fontId="44" fillId="0" borderId="72" xfId="0" applyFont="1" applyBorder="1"/>
    <xf numFmtId="0" fontId="44" fillId="0" borderId="73" xfId="0" applyFont="1" applyBorder="1"/>
    <xf numFmtId="0" fontId="44" fillId="0" borderId="0" xfId="0" applyFont="1" applyAlignment="1">
      <alignment horizontal="left" vertical="center"/>
    </xf>
    <xf numFmtId="0" fontId="43" fillId="0" borderId="0" xfId="0" applyFont="1" applyAlignment="1">
      <alignment horizontal="center"/>
    </xf>
    <xf numFmtId="0" fontId="163" fillId="0" borderId="0" xfId="0" applyFont="1" applyAlignment="1">
      <alignment vertical="center"/>
    </xf>
    <xf numFmtId="0" fontId="163" fillId="0" borderId="0" xfId="0" applyFont="1" applyAlignment="1">
      <alignment horizontal="center" vertical="center"/>
    </xf>
    <xf numFmtId="0" fontId="44" fillId="0" borderId="57" xfId="0" applyFont="1" applyBorder="1"/>
    <xf numFmtId="0" fontId="44" fillId="0" borderId="57" xfId="0" applyFont="1" applyBorder="1" applyAlignment="1">
      <alignment horizontal="center" vertical="center"/>
    </xf>
    <xf numFmtId="0" fontId="44" fillId="0" borderId="90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3" fontId="96" fillId="0" borderId="0" xfId="0" applyNumberFormat="1" applyFont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/>
    </xf>
    <xf numFmtId="0" fontId="185" fillId="0" borderId="0" xfId="0" applyFont="1" applyAlignment="1">
      <alignment horizontal="left" vertical="center"/>
    </xf>
    <xf numFmtId="0" fontId="186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 wrapText="1"/>
    </xf>
    <xf numFmtId="0" fontId="190" fillId="0" borderId="0" xfId="0" applyFont="1" applyAlignment="1">
      <alignment horizontal="left" vertical="center"/>
    </xf>
    <xf numFmtId="14" fontId="189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 wrapText="1"/>
    </xf>
    <xf numFmtId="0" fontId="195" fillId="0" borderId="0" xfId="0" applyFont="1" applyAlignment="1">
      <alignment horizontal="left" vertical="center"/>
    </xf>
    <xf numFmtId="14" fontId="194" fillId="0" borderId="0" xfId="0" applyNumberFormat="1" applyFont="1" applyAlignment="1">
      <alignment horizontal="center" vertical="center" wrapText="1"/>
    </xf>
    <xf numFmtId="172" fontId="48" fillId="0" borderId="0" xfId="0" applyNumberFormat="1" applyFont="1"/>
    <xf numFmtId="49" fontId="10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55" fillId="0" borderId="0" xfId="0" applyNumberFormat="1" applyFont="1" applyAlignment="1">
      <alignment horizontal="center" vertical="center"/>
    </xf>
    <xf numFmtId="49" fontId="137" fillId="0" borderId="0" xfId="0" applyNumberFormat="1" applyFont="1" applyAlignment="1">
      <alignment horizontal="center"/>
    </xf>
    <xf numFmtId="49" fontId="113" fillId="0" borderId="0" xfId="0" applyNumberFormat="1" applyFont="1" applyAlignment="1">
      <alignment horizontal="center" vertical="top"/>
    </xf>
    <xf numFmtId="49" fontId="104" fillId="0" borderId="0" xfId="0" applyNumberFormat="1" applyFont="1" applyAlignment="1">
      <alignment vertical="center"/>
    </xf>
    <xf numFmtId="171" fontId="80" fillId="0" borderId="0" xfId="0" applyNumberFormat="1" applyFont="1" applyAlignment="1">
      <alignment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vertical="center"/>
    </xf>
    <xf numFmtId="0" fontId="146" fillId="0" borderId="0" xfId="0" applyFont="1" applyAlignment="1">
      <alignment horizontal="center"/>
    </xf>
    <xf numFmtId="49" fontId="53" fillId="0" borderId="0" xfId="0" applyNumberFormat="1" applyFont="1" applyAlignment="1">
      <alignment vertical="center"/>
    </xf>
    <xf numFmtId="0" fontId="49" fillId="0" borderId="17" xfId="0" applyFont="1" applyBorder="1" applyAlignment="1">
      <alignment vertical="center"/>
    </xf>
    <xf numFmtId="0" fontId="49" fillId="0" borderId="17" xfId="0" applyFont="1" applyBorder="1" applyAlignment="1">
      <alignment horizontal="center" vertical="center"/>
    </xf>
    <xf numFmtId="0" fontId="39" fillId="0" borderId="0" xfId="0" applyFont="1" applyAlignment="1">
      <alignment vertical="center" wrapText="1"/>
    </xf>
    <xf numFmtId="49" fontId="39" fillId="0" borderId="0" xfId="0" applyNumberFormat="1" applyFont="1" applyAlignment="1">
      <alignment horizontal="left" vertical="center" wrapText="1"/>
    </xf>
    <xf numFmtId="171" fontId="49" fillId="0" borderId="0" xfId="0" applyNumberFormat="1" applyFont="1" applyAlignment="1">
      <alignment vertical="center" wrapText="1"/>
    </xf>
    <xf numFmtId="0" fontId="9" fillId="0" borderId="40" xfId="0" applyFont="1" applyBorder="1" applyAlignment="1">
      <alignment horizontal="left" vertical="center"/>
    </xf>
    <xf numFmtId="0" fontId="77" fillId="0" borderId="0" xfId="0" applyFont="1" applyAlignment="1">
      <alignment horizontal="center" vertical="center"/>
    </xf>
    <xf numFmtId="0" fontId="200" fillId="0" borderId="0" xfId="0" applyFont="1" applyAlignment="1">
      <alignment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184" fillId="0" borderId="0" xfId="0" applyFont="1" applyAlignment="1">
      <alignment horizontal="left" vertical="center"/>
    </xf>
    <xf numFmtId="14" fontId="77" fillId="0" borderId="0" xfId="0" applyNumberFormat="1" applyFont="1"/>
    <xf numFmtId="0" fontId="113" fillId="0" borderId="0" xfId="0" applyFont="1" applyAlignment="1">
      <alignment horizontal="center" vertical="center"/>
    </xf>
    <xf numFmtId="0" fontId="163" fillId="5" borderId="0" xfId="0" applyFont="1" applyFill="1" applyAlignment="1">
      <alignment horizontal="center" vertical="center"/>
    </xf>
    <xf numFmtId="0" fontId="44" fillId="5" borderId="0" xfId="0" applyFont="1" applyFill="1"/>
    <xf numFmtId="0" fontId="181" fillId="5" borderId="0" xfId="0" applyFont="1" applyFill="1" applyAlignment="1">
      <alignment horizontal="center" vertical="center"/>
    </xf>
    <xf numFmtId="0" fontId="117" fillId="5" borderId="0" xfId="0" applyFont="1" applyFill="1" applyAlignment="1">
      <alignment horizontal="center" vertical="center"/>
    </xf>
    <xf numFmtId="0" fontId="48" fillId="5" borderId="98" xfId="0" applyFont="1" applyFill="1" applyBorder="1" applyAlignment="1">
      <alignment horizontal="left" vertical="center"/>
    </xf>
    <xf numFmtId="0" fontId="39" fillId="5" borderId="0" xfId="0" applyFont="1" applyFill="1"/>
    <xf numFmtId="0" fontId="96" fillId="0" borderId="97" xfId="0" applyFont="1" applyBorder="1" applyAlignment="1">
      <alignment vertical="center"/>
    </xf>
    <xf numFmtId="0" fontId="1" fillId="0" borderId="99" xfId="0" applyFont="1" applyBorder="1" applyAlignment="1">
      <alignment horizontal="center" vertical="center"/>
    </xf>
    <xf numFmtId="176" fontId="49" fillId="0" borderId="84" xfId="0" applyNumberFormat="1" applyFont="1" applyBorder="1" applyAlignment="1">
      <alignment horizontal="center" vertical="center"/>
    </xf>
    <xf numFmtId="0" fontId="204" fillId="0" borderId="84" xfId="0" applyFont="1" applyBorder="1" applyAlignment="1">
      <alignment horizontal="center" vertical="center"/>
    </xf>
    <xf numFmtId="0" fontId="205" fillId="0" borderId="84" xfId="0" applyFont="1" applyBorder="1" applyAlignment="1">
      <alignment horizontal="center" vertical="center"/>
    </xf>
    <xf numFmtId="49" fontId="42" fillId="0" borderId="0" xfId="0" applyNumberFormat="1" applyFont="1"/>
    <xf numFmtId="49" fontId="42" fillId="0" borderId="40" xfId="0" applyNumberFormat="1" applyFont="1" applyBorder="1"/>
    <xf numFmtId="49" fontId="166" fillId="0" borderId="0" xfId="0" applyNumberFormat="1" applyFont="1"/>
    <xf numFmtId="0" fontId="207" fillId="0" borderId="40" xfId="0" applyFont="1" applyBorder="1" applyAlignment="1">
      <alignment horizontal="center" vertical="center" wrapText="1"/>
    </xf>
    <xf numFmtId="0" fontId="207" fillId="0" borderId="40" xfId="0" applyFont="1" applyBorder="1" applyAlignment="1">
      <alignment horizontal="left" vertical="center" wrapText="1"/>
    </xf>
    <xf numFmtId="0" fontId="39" fillId="0" borderId="40" xfId="0" applyFont="1" applyBorder="1" applyAlignment="1">
      <alignment horizontal="center"/>
    </xf>
    <xf numFmtId="0" fontId="177" fillId="0" borderId="0" xfId="0" applyFont="1"/>
    <xf numFmtId="49" fontId="48" fillId="5" borderId="0" xfId="0" applyNumberFormat="1" applyFont="1" applyFill="1" applyAlignment="1">
      <alignment vertical="top" wrapText="1"/>
    </xf>
    <xf numFmtId="0" fontId="153" fillId="0" borderId="0" xfId="0" applyFont="1" applyAlignment="1">
      <alignment vertical="center"/>
    </xf>
    <xf numFmtId="0" fontId="166" fillId="0" borderId="0" xfId="0" applyFont="1"/>
    <xf numFmtId="0" fontId="48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72" fontId="48" fillId="0" borderId="0" xfId="0" applyNumberFormat="1" applyFont="1" applyAlignment="1">
      <alignment horizontal="center"/>
    </xf>
    <xf numFmtId="0" fontId="182" fillId="0" borderId="0" xfId="0" applyFont="1"/>
    <xf numFmtId="0" fontId="112" fillId="0" borderId="0" xfId="0" applyFont="1" applyAlignment="1">
      <alignment vertical="top"/>
    </xf>
    <xf numFmtId="0" fontId="167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1" fillId="0" borderId="40" xfId="0" applyFont="1" applyBorder="1"/>
    <xf numFmtId="0" fontId="101" fillId="0" borderId="79" xfId="0" applyFont="1" applyBorder="1" applyAlignment="1">
      <alignment horizontal="center"/>
    </xf>
    <xf numFmtId="0" fontId="101" fillId="0" borderId="79" xfId="0" applyFont="1" applyBorder="1" applyAlignment="1">
      <alignment horizontal="center" vertical="center"/>
    </xf>
    <xf numFmtId="169" fontId="39" fillId="0" borderId="0" xfId="0" applyNumberFormat="1" applyFont="1" applyAlignment="1">
      <alignment horizontal="right" vertical="center"/>
    </xf>
    <xf numFmtId="169" fontId="39" fillId="0" borderId="0" xfId="0" applyNumberFormat="1" applyFont="1" applyAlignment="1">
      <alignment horizontal="left" vertical="center"/>
    </xf>
    <xf numFmtId="2" fontId="44" fillId="0" borderId="0" xfId="0" applyNumberFormat="1" applyFont="1"/>
    <xf numFmtId="2" fontId="163" fillId="0" borderId="0" xfId="0" applyNumberFormat="1" applyFont="1" applyAlignment="1">
      <alignment vertical="center"/>
    </xf>
    <xf numFmtId="2" fontId="163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49" fillId="0" borderId="0" xfId="0" applyNumberFormat="1" applyFont="1" applyAlignment="1">
      <alignment horizontal="right" vertical="center"/>
    </xf>
    <xf numFmtId="3" fontId="9" fillId="0" borderId="0" xfId="0" applyNumberFormat="1" applyFont="1"/>
    <xf numFmtId="0" fontId="211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168" fontId="7" fillId="0" borderId="0" xfId="0" applyNumberFormat="1" applyFont="1"/>
    <xf numFmtId="168" fontId="7" fillId="0" borderId="0" xfId="0" applyNumberFormat="1" applyFont="1" applyAlignment="1">
      <alignment horizontal="center" vertical="center"/>
    </xf>
    <xf numFmtId="3" fontId="155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left"/>
    </xf>
    <xf numFmtId="0" fontId="155" fillId="0" borderId="0" xfId="0" applyFont="1" applyAlignment="1">
      <alignment horizontal="center" vertical="center"/>
    </xf>
    <xf numFmtId="0" fontId="44" fillId="9" borderId="0" xfId="0" applyFont="1" applyFill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49" fillId="0" borderId="0" xfId="0" applyFont="1" applyAlignment="1">
      <alignment horizontal="left"/>
    </xf>
    <xf numFmtId="0" fontId="48" fillId="7" borderId="43" xfId="0" applyFont="1" applyFill="1" applyBorder="1" applyAlignment="1">
      <alignment horizontal="center" vertical="top"/>
    </xf>
    <xf numFmtId="0" fontId="49" fillId="0" borderId="0" xfId="0" applyFont="1" applyAlignment="1">
      <alignment vertical="top"/>
    </xf>
    <xf numFmtId="14" fontId="39" fillId="0" borderId="40" xfId="0" applyNumberFormat="1" applyFont="1" applyBorder="1" applyAlignment="1">
      <alignment horizontal="center" vertical="center" wrapText="1"/>
    </xf>
    <xf numFmtId="0" fontId="49" fillId="7" borderId="0" xfId="0" applyFont="1" applyFill="1"/>
    <xf numFmtId="0" fontId="10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" fontId="96" fillId="0" borderId="0" xfId="0" applyNumberFormat="1" applyFont="1" applyAlignment="1">
      <alignment horizontal="center"/>
    </xf>
    <xf numFmtId="0" fontId="80" fillId="0" borderId="101" xfId="0" applyFont="1" applyBorder="1" applyAlignment="1">
      <alignment horizontal="center" vertical="center"/>
    </xf>
    <xf numFmtId="0" fontId="80" fillId="0" borderId="102" xfId="0" applyFont="1" applyBorder="1" applyAlignment="1">
      <alignment horizontal="center" vertical="center"/>
    </xf>
    <xf numFmtId="0" fontId="4" fillId="0" borderId="0" xfId="1" applyNumberFormat="1" applyFill="1" applyBorder="1"/>
    <xf numFmtId="0" fontId="215" fillId="0" borderId="0" xfId="1" applyNumberFormat="1" applyFont="1" applyFill="1" applyBorder="1"/>
    <xf numFmtId="0" fontId="10" fillId="0" borderId="0" xfId="0" applyFont="1" applyAlignment="1">
      <alignment vertical="center"/>
    </xf>
    <xf numFmtId="0" fontId="4" fillId="0" borderId="0" xfId="1" applyNumberFormat="1" applyFill="1"/>
    <xf numFmtId="0" fontId="217" fillId="0" borderId="0" xfId="0" applyFont="1" applyAlignment="1">
      <alignment vertical="center"/>
    </xf>
    <xf numFmtId="0" fontId="218" fillId="0" borderId="0" xfId="0" applyFont="1" applyAlignment="1">
      <alignment horizontal="right"/>
    </xf>
    <xf numFmtId="0" fontId="222" fillId="0" borderId="0" xfId="0" applyFont="1"/>
    <xf numFmtId="0" fontId="226" fillId="0" borderId="0" xfId="0" applyFont="1" applyAlignment="1">
      <alignment vertical="center"/>
    </xf>
    <xf numFmtId="0" fontId="221" fillId="0" borderId="0" xfId="0" applyFont="1" applyAlignment="1">
      <alignment vertical="center"/>
    </xf>
    <xf numFmtId="0" fontId="220" fillId="0" borderId="0" xfId="0" applyFont="1"/>
    <xf numFmtId="0" fontId="227" fillId="0" borderId="0" xfId="0" applyFont="1"/>
    <xf numFmtId="0" fontId="6" fillId="0" borderId="0" xfId="2" applyNumberFormat="1" applyFont="1" applyAlignment="1">
      <alignment horizontal="center" vertical="center"/>
    </xf>
    <xf numFmtId="0" fontId="228" fillId="0" borderId="0" xfId="0" applyFont="1" applyAlignment="1">
      <alignment horizontal="left" indent="1"/>
    </xf>
    <xf numFmtId="0" fontId="229" fillId="0" borderId="105" xfId="0" applyFont="1" applyBorder="1" applyAlignment="1">
      <alignment horizontal="left" vertical="center"/>
    </xf>
    <xf numFmtId="0" fontId="6" fillId="0" borderId="105" xfId="0" applyFont="1" applyBorder="1"/>
    <xf numFmtId="0" fontId="6" fillId="0" borderId="105" xfId="0" applyFont="1" applyBorder="1" applyAlignment="1">
      <alignment horizontal="center"/>
    </xf>
    <xf numFmtId="0" fontId="0" fillId="0" borderId="105" xfId="0" applyBorder="1"/>
    <xf numFmtId="0" fontId="10" fillId="0" borderId="105" xfId="0" applyFont="1" applyBorder="1"/>
    <xf numFmtId="0" fontId="0" fillId="0" borderId="106" xfId="0" applyBorder="1"/>
    <xf numFmtId="0" fontId="0" fillId="0" borderId="108" xfId="0" applyBorder="1"/>
    <xf numFmtId="0" fontId="10" fillId="0" borderId="107" xfId="0" applyFont="1" applyBorder="1" applyAlignment="1">
      <alignment horizontal="left"/>
    </xf>
    <xf numFmtId="0" fontId="10" fillId="0" borderId="109" xfId="0" applyFont="1" applyBorder="1"/>
    <xf numFmtId="0" fontId="14" fillId="0" borderId="110" xfId="0" quotePrefix="1" applyFont="1" applyBorder="1" applyAlignment="1">
      <alignment horizontal="left"/>
    </xf>
    <xf numFmtId="0" fontId="0" fillId="0" borderId="110" xfId="0" applyBorder="1"/>
    <xf numFmtId="0" fontId="0" fillId="0" borderId="110" xfId="0" applyBorder="1" applyAlignment="1">
      <alignment horizontal="center"/>
    </xf>
    <xf numFmtId="0" fontId="10" fillId="0" borderId="110" xfId="0" applyFont="1" applyBorder="1"/>
    <xf numFmtId="0" fontId="0" fillId="0" borderId="111" xfId="0" applyBorder="1"/>
    <xf numFmtId="0" fontId="39" fillId="0" borderId="107" xfId="0" applyFont="1" applyBorder="1" applyAlignment="1">
      <alignment horizontal="left" indent="1"/>
    </xf>
    <xf numFmtId="0" fontId="234" fillId="0" borderId="0" xfId="0" applyFont="1" applyAlignment="1">
      <alignment horizontal="left" vertical="center" indent="2"/>
    </xf>
    <xf numFmtId="0" fontId="235" fillId="0" borderId="0" xfId="0" quotePrefix="1" applyFont="1" applyAlignment="1">
      <alignment horizontal="left" vertical="center" indent="2"/>
    </xf>
    <xf numFmtId="0" fontId="9" fillId="0" borderId="114" xfId="0" applyFont="1" applyBorder="1"/>
    <xf numFmtId="0" fontId="216" fillId="0" borderId="114" xfId="0" applyFont="1" applyBorder="1"/>
    <xf numFmtId="0" fontId="233" fillId="0" borderId="110" xfId="0" applyFont="1" applyBorder="1" applyAlignment="1">
      <alignment vertical="top"/>
    </xf>
    <xf numFmtId="0" fontId="233" fillId="0" borderId="111" xfId="0" applyFont="1" applyBorder="1" applyAlignment="1">
      <alignment vertical="top"/>
    </xf>
    <xf numFmtId="0" fontId="232" fillId="0" borderId="105" xfId="0" applyFont="1" applyBorder="1"/>
    <xf numFmtId="0" fontId="232" fillId="0" borderId="106" xfId="0" applyFont="1" applyBorder="1"/>
    <xf numFmtId="0" fontId="15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49" fillId="0" borderId="115" xfId="0" quotePrefix="1" applyFont="1" applyBorder="1" applyAlignment="1">
      <alignment horizontal="left" vertical="top"/>
    </xf>
    <xf numFmtId="0" fontId="80" fillId="0" borderId="0" xfId="0" applyFont="1" applyAlignment="1">
      <alignment vertical="center"/>
    </xf>
    <xf numFmtId="0" fontId="101" fillId="5" borderId="94" xfId="0" applyFont="1" applyFill="1" applyBorder="1" applyAlignment="1" applyProtection="1">
      <alignment horizontal="left" vertical="center"/>
      <protection locked="0"/>
    </xf>
    <xf numFmtId="0" fontId="101" fillId="5" borderId="86" xfId="0" applyFont="1" applyFill="1" applyBorder="1" applyAlignment="1" applyProtection="1">
      <alignment horizontal="left" vertical="center"/>
      <protection locked="0"/>
    </xf>
    <xf numFmtId="0" fontId="101" fillId="5" borderId="89" xfId="0" applyFont="1" applyFill="1" applyBorder="1" applyAlignment="1" applyProtection="1">
      <alignment horizontal="left" vertical="center"/>
      <protection locked="0"/>
    </xf>
    <xf numFmtId="0" fontId="49" fillId="5" borderId="98" xfId="0" applyFont="1" applyFill="1" applyBorder="1" applyAlignment="1" applyProtection="1">
      <alignment horizontal="center" vertical="center"/>
      <protection locked="0"/>
    </xf>
    <xf numFmtId="0" fontId="239" fillId="0" borderId="104" xfId="0" applyFont="1" applyBorder="1" applyAlignment="1">
      <alignment horizontal="left" vertical="center" indent="1"/>
    </xf>
    <xf numFmtId="0" fontId="49" fillId="5" borderId="94" xfId="0" applyFont="1" applyFill="1" applyBorder="1" applyAlignment="1">
      <alignment horizontal="center" vertical="center"/>
    </xf>
    <xf numFmtId="0" fontId="242" fillId="0" borderId="104" xfId="0" applyFont="1" applyBorder="1"/>
    <xf numFmtId="0" fontId="244" fillId="0" borderId="105" xfId="0" applyFont="1" applyBorder="1"/>
    <xf numFmtId="0" fontId="245" fillId="0" borderId="109" xfId="0" applyFont="1" applyBorder="1" applyAlignment="1">
      <alignment vertical="top"/>
    </xf>
    <xf numFmtId="0" fontId="247" fillId="0" borderId="110" xfId="0" applyFont="1" applyBorder="1" applyAlignment="1">
      <alignment vertical="top"/>
    </xf>
    <xf numFmtId="169" fontId="49" fillId="5" borderId="98" xfId="0" applyNumberFormat="1" applyFont="1" applyFill="1" applyBorder="1" applyAlignment="1" applyProtection="1">
      <alignment horizontal="right" vertical="center"/>
      <protection locked="0"/>
    </xf>
    <xf numFmtId="168" fontId="49" fillId="5" borderId="98" xfId="0" applyNumberFormat="1" applyFont="1" applyFill="1" applyBorder="1" applyAlignment="1" applyProtection="1">
      <alignment horizontal="right" vertical="center"/>
      <protection locked="0"/>
    </xf>
    <xf numFmtId="169" fontId="80" fillId="5" borderId="98" xfId="0" applyNumberFormat="1" applyFont="1" applyFill="1" applyBorder="1" applyAlignment="1" applyProtection="1">
      <alignment horizontal="right" vertical="center"/>
      <protection locked="0"/>
    </xf>
    <xf numFmtId="168" fontId="80" fillId="5" borderId="98" xfId="0" applyNumberFormat="1" applyFont="1" applyFill="1" applyBorder="1" applyAlignment="1" applyProtection="1">
      <alignment horizontal="right" vertical="center"/>
      <protection locked="0"/>
    </xf>
    <xf numFmtId="0" fontId="125" fillId="0" borderId="0" xfId="0" applyFont="1" applyAlignment="1">
      <alignment vertical="top"/>
    </xf>
    <xf numFmtId="0" fontId="101" fillId="0" borderId="114" xfId="0" applyFont="1" applyBorder="1" applyAlignment="1">
      <alignment vertical="center"/>
    </xf>
    <xf numFmtId="0" fontId="101" fillId="0" borderId="97" xfId="0" applyFont="1" applyBorder="1" applyAlignment="1">
      <alignment horizontal="left" vertical="center"/>
    </xf>
    <xf numFmtId="0" fontId="49" fillId="0" borderId="115" xfId="0" applyFont="1" applyBorder="1" applyAlignment="1">
      <alignment horizontal="left" vertical="top"/>
    </xf>
    <xf numFmtId="0" fontId="225" fillId="0" borderId="115" xfId="0" applyFont="1" applyBorder="1" applyAlignment="1">
      <alignment horizontal="left" vertical="center"/>
    </xf>
    <xf numFmtId="0" fontId="218" fillId="0" borderId="116" xfId="0" applyFont="1" applyBorder="1" applyAlignment="1">
      <alignment horizontal="left" vertical="top"/>
    </xf>
    <xf numFmtId="0" fontId="218" fillId="0" borderId="116" xfId="0" applyFont="1" applyBorder="1" applyAlignment="1">
      <alignment horizontal="left" vertical="top" wrapText="1"/>
    </xf>
    <xf numFmtId="49" fontId="4" fillId="0" borderId="40" xfId="1" applyNumberFormat="1" applyBorder="1" applyAlignment="1">
      <alignment horizontal="center" vertical="center" wrapText="1"/>
    </xf>
    <xf numFmtId="0" fontId="101" fillId="0" borderId="97" xfId="0" applyFont="1" applyBorder="1" applyAlignment="1">
      <alignment horizontal="left"/>
    </xf>
    <xf numFmtId="0" fontId="234" fillId="0" borderId="0" xfId="0" quotePrefix="1" applyFont="1" applyAlignment="1">
      <alignment horizontal="left" vertical="center" indent="2"/>
    </xf>
    <xf numFmtId="0" fontId="49" fillId="0" borderId="117" xfId="0" applyFont="1" applyBorder="1" applyAlignment="1">
      <alignment horizontal="left" vertical="center"/>
    </xf>
    <xf numFmtId="0" fontId="49" fillId="0" borderId="117" xfId="0" applyFont="1" applyBorder="1" applyAlignment="1">
      <alignment horizontal="right" vertical="center"/>
    </xf>
    <xf numFmtId="0" fontId="101" fillId="0" borderId="0" xfId="0" applyFont="1" applyAlignment="1">
      <alignment horizontal="center" vertical="center"/>
    </xf>
    <xf numFmtId="0" fontId="101" fillId="0" borderId="117" xfId="0" applyFont="1" applyBorder="1" applyAlignment="1">
      <alignment horizontal="left" vertical="center"/>
    </xf>
    <xf numFmtId="49" fontId="250" fillId="5" borderId="0" xfId="0" applyNumberFormat="1" applyFont="1" applyFill="1" applyAlignment="1">
      <alignment vertical="top" wrapText="1"/>
    </xf>
    <xf numFmtId="0" fontId="249" fillId="5" borderId="87" xfId="0" applyFont="1" applyFill="1" applyBorder="1" applyAlignment="1">
      <alignment horizontal="left"/>
    </xf>
    <xf numFmtId="0" fontId="210" fillId="0" borderId="0" xfId="0" applyFont="1" applyAlignment="1">
      <alignment horizontal="right" vertical="top" wrapText="1"/>
    </xf>
    <xf numFmtId="0" fontId="226" fillId="0" borderId="0" xfId="0" applyFont="1" applyAlignment="1">
      <alignment horizontal="right"/>
    </xf>
    <xf numFmtId="0" fontId="44" fillId="0" borderId="0" xfId="0" applyFont="1" applyAlignment="1">
      <alignment vertical="top"/>
    </xf>
    <xf numFmtId="0" fontId="44" fillId="0" borderId="110" xfId="0" applyFont="1" applyBorder="1" applyAlignment="1">
      <alignment vertical="top"/>
    </xf>
    <xf numFmtId="0" fontId="238" fillId="0" borderId="0" xfId="0" applyFont="1" applyAlignment="1">
      <alignment horizontal="left" indent="1"/>
    </xf>
    <xf numFmtId="179" fontId="230" fillId="5" borderId="0" xfId="0" applyNumberFormat="1" applyFont="1" applyFill="1" applyAlignment="1" applyProtection="1">
      <alignment horizontal="left" vertical="center"/>
      <protection locked="0"/>
    </xf>
    <xf numFmtId="0" fontId="254" fillId="0" borderId="0" xfId="0" applyFont="1"/>
    <xf numFmtId="0" fontId="226" fillId="0" borderId="0" xfId="0" applyFont="1"/>
    <xf numFmtId="0" fontId="257" fillId="0" borderId="0" xfId="0" applyFont="1" applyAlignment="1">
      <alignment horizontal="center" vertical="center"/>
    </xf>
    <xf numFmtId="169" fontId="159" fillId="0" borderId="97" xfId="0" applyNumberFormat="1" applyFont="1" applyBorder="1"/>
    <xf numFmtId="169" fontId="159" fillId="0" borderId="117" xfId="0" applyNumberFormat="1" applyFont="1" applyBorder="1"/>
    <xf numFmtId="0" fontId="218" fillId="0" borderId="0" xfId="0" applyFont="1" applyAlignment="1">
      <alignment horizontal="right" vertical="center"/>
    </xf>
    <xf numFmtId="0" fontId="237" fillId="0" borderId="118" xfId="0" applyFont="1" applyBorder="1" applyAlignment="1">
      <alignment horizontal="left" indent="1"/>
    </xf>
    <xf numFmtId="0" fontId="218" fillId="0" borderId="119" xfId="0" applyFont="1" applyBorder="1" applyAlignment="1">
      <alignment horizontal="right"/>
    </xf>
    <xf numFmtId="0" fontId="222" fillId="0" borderId="119" xfId="0" applyFont="1" applyBorder="1" applyAlignment="1">
      <alignment horizontal="right"/>
    </xf>
    <xf numFmtId="0" fontId="219" fillId="0" borderId="119" xfId="0" applyFont="1" applyBorder="1" applyAlignment="1">
      <alignment horizontal="right"/>
    </xf>
    <xf numFmtId="0" fontId="223" fillId="0" borderId="119" xfId="0" applyFont="1" applyBorder="1" applyAlignment="1">
      <alignment horizontal="right"/>
    </xf>
    <xf numFmtId="0" fontId="220" fillId="0" borderId="119" xfId="0" applyFont="1" applyBorder="1" applyAlignment="1" applyProtection="1">
      <alignment horizontal="left" vertical="center"/>
      <protection locked="0"/>
    </xf>
    <xf numFmtId="0" fontId="222" fillId="0" borderId="120" xfId="0" applyFont="1" applyBorder="1"/>
    <xf numFmtId="0" fontId="218" fillId="0" borderId="121" xfId="0" applyFont="1" applyBorder="1" applyAlignment="1">
      <alignment horizontal="left" indent="1"/>
    </xf>
    <xf numFmtId="0" fontId="95" fillId="0" borderId="0" xfId="0" applyFont="1" applyAlignment="1">
      <alignment horizontal="center" vertical="center"/>
    </xf>
    <xf numFmtId="0" fontId="221" fillId="0" borderId="0" xfId="0" applyFont="1" applyAlignment="1">
      <alignment horizontal="left"/>
    </xf>
    <xf numFmtId="0" fontId="224" fillId="0" borderId="0" xfId="0" applyFont="1" applyAlignment="1">
      <alignment horizontal="left"/>
    </xf>
    <xf numFmtId="0" fontId="218" fillId="0" borderId="0" xfId="0" applyFont="1" applyAlignment="1">
      <alignment horizontal="left"/>
    </xf>
    <xf numFmtId="0" fontId="222" fillId="0" borderId="0" xfId="0" applyFont="1" applyAlignment="1">
      <alignment horizontal="left"/>
    </xf>
    <xf numFmtId="0" fontId="222" fillId="0" borderId="122" xfId="0" applyFont="1" applyBorder="1" applyAlignment="1">
      <alignment horizontal="left"/>
    </xf>
    <xf numFmtId="0" fontId="39" fillId="0" borderId="121" xfId="0" applyFont="1" applyBorder="1" applyAlignment="1">
      <alignment horizontal="left" vertical="top" indent="1"/>
    </xf>
    <xf numFmtId="0" fontId="222" fillId="0" borderId="126" xfId="0" applyFont="1" applyBorder="1" applyAlignment="1">
      <alignment horizontal="left" vertical="center"/>
    </xf>
    <xf numFmtId="0" fontId="222" fillId="0" borderId="127" xfId="0" applyFont="1" applyBorder="1" applyAlignment="1">
      <alignment horizontal="left"/>
    </xf>
    <xf numFmtId="0" fontId="218" fillId="0" borderId="121" xfId="0" applyFont="1" applyBorder="1" applyAlignment="1">
      <alignment horizontal="left" vertical="center" indent="1"/>
    </xf>
    <xf numFmtId="0" fontId="49" fillId="0" borderId="122" xfId="0" applyFont="1" applyBorder="1" applyAlignment="1">
      <alignment horizontal="left" vertical="center"/>
    </xf>
    <xf numFmtId="0" fontId="218" fillId="0" borderId="0" xfId="0" applyFont="1"/>
    <xf numFmtId="0" fontId="49" fillId="0" borderId="126" xfId="0" applyFont="1" applyBorder="1" applyAlignment="1">
      <alignment horizontal="left" vertical="top"/>
    </xf>
    <xf numFmtId="0" fontId="218" fillId="0" borderId="123" xfId="0" applyFont="1" applyBorder="1" applyAlignment="1">
      <alignment horizontal="left" indent="1"/>
    </xf>
    <xf numFmtId="0" fontId="218" fillId="0" borderId="124" xfId="0" applyFont="1" applyBorder="1"/>
    <xf numFmtId="0" fontId="95" fillId="0" borderId="124" xfId="0" applyFont="1" applyBorder="1" applyAlignment="1">
      <alignment horizontal="center" vertical="center"/>
    </xf>
    <xf numFmtId="0" fontId="218" fillId="0" borderId="130" xfId="0" applyFont="1" applyBorder="1"/>
    <xf numFmtId="0" fontId="218" fillId="0" borderId="131" xfId="0" applyFont="1" applyBorder="1" applyAlignment="1">
      <alignment horizontal="right" vertical="center"/>
    </xf>
    <xf numFmtId="0" fontId="231" fillId="0" borderId="132" xfId="0" applyFont="1" applyBorder="1" applyAlignment="1">
      <alignment horizontal="right"/>
    </xf>
    <xf numFmtId="0" fontId="218" fillId="0" borderId="133" xfId="0" applyFont="1" applyBorder="1"/>
    <xf numFmtId="14" fontId="230" fillId="0" borderId="134" xfId="0" applyNumberFormat="1" applyFont="1" applyBorder="1" applyAlignment="1">
      <alignment horizontal="right" vertical="center"/>
    </xf>
    <xf numFmtId="0" fontId="218" fillId="0" borderId="135" xfId="0" applyFont="1" applyBorder="1"/>
    <xf numFmtId="0" fontId="218" fillId="0" borderId="97" xfId="0" applyFont="1" applyBorder="1" applyAlignment="1">
      <alignment horizontal="right"/>
    </xf>
    <xf numFmtId="14" fontId="230" fillId="0" borderId="136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39" fillId="0" borderId="137" xfId="0" applyFont="1" applyBorder="1" applyAlignment="1">
      <alignment horizontal="center" vertical="center"/>
    </xf>
    <xf numFmtId="49" fontId="38" fillId="0" borderId="137" xfId="0" applyNumberFormat="1" applyFont="1" applyBorder="1" applyAlignment="1">
      <alignment vertical="center"/>
    </xf>
    <xf numFmtId="0" fontId="38" fillId="0" borderId="137" xfId="0" applyFont="1" applyBorder="1" applyAlignment="1">
      <alignment vertical="center"/>
    </xf>
    <xf numFmtId="0" fontId="4" fillId="0" borderId="137" xfId="1" applyBorder="1" applyAlignment="1">
      <alignment horizontal="left" vertical="center"/>
    </xf>
    <xf numFmtId="0" fontId="38" fillId="0" borderId="137" xfId="0" applyFont="1" applyBorder="1" applyAlignment="1">
      <alignment horizontal="left" vertical="center"/>
    </xf>
    <xf numFmtId="49" fontId="170" fillId="0" borderId="0" xfId="0" applyNumberFormat="1" applyFont="1" applyAlignment="1">
      <alignment vertical="center"/>
    </xf>
    <xf numFmtId="0" fontId="49" fillId="0" borderId="137" xfId="0" applyFont="1" applyBorder="1" applyAlignment="1">
      <alignment horizontal="center" vertical="center"/>
    </xf>
    <xf numFmtId="0" fontId="49" fillId="0" borderId="138" xfId="0" applyFont="1" applyBorder="1" applyAlignment="1">
      <alignment horizontal="center" vertical="center"/>
    </xf>
    <xf numFmtId="0" fontId="101" fillId="0" borderId="138" xfId="0" applyFont="1" applyBorder="1" applyAlignment="1">
      <alignment horizontal="left" vertical="center"/>
    </xf>
    <xf numFmtId="0" fontId="101" fillId="0" borderId="137" xfId="0" applyFont="1" applyBorder="1" applyAlignment="1">
      <alignment horizontal="left" vertical="center"/>
    </xf>
    <xf numFmtId="0" fontId="125" fillId="0" borderId="0" xfId="0" applyFont="1" applyAlignment="1">
      <alignment horizontal="centerContinuous" vertical="center"/>
    </xf>
    <xf numFmtId="0" fontId="259" fillId="0" borderId="0" xfId="0" applyFont="1" applyAlignment="1">
      <alignment vertical="center"/>
    </xf>
    <xf numFmtId="0" fontId="259" fillId="0" borderId="0" xfId="0" applyFont="1" applyAlignment="1">
      <alignment horizontal="center" vertical="center"/>
    </xf>
    <xf numFmtId="0" fontId="260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168" fontId="236" fillId="0" borderId="0" xfId="0" applyNumberFormat="1" applyFont="1" applyAlignment="1">
      <alignment vertical="center"/>
    </xf>
    <xf numFmtId="2" fontId="261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/>
    </xf>
    <xf numFmtId="0" fontId="261" fillId="0" borderId="0" xfId="0" applyFont="1" applyAlignment="1">
      <alignment horizontal="center"/>
    </xf>
    <xf numFmtId="1" fontId="39" fillId="0" borderId="0" xfId="0" applyNumberFormat="1" applyFont="1" applyAlignment="1">
      <alignment horizontal="center" vertical="center"/>
    </xf>
    <xf numFmtId="0" fontId="196" fillId="0" borderId="0" xfId="0" applyFont="1" applyAlignment="1">
      <alignment horizontal="centerContinuous" vertical="center"/>
    </xf>
    <xf numFmtId="14" fontId="163" fillId="0" borderId="0" xfId="0" applyNumberFormat="1" applyFont="1" applyAlignment="1">
      <alignment horizontal="center" vertical="center"/>
    </xf>
    <xf numFmtId="0" fontId="212" fillId="0" borderId="0" xfId="0" applyFont="1" applyAlignment="1">
      <alignment horizontal="center"/>
    </xf>
    <xf numFmtId="49" fontId="9" fillId="0" borderId="40" xfId="0" applyNumberFormat="1" applyFont="1" applyBorder="1" applyAlignment="1">
      <alignment horizontal="left" vertical="center"/>
    </xf>
    <xf numFmtId="172" fontId="9" fillId="0" borderId="40" xfId="0" applyNumberFormat="1" applyFont="1" applyBorder="1" applyAlignment="1">
      <alignment horizontal="left" vertical="center"/>
    </xf>
    <xf numFmtId="49" fontId="9" fillId="0" borderId="40" xfId="0" applyNumberFormat="1" applyFont="1" applyBorder="1" applyAlignment="1">
      <alignment horizontal="center" vertical="center"/>
    </xf>
    <xf numFmtId="0" fontId="9" fillId="0" borderId="40" xfId="0" applyFont="1" applyBorder="1"/>
    <xf numFmtId="2" fontId="39" fillId="0" borderId="0" xfId="0" applyNumberFormat="1" applyFont="1"/>
    <xf numFmtId="4" fontId="0" fillId="0" borderId="0" xfId="0" applyNumberFormat="1" applyAlignment="1">
      <alignment horizontal="right" vertical="center"/>
    </xf>
    <xf numFmtId="4" fontId="49" fillId="0" borderId="0" xfId="0" applyNumberFormat="1" applyFont="1" applyAlignment="1">
      <alignment horizontal="right" vertical="center"/>
    </xf>
    <xf numFmtId="0" fontId="248" fillId="0" borderId="0" xfId="0" applyFont="1" applyAlignment="1">
      <alignment horizontal="center" vertical="center"/>
    </xf>
    <xf numFmtId="169" fontId="101" fillId="0" borderId="0" xfId="0" applyNumberFormat="1" applyFont="1" applyAlignment="1">
      <alignment vertical="center"/>
    </xf>
    <xf numFmtId="4" fontId="49" fillId="0" borderId="0" xfId="0" applyNumberFormat="1" applyFont="1" applyAlignment="1">
      <alignment horizontal="right"/>
    </xf>
    <xf numFmtId="0" fontId="101" fillId="0" borderId="98" xfId="0" applyFont="1" applyBorder="1" applyAlignment="1">
      <alignment horizontal="center" vertical="center"/>
    </xf>
    <xf numFmtId="169" fontId="49" fillId="0" borderId="86" xfId="0" applyNumberFormat="1" applyFont="1" applyBorder="1" applyAlignment="1">
      <alignment vertical="center"/>
    </xf>
    <xf numFmtId="0" fontId="49" fillId="0" borderId="89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0" borderId="95" xfId="0" applyFont="1" applyBorder="1" applyAlignment="1">
      <alignment vertical="center" wrapText="1"/>
    </xf>
    <xf numFmtId="180" fontId="101" fillId="0" borderId="0" xfId="0" applyNumberFormat="1" applyFont="1" applyAlignment="1">
      <alignment horizontal="center" vertical="center"/>
    </xf>
    <xf numFmtId="4" fontId="101" fillId="0" borderId="0" xfId="0" applyNumberFormat="1" applyFont="1" applyAlignment="1">
      <alignment horizontal="center" vertical="center"/>
    </xf>
    <xf numFmtId="22" fontId="101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9" fillId="0" borderId="98" xfId="0" applyFont="1" applyBorder="1" applyAlignment="1">
      <alignment horizontal="center" vertical="center"/>
    </xf>
    <xf numFmtId="4" fontId="49" fillId="0" borderId="9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65" fillId="0" borderId="0" xfId="0" applyFont="1" applyAlignment="1">
      <alignment horizontal="right" vertical="center"/>
    </xf>
    <xf numFmtId="0" fontId="177" fillId="0" borderId="85" xfId="0" applyFont="1" applyBorder="1" applyAlignment="1">
      <alignment horizontal="center" vertical="center"/>
    </xf>
    <xf numFmtId="0" fontId="177" fillId="0" borderId="86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265" fillId="0" borderId="0" xfId="0" applyFont="1" applyAlignment="1">
      <alignment horizontal="right"/>
    </xf>
    <xf numFmtId="0" fontId="188" fillId="0" borderId="0" xfId="0" applyFont="1" applyAlignment="1">
      <alignment horizontal="right" vertical="center"/>
    </xf>
    <xf numFmtId="0" fontId="266" fillId="0" borderId="0" xfId="0" applyFont="1" applyAlignment="1">
      <alignment horizontal="center" vertical="center"/>
    </xf>
    <xf numFmtId="2" fontId="96" fillId="0" borderId="0" xfId="0" applyNumberFormat="1" applyFont="1" applyAlignment="1">
      <alignment horizontal="right" vertical="center"/>
    </xf>
    <xf numFmtId="1" fontId="101" fillId="0" borderId="0" xfId="0" applyNumberFormat="1" applyFont="1" applyAlignment="1">
      <alignment horizontal="left" vertical="center"/>
    </xf>
    <xf numFmtId="0" fontId="153" fillId="0" borderId="0" xfId="0" applyFont="1"/>
    <xf numFmtId="0" fontId="79" fillId="0" borderId="0" xfId="0" applyFont="1" applyAlignment="1">
      <alignment horizontal="center"/>
    </xf>
    <xf numFmtId="0" fontId="49" fillId="5" borderId="98" xfId="0" applyFont="1" applyFill="1" applyBorder="1" applyAlignment="1" applyProtection="1">
      <alignment horizontal="left" vertical="center"/>
      <protection locked="0"/>
    </xf>
    <xf numFmtId="0" fontId="101" fillId="0" borderId="98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left" vertical="center"/>
    </xf>
    <xf numFmtId="0" fontId="49" fillId="0" borderId="98" xfId="0" applyFont="1" applyBorder="1" applyAlignment="1">
      <alignment horizontal="left" vertical="center"/>
    </xf>
    <xf numFmtId="49" fontId="101" fillId="0" borderId="98" xfId="0" applyNumberFormat="1" applyFont="1" applyBorder="1" applyAlignment="1">
      <alignment horizontal="left" vertical="center"/>
    </xf>
    <xf numFmtId="0" fontId="101" fillId="0" borderId="98" xfId="0" applyFont="1" applyBorder="1" applyAlignment="1">
      <alignment vertical="center"/>
    </xf>
    <xf numFmtId="0" fontId="49" fillId="0" borderId="98" xfId="0" applyFont="1" applyBorder="1" applyAlignment="1">
      <alignment vertical="center"/>
    </xf>
    <xf numFmtId="4" fontId="248" fillId="0" borderId="0" xfId="0" applyNumberFormat="1" applyFont="1" applyAlignment="1">
      <alignment horizontal="right" vertical="center"/>
    </xf>
    <xf numFmtId="4" fontId="269" fillId="0" borderId="0" xfId="0" applyNumberFormat="1" applyFont="1" applyAlignment="1">
      <alignment horizontal="left" vertical="center"/>
    </xf>
    <xf numFmtId="0" fontId="269" fillId="0" borderId="0" xfId="0" applyFont="1" applyAlignment="1">
      <alignment horizontal="left" vertical="center"/>
    </xf>
    <xf numFmtId="0" fontId="118" fillId="0" borderId="0" xfId="0" applyFont="1" applyAlignment="1">
      <alignment horizontal="centerContinuous" vertical="center"/>
    </xf>
    <xf numFmtId="49" fontId="118" fillId="0" borderId="0" xfId="0" applyNumberFormat="1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169" fontId="38" fillId="0" borderId="0" xfId="0" applyNumberFormat="1" applyFont="1" applyAlignment="1">
      <alignment horizontal="center" vertical="center"/>
    </xf>
    <xf numFmtId="169" fontId="38" fillId="0" borderId="0" xfId="0" applyNumberFormat="1" applyFont="1" applyAlignment="1">
      <alignment horizontal="centerContinuous" vertical="center"/>
    </xf>
    <xf numFmtId="169" fontId="176" fillId="0" borderId="0" xfId="0" applyNumberFormat="1" applyFont="1" applyAlignment="1">
      <alignment horizontal="centerContinuous" vertical="center"/>
    </xf>
    <xf numFmtId="0" fontId="155" fillId="0" borderId="0" xfId="0" applyFont="1" applyAlignment="1">
      <alignment horizontal="left" vertical="center"/>
    </xf>
    <xf numFmtId="169" fontId="49" fillId="0" borderId="98" xfId="0" applyNumberFormat="1" applyFont="1" applyBorder="1" applyAlignment="1">
      <alignment horizontal="right" vertical="center"/>
    </xf>
    <xf numFmtId="169" fontId="49" fillId="0" borderId="98" xfId="0" applyNumberFormat="1" applyFont="1" applyBorder="1" applyAlignment="1">
      <alignment horizontal="center" vertical="center"/>
    </xf>
    <xf numFmtId="0" fontId="101" fillId="0" borderId="40" xfId="0" applyFont="1" applyBorder="1" applyAlignment="1">
      <alignment horizontal="center" vertical="center"/>
    </xf>
    <xf numFmtId="0" fontId="153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113" fillId="4" borderId="44" xfId="0" applyFont="1" applyFill="1" applyBorder="1" applyAlignment="1">
      <alignment horizontal="center" vertical="top"/>
    </xf>
    <xf numFmtId="0" fontId="101" fillId="0" borderId="55" xfId="0" applyFont="1" applyBorder="1" applyAlignment="1">
      <alignment horizontal="center"/>
    </xf>
    <xf numFmtId="0" fontId="137" fillId="4" borderId="43" xfId="0" applyFont="1" applyFill="1" applyBorder="1" applyAlignment="1">
      <alignment horizontal="center" vertical="center"/>
    </xf>
    <xf numFmtId="0" fontId="151" fillId="4" borderId="40" xfId="0" applyFont="1" applyFill="1" applyBorder="1" applyAlignment="1">
      <alignment horizontal="center" vertical="center"/>
    </xf>
    <xf numFmtId="14" fontId="96" fillId="5" borderId="40" xfId="0" applyNumberFormat="1" applyFont="1" applyFill="1" applyBorder="1" applyAlignment="1">
      <alignment horizontal="left" vertical="center"/>
    </xf>
    <xf numFmtId="0" fontId="133" fillId="5" borderId="40" xfId="0" applyFont="1" applyFill="1" applyBorder="1" applyAlignment="1">
      <alignment horizontal="center" vertical="center"/>
    </xf>
    <xf numFmtId="0" fontId="130" fillId="5" borderId="40" xfId="0" applyFont="1" applyFill="1" applyBorder="1" applyAlignment="1">
      <alignment horizontal="center" vertical="center"/>
    </xf>
    <xf numFmtId="0" fontId="48" fillId="5" borderId="40" xfId="0" applyFont="1" applyFill="1" applyBorder="1" applyAlignment="1">
      <alignment vertical="center"/>
    </xf>
    <xf numFmtId="0" fontId="101" fillId="5" borderId="40" xfId="0" applyFont="1" applyFill="1" applyBorder="1" applyAlignment="1">
      <alignment horizontal="left" vertical="center"/>
    </xf>
    <xf numFmtId="0" fontId="48" fillId="5" borderId="40" xfId="0" applyFont="1" applyFill="1" applyBorder="1" applyAlignment="1">
      <alignment horizontal="left" vertical="center"/>
    </xf>
    <xf numFmtId="0" fontId="49" fillId="5" borderId="40" xfId="0" applyFont="1" applyFill="1" applyBorder="1" applyAlignment="1">
      <alignment horizontal="left" vertical="center"/>
    </xf>
    <xf numFmtId="0" fontId="155" fillId="4" borderId="43" xfId="0" applyFont="1" applyFill="1" applyBorder="1" applyAlignment="1">
      <alignment horizontal="center" vertical="center"/>
    </xf>
    <xf numFmtId="0" fontId="113" fillId="4" borderId="44" xfId="0" applyFont="1" applyFill="1" applyBorder="1" applyAlignment="1">
      <alignment horizontal="center" vertical="center"/>
    </xf>
    <xf numFmtId="0" fontId="155" fillId="4" borderId="43" xfId="0" applyFont="1" applyFill="1" applyBorder="1" applyAlignment="1">
      <alignment horizontal="center"/>
    </xf>
    <xf numFmtId="0" fontId="264" fillId="0" borderId="0" xfId="0" applyFont="1" applyAlignment="1">
      <alignment horizontal="centerContinuous"/>
    </xf>
    <xf numFmtId="0" fontId="49" fillId="0" borderId="40" xfId="0" applyFont="1" applyBorder="1" applyAlignment="1">
      <alignment horizontal="left"/>
    </xf>
    <xf numFmtId="0" fontId="101" fillId="0" borderId="40" xfId="0" applyFont="1" applyBorder="1" applyAlignment="1">
      <alignment horizontal="left"/>
    </xf>
    <xf numFmtId="0" fontId="48" fillId="0" borderId="40" xfId="0" applyFont="1" applyBorder="1" applyAlignment="1">
      <alignment horizontal="center"/>
    </xf>
    <xf numFmtId="0" fontId="49" fillId="0" borderId="55" xfId="0" applyFont="1" applyBorder="1" applyAlignment="1">
      <alignment horizontal="center"/>
    </xf>
    <xf numFmtId="0" fontId="101" fillId="0" borderId="52" xfId="0" applyFont="1" applyBorder="1" applyAlignment="1">
      <alignment horizontal="left"/>
    </xf>
    <xf numFmtId="0" fontId="113" fillId="4" borderId="71" xfId="0" applyFont="1" applyFill="1" applyBorder="1" applyAlignment="1">
      <alignment horizontal="centerContinuous" vertical="top"/>
    </xf>
    <xf numFmtId="0" fontId="49" fillId="0" borderId="55" xfId="0" applyFont="1" applyBorder="1" applyAlignment="1">
      <alignment horizontal="left"/>
    </xf>
    <xf numFmtId="0" fontId="49" fillId="0" borderId="52" xfId="0" applyFont="1" applyBorder="1" applyAlignment="1">
      <alignment horizontal="center"/>
    </xf>
    <xf numFmtId="14" fontId="101" fillId="0" borderId="55" xfId="0" applyNumberFormat="1" applyFont="1" applyBorder="1" applyAlignment="1">
      <alignment horizontal="center"/>
    </xf>
    <xf numFmtId="2" fontId="48" fillId="0" borderId="52" xfId="0" applyNumberFormat="1" applyFont="1" applyBorder="1" applyAlignment="1">
      <alignment horizontal="right"/>
    </xf>
    <xf numFmtId="4" fontId="101" fillId="0" borderId="52" xfId="0" applyNumberFormat="1" applyFont="1" applyBorder="1" applyAlignment="1">
      <alignment horizontal="right"/>
    </xf>
    <xf numFmtId="2" fontId="48" fillId="0" borderId="51" xfId="0" applyNumberFormat="1" applyFont="1" applyBorder="1" applyAlignment="1">
      <alignment horizontal="right"/>
    </xf>
    <xf numFmtId="2" fontId="9" fillId="0" borderId="52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Continuous" vertical="center"/>
    </xf>
    <xf numFmtId="0" fontId="101" fillId="0" borderId="55" xfId="0" applyFont="1" applyBorder="1" applyAlignment="1">
      <alignment horizontal="right"/>
    </xf>
    <xf numFmtId="2" fontId="49" fillId="0" borderId="52" xfId="0" applyNumberFormat="1" applyFont="1" applyBorder="1"/>
    <xf numFmtId="176" fontId="101" fillId="0" borderId="55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" vertical="top"/>
    </xf>
    <xf numFmtId="168" fontId="9" fillId="0" borderId="0" xfId="0" applyNumberFormat="1" applyFont="1"/>
    <xf numFmtId="2" fontId="48" fillId="0" borderId="51" xfId="0" applyNumberFormat="1" applyFont="1" applyBorder="1" applyAlignment="1">
      <alignment horizontal="right" vertical="center"/>
    </xf>
    <xf numFmtId="0" fontId="101" fillId="0" borderId="51" xfId="0" applyFont="1" applyBorder="1" applyAlignment="1">
      <alignment horizontal="right" vertical="center"/>
    </xf>
    <xf numFmtId="2" fontId="96" fillId="0" borderId="51" xfId="0" applyNumberFormat="1" applyFont="1" applyBorder="1" applyAlignment="1">
      <alignment horizontal="right" vertical="center"/>
    </xf>
    <xf numFmtId="0" fontId="275" fillId="4" borderId="43" xfId="0" applyFont="1" applyFill="1" applyBorder="1" applyAlignment="1">
      <alignment horizontal="center" vertical="center"/>
    </xf>
    <xf numFmtId="0" fontId="275" fillId="4" borderId="43" xfId="0" applyFont="1" applyFill="1" applyBorder="1" applyAlignment="1">
      <alignment horizontal="centerContinuous" vertical="center"/>
    </xf>
    <xf numFmtId="0" fontId="275" fillId="4" borderId="40" xfId="0" applyFont="1" applyFill="1" applyBorder="1" applyAlignment="1">
      <alignment horizontal="centerContinuous" vertical="center"/>
    </xf>
    <xf numFmtId="0" fontId="120" fillId="5" borderId="0" xfId="0" applyFont="1" applyFill="1" applyAlignment="1">
      <alignment horizontal="left"/>
    </xf>
    <xf numFmtId="0" fontId="120" fillId="5" borderId="87" xfId="0" applyFont="1" applyFill="1" applyBorder="1" applyAlignment="1">
      <alignment horizontal="left"/>
    </xf>
    <xf numFmtId="0" fontId="120" fillId="5" borderId="87" xfId="0" applyFont="1" applyFill="1" applyBorder="1" applyAlignment="1">
      <alignment horizontal="center" vertical="center"/>
    </xf>
    <xf numFmtId="0" fontId="92" fillId="5" borderId="0" xfId="0" applyFont="1" applyFill="1" applyAlignment="1">
      <alignment horizontal="center" vertical="center"/>
    </xf>
    <xf numFmtId="0" fontId="54" fillId="5" borderId="0" xfId="0" applyFont="1" applyFill="1" applyAlignment="1">
      <alignment horizontal="left" vertical="center"/>
    </xf>
    <xf numFmtId="0" fontId="67" fillId="0" borderId="0" xfId="0" applyFont="1" applyAlignment="1">
      <alignment horizontal="center" vertical="center"/>
    </xf>
    <xf numFmtId="0" fontId="68" fillId="0" borderId="0" xfId="0" applyFont="1"/>
    <xf numFmtId="0" fontId="79" fillId="0" borderId="0" xfId="0" applyFont="1" applyAlignment="1">
      <alignment horizontal="center" vertical="center" wrapText="1"/>
    </xf>
    <xf numFmtId="0" fontId="68" fillId="0" borderId="73" xfId="0" applyFont="1" applyBorder="1"/>
    <xf numFmtId="0" fontId="146" fillId="4" borderId="43" xfId="0" applyFont="1" applyFill="1" applyBorder="1" applyAlignment="1">
      <alignment horizontal="center"/>
    </xf>
    <xf numFmtId="49" fontId="146" fillId="4" borderId="43" xfId="0" applyNumberFormat="1" applyFont="1" applyFill="1" applyBorder="1" applyAlignment="1">
      <alignment horizontal="center"/>
    </xf>
    <xf numFmtId="49" fontId="276" fillId="0" borderId="0" xfId="0" applyNumberFormat="1" applyFont="1" applyAlignment="1">
      <alignment horizontal="centerContinuous" vertical="center"/>
    </xf>
    <xf numFmtId="49" fontId="170" fillId="0" borderId="0" xfId="0" applyNumberFormat="1" applyFont="1" applyAlignment="1">
      <alignment horizontal="centerContinuous" vertical="center"/>
    </xf>
    <xf numFmtId="0" fontId="163" fillId="5" borderId="157" xfId="0" applyFont="1" applyFill="1" applyBorder="1" applyAlignment="1">
      <alignment vertical="center"/>
    </xf>
    <xf numFmtId="0" fontId="163" fillId="5" borderId="158" xfId="0" applyFont="1" applyFill="1" applyBorder="1" applyAlignment="1">
      <alignment vertical="center"/>
    </xf>
    <xf numFmtId="0" fontId="163" fillId="5" borderId="57" xfId="0" applyFont="1" applyFill="1" applyBorder="1" applyAlignment="1">
      <alignment horizontal="center" vertical="center"/>
    </xf>
    <xf numFmtId="0" fontId="44" fillId="5" borderId="57" xfId="0" applyFont="1" applyFill="1" applyBorder="1"/>
    <xf numFmtId="0" fontId="44" fillId="5" borderId="57" xfId="0" applyFont="1" applyFill="1" applyBorder="1" applyAlignment="1">
      <alignment horizontal="center" vertical="center"/>
    </xf>
    <xf numFmtId="0" fontId="39" fillId="5" borderId="57" xfId="0" applyFont="1" applyFill="1" applyBorder="1" applyAlignment="1">
      <alignment horizontal="center" vertical="center"/>
    </xf>
    <xf numFmtId="0" fontId="39" fillId="5" borderId="57" xfId="0" applyFont="1" applyFill="1" applyBorder="1"/>
    <xf numFmtId="0" fontId="39" fillId="5" borderId="161" xfId="0" applyFont="1" applyFill="1" applyBorder="1"/>
    <xf numFmtId="0" fontId="249" fillId="5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center" vertical="top"/>
    </xf>
    <xf numFmtId="0" fontId="249" fillId="0" borderId="0" xfId="0" applyFont="1" applyAlignment="1">
      <alignment horizontal="left" vertical="center"/>
    </xf>
    <xf numFmtId="0" fontId="250" fillId="0" borderId="0" xfId="0" applyFont="1" applyAlignment="1">
      <alignment horizontal="center" wrapText="1"/>
    </xf>
    <xf numFmtId="0" fontId="250" fillId="0" borderId="0" xfId="0" applyFont="1" applyAlignment="1">
      <alignment vertical="top" wrapText="1"/>
    </xf>
    <xf numFmtId="0" fontId="44" fillId="5" borderId="163" xfId="0" applyFont="1" applyFill="1" applyBorder="1"/>
    <xf numFmtId="0" fontId="0" fillId="5" borderId="164" xfId="0" applyFill="1" applyBorder="1"/>
    <xf numFmtId="177" fontId="49" fillId="5" borderId="164" xfId="0" applyNumberFormat="1" applyFont="1" applyFill="1" applyBorder="1" applyAlignment="1">
      <alignment horizontal="left" vertical="top"/>
    </xf>
    <xf numFmtId="0" fontId="44" fillId="5" borderId="164" xfId="0" applyFont="1" applyFill="1" applyBorder="1"/>
    <xf numFmtId="0" fontId="279" fillId="5" borderId="159" xfId="0" applyFont="1" applyFill="1" applyBorder="1" applyAlignment="1">
      <alignment vertical="center"/>
    </xf>
    <xf numFmtId="0" fontId="279" fillId="5" borderId="160" xfId="0" applyFont="1" applyFill="1" applyBorder="1" applyAlignment="1">
      <alignment horizontal="center" vertical="center"/>
    </xf>
    <xf numFmtId="0" fontId="63" fillId="5" borderId="160" xfId="0" applyFont="1" applyFill="1" applyBorder="1" applyAlignment="1">
      <alignment horizontal="center" vertical="center"/>
    </xf>
    <xf numFmtId="0" fontId="68" fillId="5" borderId="160" xfId="0" applyFont="1" applyFill="1" applyBorder="1" applyAlignment="1">
      <alignment horizontal="center" vertical="center"/>
    </xf>
    <xf numFmtId="0" fontId="63" fillId="5" borderId="160" xfId="0" applyFont="1" applyFill="1" applyBorder="1"/>
    <xf numFmtId="0" fontId="92" fillId="5" borderId="162" xfId="0" applyFont="1" applyFill="1" applyBorder="1" applyAlignment="1">
      <alignment horizontal="center" vertical="center"/>
    </xf>
    <xf numFmtId="0" fontId="193" fillId="5" borderId="160" xfId="0" applyFont="1" applyFill="1" applyBorder="1" applyAlignment="1">
      <alignment horizontal="center" vertical="center"/>
    </xf>
    <xf numFmtId="0" fontId="68" fillId="5" borderId="160" xfId="0" applyFont="1" applyFill="1" applyBorder="1"/>
    <xf numFmtId="0" fontId="63" fillId="5" borderId="160" xfId="0" applyFont="1" applyFill="1" applyBorder="1" applyAlignment="1">
      <alignment horizontal="center"/>
    </xf>
    <xf numFmtId="0" fontId="92" fillId="5" borderId="160" xfId="0" applyFont="1" applyFill="1" applyBorder="1" applyAlignment="1">
      <alignment horizontal="center" vertical="center"/>
    </xf>
    <xf numFmtId="0" fontId="68" fillId="5" borderId="165" xfId="0" applyFont="1" applyFill="1" applyBorder="1"/>
    <xf numFmtId="0" fontId="226" fillId="0" borderId="55" xfId="0" applyFont="1" applyBorder="1" applyAlignment="1">
      <alignment horizontal="left" vertical="center"/>
    </xf>
    <xf numFmtId="1" fontId="280" fillId="0" borderId="0" xfId="0" applyNumberFormat="1" applyFont="1" applyAlignment="1">
      <alignment horizontal="center" vertical="center"/>
    </xf>
    <xf numFmtId="0" fontId="226" fillId="0" borderId="51" xfId="0" applyFont="1" applyBorder="1" applyAlignment="1">
      <alignment horizontal="center" vertical="center"/>
    </xf>
    <xf numFmtId="0" fontId="226" fillId="0" borderId="52" xfId="0" applyFont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 wrapText="1"/>
    </xf>
    <xf numFmtId="49" fontId="137" fillId="4" borderId="43" xfId="0" applyNumberFormat="1" applyFont="1" applyFill="1" applyBorder="1" applyAlignment="1">
      <alignment horizontal="center" vertical="center"/>
    </xf>
    <xf numFmtId="49" fontId="137" fillId="4" borderId="43" xfId="0" applyNumberFormat="1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 wrapText="1"/>
    </xf>
    <xf numFmtId="171" fontId="49" fillId="0" borderId="0" xfId="0" applyNumberFormat="1" applyFont="1" applyAlignment="1">
      <alignment horizontal="centerContinuous" vertical="center" wrapText="1"/>
    </xf>
    <xf numFmtId="49" fontId="39" fillId="0" borderId="0" xfId="0" applyNumberFormat="1" applyFont="1" applyAlignment="1">
      <alignment horizontal="centerContinuous" vertical="center" wrapText="1"/>
    </xf>
    <xf numFmtId="0" fontId="137" fillId="4" borderId="43" xfId="0" applyFont="1" applyFill="1" applyBorder="1" applyAlignment="1">
      <alignment horizontal="center"/>
    </xf>
    <xf numFmtId="0" fontId="281" fillId="0" borderId="0" xfId="0" applyFont="1" applyAlignment="1">
      <alignment horizontal="left" vertical="center"/>
    </xf>
    <xf numFmtId="0" fontId="272" fillId="0" borderId="0" xfId="0" applyFont="1" applyAlignment="1">
      <alignment horizontal="centerContinuous"/>
    </xf>
    <xf numFmtId="0" fontId="49" fillId="0" borderId="113" xfId="0" applyFont="1" applyBorder="1" applyAlignment="1">
      <alignment horizontal="center" vertical="center"/>
    </xf>
    <xf numFmtId="0" fontId="101" fillId="0" borderId="113" xfId="0" applyFont="1" applyBorder="1" applyAlignment="1">
      <alignment horizontal="left"/>
    </xf>
    <xf numFmtId="49" fontId="101" fillId="0" borderId="113" xfId="0" applyNumberFormat="1" applyFont="1" applyBorder="1" applyAlignment="1">
      <alignment horizontal="left" vertical="center"/>
    </xf>
    <xf numFmtId="49" fontId="49" fillId="0" borderId="113" xfId="0" applyNumberFormat="1" applyFont="1" applyBorder="1" applyAlignment="1">
      <alignment horizontal="left" vertical="center"/>
    </xf>
    <xf numFmtId="0" fontId="137" fillId="4" borderId="40" xfId="0" applyFont="1" applyFill="1" applyBorder="1" applyAlignment="1">
      <alignment horizontal="center"/>
    </xf>
    <xf numFmtId="0" fontId="104" fillId="4" borderId="40" xfId="0" applyFont="1" applyFill="1" applyBorder="1" applyAlignment="1">
      <alignment horizontal="center" vertical="top"/>
    </xf>
    <xf numFmtId="0" fontId="104" fillId="4" borderId="90" xfId="0" applyFont="1" applyFill="1" applyBorder="1" applyAlignment="1">
      <alignment horizontal="centerContinuous" vertical="top"/>
    </xf>
    <xf numFmtId="0" fontId="104" fillId="4" borderId="0" xfId="0" applyFont="1" applyFill="1" applyAlignment="1">
      <alignment horizontal="centerContinuous" vertical="top"/>
    </xf>
    <xf numFmtId="0" fontId="104" fillId="4" borderId="91" xfId="0" applyFont="1" applyFill="1" applyBorder="1" applyAlignment="1">
      <alignment horizontal="centerContinuous" vertical="top"/>
    </xf>
    <xf numFmtId="0" fontId="104" fillId="4" borderId="112" xfId="0" applyFont="1" applyFill="1" applyBorder="1" applyAlignment="1">
      <alignment horizontal="center" vertical="center"/>
    </xf>
    <xf numFmtId="0" fontId="104" fillId="4" borderId="90" xfId="0" applyFont="1" applyFill="1" applyBorder="1" applyAlignment="1">
      <alignment horizontal="center" vertical="center"/>
    </xf>
    <xf numFmtId="0" fontId="104" fillId="4" borderId="98" xfId="0" applyFont="1" applyFill="1" applyBorder="1" applyAlignment="1">
      <alignment horizontal="center" vertical="center"/>
    </xf>
    <xf numFmtId="0" fontId="155" fillId="4" borderId="98" xfId="0" applyFont="1" applyFill="1" applyBorder="1" applyAlignment="1">
      <alignment horizontal="center" vertical="center"/>
    </xf>
    <xf numFmtId="0" fontId="113" fillId="4" borderId="113" xfId="0" applyFont="1" applyFill="1" applyBorder="1" applyAlignment="1">
      <alignment horizontal="center" vertical="top"/>
    </xf>
    <xf numFmtId="0" fontId="113" fillId="4" borderId="155" xfId="0" applyFont="1" applyFill="1" applyBorder="1" applyAlignment="1">
      <alignment horizontal="center" vertical="top"/>
    </xf>
    <xf numFmtId="0" fontId="281" fillId="0" borderId="0" xfId="0" applyFont="1" applyAlignment="1">
      <alignment horizontal="centerContinuous" vertical="center"/>
    </xf>
    <xf numFmtId="0" fontId="128" fillId="0" borderId="0" xfId="0" applyFont="1"/>
    <xf numFmtId="0" fontId="155" fillId="4" borderId="112" xfId="0" applyFont="1" applyFill="1" applyBorder="1" applyAlignment="1">
      <alignment horizontal="center"/>
    </xf>
    <xf numFmtId="0" fontId="128" fillId="0" borderId="0" xfId="0" applyFont="1" applyAlignment="1">
      <alignment horizontal="centerContinuous"/>
    </xf>
    <xf numFmtId="0" fontId="155" fillId="4" borderId="112" xfId="0" applyFont="1" applyFill="1" applyBorder="1" applyAlignment="1">
      <alignment horizontal="center" vertical="top"/>
    </xf>
    <xf numFmtId="0" fontId="146" fillId="4" borderId="43" xfId="0" applyFont="1" applyFill="1" applyBorder="1" applyAlignment="1">
      <alignment horizontal="center" vertical="center"/>
    </xf>
    <xf numFmtId="0" fontId="39" fillId="0" borderId="166" xfId="0" applyFont="1" applyBorder="1" applyAlignment="1">
      <alignment horizontal="center" vertical="center"/>
    </xf>
    <xf numFmtId="0" fontId="119" fillId="0" borderId="96" xfId="0" applyFont="1" applyBorder="1" applyAlignment="1">
      <alignment horizontal="center"/>
    </xf>
    <xf numFmtId="0" fontId="80" fillId="5" borderId="157" xfId="0" applyFont="1" applyFill="1" applyBorder="1" applyAlignment="1">
      <alignment horizontal="left" vertical="center"/>
    </xf>
    <xf numFmtId="0" fontId="80" fillId="5" borderId="158" xfId="0" applyFont="1" applyFill="1" applyBorder="1" applyAlignment="1">
      <alignment horizontal="left" vertical="center"/>
    </xf>
    <xf numFmtId="0" fontId="49" fillId="5" borderId="158" xfId="0" applyFont="1" applyFill="1" applyBorder="1" applyAlignment="1">
      <alignment horizontal="left" vertical="center"/>
    </xf>
    <xf numFmtId="1" fontId="10" fillId="5" borderId="158" xfId="0" applyNumberFormat="1" applyFont="1" applyFill="1" applyBorder="1"/>
    <xf numFmtId="0" fontId="10" fillId="5" borderId="159" xfId="0" applyFont="1" applyFill="1" applyBorder="1"/>
    <xf numFmtId="0" fontId="80" fillId="5" borderId="57" xfId="0" applyFont="1" applyFill="1" applyBorder="1" applyAlignment="1">
      <alignment horizontal="left" vertical="center"/>
    </xf>
    <xf numFmtId="0" fontId="80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/>
    </xf>
    <xf numFmtId="1" fontId="10" fillId="5" borderId="0" xfId="0" applyNumberFormat="1" applyFont="1" applyFill="1"/>
    <xf numFmtId="0" fontId="10" fillId="5" borderId="160" xfId="0" applyFont="1" applyFill="1" applyBorder="1"/>
    <xf numFmtId="0" fontId="0" fillId="5" borderId="0" xfId="0" applyFill="1"/>
    <xf numFmtId="0" fontId="147" fillId="5" borderId="57" xfId="0" applyFont="1" applyFill="1" applyBorder="1" applyAlignment="1">
      <alignment horizontal="center" vertical="center"/>
    </xf>
    <xf numFmtId="0" fontId="148" fillId="5" borderId="57" xfId="0" applyFont="1" applyFill="1" applyBorder="1" applyAlignment="1">
      <alignment horizontal="center" vertical="center"/>
    </xf>
    <xf numFmtId="174" fontId="68" fillId="5" borderId="0" xfId="0" applyNumberFormat="1" applyFont="1" applyFill="1" applyAlignment="1" applyProtection="1">
      <alignment horizontal="left" vertical="center"/>
      <protection locked="0"/>
    </xf>
    <xf numFmtId="0" fontId="209" fillId="5" borderId="0" xfId="0" applyFont="1" applyFill="1"/>
    <xf numFmtId="0" fontId="0" fillId="5" borderId="160" xfId="0" applyFill="1" applyBorder="1"/>
    <xf numFmtId="0" fontId="120" fillId="4" borderId="40" xfId="0" applyFont="1" applyFill="1" applyBorder="1" applyAlignment="1">
      <alignment horizontal="center" vertical="center"/>
    </xf>
    <xf numFmtId="0" fontId="120" fillId="4" borderId="52" xfId="0" applyFont="1" applyFill="1" applyBorder="1" applyAlignment="1">
      <alignment horizontal="center" vertical="center"/>
    </xf>
    <xf numFmtId="0" fontId="155" fillId="4" borderId="88" xfId="0" applyFont="1" applyFill="1" applyBorder="1" applyAlignment="1">
      <alignment horizontal="centerContinuous"/>
    </xf>
    <xf numFmtId="0" fontId="155" fillId="4" borderId="87" xfId="0" applyFont="1" applyFill="1" applyBorder="1" applyAlignment="1">
      <alignment horizontal="centerContinuous"/>
    </xf>
    <xf numFmtId="0" fontId="155" fillId="4" borderId="88" xfId="0" applyFont="1" applyFill="1" applyBorder="1" applyAlignment="1">
      <alignment horizontal="center"/>
    </xf>
    <xf numFmtId="0" fontId="155" fillId="4" borderId="98" xfId="0" applyFont="1" applyFill="1" applyBorder="1" applyAlignment="1">
      <alignment horizontal="centerContinuous"/>
    </xf>
    <xf numFmtId="0" fontId="155" fillId="4" borderId="98" xfId="0" applyFont="1" applyFill="1" applyBorder="1" applyAlignment="1">
      <alignment horizontal="center"/>
    </xf>
    <xf numFmtId="0" fontId="155" fillId="4" borderId="155" xfId="0" applyFont="1" applyFill="1" applyBorder="1" applyAlignment="1">
      <alignment horizontal="center" vertical="top"/>
    </xf>
    <xf numFmtId="0" fontId="262" fillId="0" borderId="0" xfId="0" applyFont="1" applyAlignment="1">
      <alignment horizontal="left" vertical="center"/>
    </xf>
    <xf numFmtId="0" fontId="263" fillId="0" borderId="0" xfId="0" applyFont="1" applyAlignment="1">
      <alignment horizontal="left" vertical="center"/>
    </xf>
    <xf numFmtId="4" fontId="263" fillId="0" borderId="0" xfId="0" applyNumberFormat="1" applyFont="1" applyAlignment="1">
      <alignment horizontal="left" vertical="center"/>
    </xf>
    <xf numFmtId="0" fontId="113" fillId="4" borderId="40" xfId="0" applyFont="1" applyFill="1" applyBorder="1" applyAlignment="1">
      <alignment horizontal="center" vertical="center"/>
    </xf>
    <xf numFmtId="0" fontId="104" fillId="4" borderId="40" xfId="0" applyFont="1" applyFill="1" applyBorder="1" applyAlignment="1">
      <alignment horizontal="center" vertical="center"/>
    </xf>
    <xf numFmtId="49" fontId="113" fillId="4" borderId="40" xfId="0" applyNumberFormat="1" applyFont="1" applyFill="1" applyBorder="1" applyAlignment="1">
      <alignment horizontal="center" vertical="center"/>
    </xf>
    <xf numFmtId="1" fontId="104" fillId="4" borderId="40" xfId="0" applyNumberFormat="1" applyFont="1" applyFill="1" applyBorder="1" applyAlignment="1">
      <alignment horizontal="center" vertical="center"/>
    </xf>
    <xf numFmtId="0" fontId="113" fillId="4" borderId="17" xfId="0" applyFont="1" applyFill="1" applyBorder="1" applyAlignment="1">
      <alignment horizontal="center" vertical="center"/>
    </xf>
    <xf numFmtId="49" fontId="286" fillId="0" borderId="0" xfId="0" applyNumberFormat="1" applyFont="1"/>
    <xf numFmtId="49" fontId="286" fillId="0" borderId="0" xfId="0" applyNumberFormat="1" applyFont="1" applyAlignment="1">
      <alignment horizontal="center" vertical="center"/>
    </xf>
    <xf numFmtId="0" fontId="104" fillId="4" borderId="99" xfId="0" applyFont="1" applyFill="1" applyBorder="1" applyAlignment="1">
      <alignment horizontal="center" vertical="center"/>
    </xf>
    <xf numFmtId="0" fontId="287" fillId="0" borderId="0" xfId="0" applyFont="1" applyAlignment="1">
      <alignment horizontal="centerContinuous" vertical="center"/>
    </xf>
    <xf numFmtId="0" fontId="288" fillId="0" borderId="0" xfId="0" applyFont="1" applyAlignment="1">
      <alignment horizontal="centerContinuous" vertical="center"/>
    </xf>
    <xf numFmtId="0" fontId="137" fillId="4" borderId="139" xfId="0" applyFont="1" applyFill="1" applyBorder="1" applyAlignment="1">
      <alignment horizontal="center" vertical="center"/>
    </xf>
    <xf numFmtId="0" fontId="104" fillId="4" borderId="138" xfId="0" applyFont="1" applyFill="1" applyBorder="1" applyAlignment="1">
      <alignment horizontal="center" vertical="center"/>
    </xf>
    <xf numFmtId="0" fontId="287" fillId="0" borderId="0" xfId="0" applyFont="1"/>
    <xf numFmtId="0" fontId="287" fillId="0" borderId="0" xfId="0" applyFont="1" applyAlignment="1">
      <alignment horizontal="center" vertical="center"/>
    </xf>
    <xf numFmtId="0" fontId="285" fillId="0" borderId="40" xfId="0" applyFont="1" applyBorder="1" applyAlignment="1">
      <alignment horizontal="center" vertical="center"/>
    </xf>
    <xf numFmtId="0" fontId="55" fillId="0" borderId="0" xfId="0" applyFont="1"/>
    <xf numFmtId="0" fontId="289" fillId="4" borderId="67" xfId="0" applyFont="1" applyFill="1" applyBorder="1" applyAlignment="1">
      <alignment horizontal="center"/>
    </xf>
    <xf numFmtId="0" fontId="208" fillId="4" borderId="68" xfId="0" applyFont="1" applyFill="1" applyBorder="1" applyAlignment="1">
      <alignment horizontal="center" vertical="top"/>
    </xf>
    <xf numFmtId="0" fontId="44" fillId="0" borderId="28" xfId="0" applyFont="1" applyBorder="1" applyAlignment="1">
      <alignment horizontal="center" vertical="center"/>
    </xf>
    <xf numFmtId="0" fontId="146" fillId="4" borderId="67" xfId="0" applyFont="1" applyFill="1" applyBorder="1" applyAlignment="1">
      <alignment horizontal="center"/>
    </xf>
    <xf numFmtId="0" fontId="113" fillId="4" borderId="68" xfId="0" applyFont="1" applyFill="1" applyBorder="1" applyAlignment="1">
      <alignment horizontal="center" vertical="top"/>
    </xf>
    <xf numFmtId="167" fontId="290" fillId="0" borderId="77" xfId="0" applyNumberFormat="1" applyFont="1" applyBorder="1" applyAlignment="1">
      <alignment horizontal="center" vertical="center"/>
    </xf>
    <xf numFmtId="170" fontId="291" fillId="0" borderId="26" xfId="0" applyNumberFormat="1" applyFont="1" applyBorder="1" applyAlignment="1">
      <alignment horizontal="center" vertical="center"/>
    </xf>
    <xf numFmtId="170" fontId="292" fillId="0" borderId="26" xfId="0" applyNumberFormat="1" applyFont="1" applyBorder="1" applyAlignment="1">
      <alignment horizontal="center" vertical="center"/>
    </xf>
    <xf numFmtId="0" fontId="293" fillId="0" borderId="78" xfId="0" applyFont="1" applyBorder="1" applyAlignment="1">
      <alignment vertical="center"/>
    </xf>
    <xf numFmtId="0" fontId="146" fillId="0" borderId="79" xfId="0" applyFont="1" applyBorder="1" applyAlignment="1">
      <alignment vertical="center"/>
    </xf>
    <xf numFmtId="1" fontId="146" fillId="0" borderId="79" xfId="0" applyNumberFormat="1" applyFont="1" applyBorder="1" applyAlignment="1">
      <alignment horizontal="right" vertical="center"/>
    </xf>
    <xf numFmtId="1" fontId="146" fillId="0" borderId="79" xfId="0" applyNumberFormat="1" applyFont="1" applyBorder="1" applyAlignment="1">
      <alignment vertical="center"/>
    </xf>
    <xf numFmtId="0" fontId="113" fillId="0" borderId="79" xfId="0" applyFont="1" applyBorder="1" applyAlignment="1">
      <alignment horizontal="center" vertical="center"/>
    </xf>
    <xf numFmtId="0" fontId="294" fillId="0" borderId="58" xfId="0" applyFont="1" applyBorder="1"/>
    <xf numFmtId="0" fontId="294" fillId="0" borderId="0" xfId="0" applyFont="1"/>
    <xf numFmtId="0" fontId="287" fillId="0" borderId="56" xfId="0" applyFont="1" applyBorder="1"/>
    <xf numFmtId="0" fontId="146" fillId="7" borderId="79" xfId="0" applyFont="1" applyFill="1" applyBorder="1" applyAlignment="1">
      <alignment horizontal="center" vertical="center"/>
    </xf>
    <xf numFmtId="172" fontId="180" fillId="0" borderId="0" xfId="0" applyNumberFormat="1" applyFont="1" applyAlignment="1">
      <alignment horizontal="center" vertical="center"/>
    </xf>
    <xf numFmtId="0" fontId="113" fillId="7" borderId="79" xfId="0" applyFont="1" applyFill="1" applyBorder="1" applyAlignment="1">
      <alignment horizontal="center" vertical="center"/>
    </xf>
    <xf numFmtId="172" fontId="113" fillId="4" borderId="44" xfId="0" applyNumberFormat="1" applyFont="1" applyFill="1" applyBorder="1" applyAlignment="1">
      <alignment horizontal="center" vertical="center"/>
    </xf>
    <xf numFmtId="49" fontId="146" fillId="4" borderId="43" xfId="0" applyNumberFormat="1" applyFont="1" applyFill="1" applyBorder="1" applyAlignment="1">
      <alignment horizontal="center" vertical="center"/>
    </xf>
    <xf numFmtId="0" fontId="113" fillId="4" borderId="71" xfId="0" applyFont="1" applyFill="1" applyBorder="1" applyAlignment="1">
      <alignment horizontal="center" vertical="center"/>
    </xf>
    <xf numFmtId="49" fontId="113" fillId="4" borderId="71" xfId="0" applyNumberFormat="1" applyFont="1" applyFill="1" applyBorder="1" applyAlignment="1">
      <alignment horizontal="center" vertical="center"/>
    </xf>
    <xf numFmtId="0" fontId="146" fillId="4" borderId="46" xfId="0" applyFont="1" applyFill="1" applyBorder="1" applyAlignment="1">
      <alignment horizontal="center" vertical="center"/>
    </xf>
    <xf numFmtId="0" fontId="181" fillId="4" borderId="50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49" fontId="137" fillId="4" borderId="0" xfId="0" applyNumberFormat="1" applyFont="1" applyFill="1" applyAlignment="1">
      <alignment horizontal="center" vertical="center"/>
    </xf>
    <xf numFmtId="0" fontId="113" fillId="4" borderId="0" xfId="0" applyFont="1" applyFill="1" applyAlignment="1">
      <alignment horizontal="center" vertical="center"/>
    </xf>
    <xf numFmtId="49" fontId="113" fillId="4" borderId="0" xfId="0" applyNumberFormat="1" applyFont="1" applyFill="1" applyAlignment="1">
      <alignment horizontal="center" vertical="center"/>
    </xf>
    <xf numFmtId="0" fontId="208" fillId="4" borderId="44" xfId="0" applyFont="1" applyFill="1" applyBorder="1" applyAlignment="1">
      <alignment horizontal="center" vertical="top"/>
    </xf>
    <xf numFmtId="49" fontId="208" fillId="4" borderId="44" xfId="0" applyNumberFormat="1" applyFont="1" applyFill="1" applyBorder="1" applyAlignment="1">
      <alignment horizontal="center" vertical="top"/>
    </xf>
    <xf numFmtId="49" fontId="113" fillId="4" borderId="44" xfId="0" applyNumberFormat="1" applyFont="1" applyFill="1" applyBorder="1" applyAlignment="1">
      <alignment horizontal="center" vertical="center"/>
    </xf>
    <xf numFmtId="0" fontId="207" fillId="0" borderId="44" xfId="0" applyFont="1" applyBorder="1" applyAlignment="1">
      <alignment horizontal="center" vertical="center" wrapText="1"/>
    </xf>
    <xf numFmtId="0" fontId="207" fillId="0" borderId="44" xfId="0" applyFont="1" applyBorder="1" applyAlignment="1">
      <alignment horizontal="left" vertical="center" wrapText="1"/>
    </xf>
    <xf numFmtId="0" fontId="104" fillId="4" borderId="173" xfId="0" applyFont="1" applyFill="1" applyBorder="1" applyAlignment="1">
      <alignment horizontal="center" vertical="center"/>
    </xf>
    <xf numFmtId="0" fontId="104" fillId="4" borderId="174" xfId="0" applyFont="1" applyFill="1" applyBorder="1" applyAlignment="1">
      <alignment horizontal="center" vertical="center"/>
    </xf>
    <xf numFmtId="0" fontId="104" fillId="4" borderId="175" xfId="0" applyFont="1" applyFill="1" applyBorder="1" applyAlignment="1">
      <alignment horizontal="center" vertical="center"/>
    </xf>
    <xf numFmtId="0" fontId="151" fillId="4" borderId="40" xfId="0" applyFont="1" applyFill="1" applyBorder="1"/>
    <xf numFmtId="0" fontId="137" fillId="4" borderId="43" xfId="0" applyFont="1" applyFill="1" applyBorder="1" applyAlignment="1">
      <alignment horizontal="center" vertical="center" wrapText="1"/>
    </xf>
    <xf numFmtId="0" fontId="181" fillId="4" borderId="44" xfId="0" applyFont="1" applyFill="1" applyBorder="1" applyAlignment="1">
      <alignment horizontal="center" vertical="top"/>
    </xf>
    <xf numFmtId="0" fontId="181" fillId="4" borderId="44" xfId="0" applyFont="1" applyFill="1" applyBorder="1" applyAlignment="1">
      <alignment horizontal="center" vertical="top" wrapText="1"/>
    </xf>
    <xf numFmtId="0" fontId="137" fillId="4" borderId="41" xfId="0" applyFont="1" applyFill="1" applyBorder="1" applyAlignment="1">
      <alignment horizontal="center"/>
    </xf>
    <xf numFmtId="0" fontId="137" fillId="4" borderId="55" xfId="0" applyFont="1" applyFill="1" applyBorder="1" applyAlignment="1">
      <alignment horizontal="center" wrapText="1"/>
    </xf>
    <xf numFmtId="0" fontId="137" fillId="4" borderId="51" xfId="0" applyFont="1" applyFill="1" applyBorder="1" applyAlignment="1">
      <alignment wrapText="1"/>
    </xf>
    <xf numFmtId="0" fontId="137" fillId="4" borderId="52" xfId="0" applyFont="1" applyFill="1" applyBorder="1" applyAlignment="1">
      <alignment wrapText="1"/>
    </xf>
    <xf numFmtId="0" fontId="137" fillId="4" borderId="46" xfId="0" applyFont="1" applyFill="1" applyBorder="1" applyAlignment="1">
      <alignment horizontal="center"/>
    </xf>
    <xf numFmtId="0" fontId="137" fillId="4" borderId="46" xfId="0" applyFont="1" applyFill="1" applyBorder="1" applyAlignment="1">
      <alignment horizontal="center" wrapText="1"/>
    </xf>
    <xf numFmtId="0" fontId="113" fillId="4" borderId="44" xfId="0" applyFont="1" applyFill="1" applyBorder="1" applyAlignment="1">
      <alignment horizontal="center" vertical="center" wrapText="1"/>
    </xf>
    <xf numFmtId="0" fontId="274" fillId="10" borderId="167" xfId="0" applyFont="1" applyFill="1" applyBorder="1" applyAlignment="1">
      <alignment horizontal="center"/>
    </xf>
    <xf numFmtId="0" fontId="274" fillId="10" borderId="168" xfId="0" applyFont="1" applyFill="1" applyBorder="1" applyAlignment="1">
      <alignment horizontal="center"/>
    </xf>
    <xf numFmtId="0" fontId="274" fillId="10" borderId="169" xfId="0" applyFont="1" applyFill="1" applyBorder="1" applyAlignment="1">
      <alignment horizontal="center"/>
    </xf>
    <xf numFmtId="0" fontId="179" fillId="10" borderId="170" xfId="0" applyFont="1" applyFill="1" applyBorder="1" applyAlignment="1">
      <alignment horizontal="center" vertical="top"/>
    </xf>
    <xf numFmtId="0" fontId="179" fillId="10" borderId="171" xfId="0" applyFont="1" applyFill="1" applyBorder="1" applyAlignment="1">
      <alignment horizontal="center" vertical="top"/>
    </xf>
    <xf numFmtId="0" fontId="179" fillId="10" borderId="172" xfId="0" applyFont="1" applyFill="1" applyBorder="1" applyAlignment="1">
      <alignment horizontal="center" vertical="top"/>
    </xf>
    <xf numFmtId="169" fontId="114" fillId="0" borderId="0" xfId="0" applyNumberFormat="1" applyFont="1" applyAlignment="1">
      <alignment horizontal="left" vertical="center"/>
    </xf>
    <xf numFmtId="0" fontId="161" fillId="0" borderId="0" xfId="0" applyFont="1" applyAlignment="1">
      <alignment horizontal="centerContinuous" vertical="center"/>
    </xf>
    <xf numFmtId="169" fontId="49" fillId="0" borderId="0" xfId="0" applyNumberFormat="1" applyFont="1" applyAlignment="1">
      <alignment vertical="center" wrapText="1"/>
    </xf>
    <xf numFmtId="169" fontId="49" fillId="0" borderId="0" xfId="0" applyNumberFormat="1" applyFont="1" applyAlignment="1">
      <alignment horizontal="centerContinuous" vertical="center" wrapText="1"/>
    </xf>
    <xf numFmtId="169" fontId="137" fillId="4" borderId="43" xfId="0" applyNumberFormat="1" applyFont="1" applyFill="1" applyBorder="1" applyAlignment="1">
      <alignment horizontal="center" vertical="center" wrapText="1"/>
    </xf>
    <xf numFmtId="169" fontId="181" fillId="4" borderId="44" xfId="0" applyNumberFormat="1" applyFont="1" applyFill="1" applyBorder="1" applyAlignment="1">
      <alignment horizontal="center" vertical="center" wrapText="1"/>
    </xf>
    <xf numFmtId="0" fontId="195" fillId="11" borderId="176" xfId="0" applyFont="1" applyFill="1" applyBorder="1" applyAlignment="1">
      <alignment horizontal="center"/>
    </xf>
    <xf numFmtId="0" fontId="49" fillId="0" borderId="0" xfId="0" applyFont="1" applyAlignment="1">
      <alignment wrapText="1"/>
    </xf>
    <xf numFmtId="0" fontId="195" fillId="11" borderId="176" xfId="0" applyFont="1" applyFill="1" applyBorder="1" applyAlignment="1">
      <alignment horizontal="center" wrapText="1"/>
    </xf>
    <xf numFmtId="0" fontId="101" fillId="0" borderId="112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center" vertical="center"/>
    </xf>
    <xf numFmtId="49" fontId="270" fillId="0" borderId="98" xfId="0" applyNumberFormat="1" applyFont="1" applyBorder="1" applyAlignment="1">
      <alignment horizontal="left" vertical="center"/>
    </xf>
    <xf numFmtId="0" fontId="48" fillId="0" borderId="98" xfId="0" applyFont="1" applyBorder="1" applyAlignment="1">
      <alignment horizontal="left" vertical="center"/>
    </xf>
    <xf numFmtId="169" fontId="49" fillId="0" borderId="98" xfId="0" applyNumberFormat="1" applyFont="1" applyBorder="1" applyAlignment="1">
      <alignment horizontal="left" vertical="center"/>
    </xf>
    <xf numFmtId="0" fontId="270" fillId="0" borderId="0" xfId="0" applyFont="1" applyAlignment="1">
      <alignment horizontal="center" vertical="center"/>
    </xf>
    <xf numFmtId="0" fontId="270" fillId="0" borderId="0" xfId="0" applyFont="1" applyAlignment="1">
      <alignment vertical="center"/>
    </xf>
    <xf numFmtId="169" fontId="270" fillId="0" borderId="98" xfId="0" applyNumberFormat="1" applyFont="1" applyBorder="1" applyAlignment="1">
      <alignment horizontal="center" vertical="center"/>
    </xf>
    <xf numFmtId="0" fontId="48" fillId="0" borderId="98" xfId="0" applyFont="1" applyBorder="1" applyAlignment="1">
      <alignment vertical="center"/>
    </xf>
    <xf numFmtId="0" fontId="270" fillId="0" borderId="98" xfId="0" applyFont="1" applyBorder="1" applyAlignment="1">
      <alignment horizontal="center" vertical="center"/>
    </xf>
    <xf numFmtId="0" fontId="49" fillId="0" borderId="112" xfId="0" applyFont="1" applyBorder="1" applyAlignment="1">
      <alignment horizontal="center" vertical="center"/>
    </xf>
    <xf numFmtId="49" fontId="49" fillId="0" borderId="112" xfId="0" applyNumberFormat="1" applyFont="1" applyBorder="1" applyAlignment="1">
      <alignment horizontal="center" vertical="center"/>
    </xf>
    <xf numFmtId="49" fontId="270" fillId="0" borderId="112" xfId="0" applyNumberFormat="1" applyFont="1" applyBorder="1" applyAlignment="1">
      <alignment horizontal="left" vertical="center"/>
    </xf>
    <xf numFmtId="0" fontId="101" fillId="0" borderId="112" xfId="0" applyFont="1" applyBorder="1" applyAlignment="1">
      <alignment vertical="center"/>
    </xf>
    <xf numFmtId="0" fontId="48" fillId="0" borderId="112" xfId="0" applyFont="1" applyBorder="1" applyAlignment="1">
      <alignment vertical="center"/>
    </xf>
    <xf numFmtId="169" fontId="49" fillId="0" borderId="112" xfId="0" applyNumberFormat="1" applyFont="1" applyBorder="1" applyAlignment="1">
      <alignment horizontal="left" vertical="center"/>
    </xf>
    <xf numFmtId="169" fontId="49" fillId="0" borderId="112" xfId="0" applyNumberFormat="1" applyFont="1" applyBorder="1" applyAlignment="1">
      <alignment horizontal="right" vertical="center"/>
    </xf>
    <xf numFmtId="169" fontId="270" fillId="0" borderId="112" xfId="0" applyNumberFormat="1" applyFont="1" applyBorder="1" applyAlignment="1">
      <alignment horizontal="center" vertical="center"/>
    </xf>
    <xf numFmtId="0" fontId="270" fillId="0" borderId="112" xfId="0" applyFont="1" applyBorder="1" applyAlignment="1">
      <alignment horizontal="center" vertical="center"/>
    </xf>
    <xf numFmtId="49" fontId="270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right" vertical="center"/>
    </xf>
    <xf numFmtId="169" fontId="270" fillId="0" borderId="0" xfId="0" applyNumberFormat="1" applyFont="1" applyAlignment="1">
      <alignment horizontal="center" vertical="center"/>
    </xf>
    <xf numFmtId="0" fontId="101" fillId="0" borderId="98" xfId="0" applyFont="1" applyBorder="1" applyAlignment="1">
      <alignment horizontal="left" vertical="center" wrapText="1"/>
    </xf>
    <xf numFmtId="0" fontId="0" fillId="0" borderId="98" xfId="0" applyBorder="1" applyAlignment="1">
      <alignment horizontal="center" vertical="center"/>
    </xf>
    <xf numFmtId="0" fontId="104" fillId="4" borderId="71" xfId="0" applyFont="1" applyFill="1" applyBorder="1" applyAlignment="1">
      <alignment horizontal="center" vertical="center"/>
    </xf>
    <xf numFmtId="22" fontId="49" fillId="0" borderId="98" xfId="0" applyNumberFormat="1" applyFont="1" applyBorder="1" applyAlignment="1">
      <alignment horizontal="center" vertical="center"/>
    </xf>
    <xf numFmtId="169" fontId="133" fillId="0" borderId="98" xfId="0" applyNumberFormat="1" applyFont="1" applyBorder="1" applyAlignment="1">
      <alignment horizontal="right" vertical="center"/>
    </xf>
    <xf numFmtId="180" fontId="49" fillId="0" borderId="98" xfId="0" applyNumberFormat="1" applyFont="1" applyBorder="1" applyAlignment="1">
      <alignment horizontal="center" vertical="center"/>
    </xf>
    <xf numFmtId="0" fontId="198" fillId="0" borderId="0" xfId="0" applyFont="1" applyAlignment="1">
      <alignment horizontal="left" vertical="center"/>
    </xf>
    <xf numFmtId="0" fontId="270" fillId="0" borderId="0" xfId="0" applyFont="1" applyAlignment="1">
      <alignment horizontal="left" vertical="center"/>
    </xf>
    <xf numFmtId="181" fontId="101" fillId="0" borderId="0" xfId="0" applyNumberFormat="1" applyFont="1" applyAlignment="1">
      <alignment horizontal="left" vertical="center"/>
    </xf>
    <xf numFmtId="4" fontId="49" fillId="0" borderId="0" xfId="0" applyNumberFormat="1" applyFont="1" applyAlignment="1">
      <alignment horizontal="center"/>
    </xf>
    <xf numFmtId="181" fontId="101" fillId="0" borderId="0" xfId="0" applyNumberFormat="1" applyFont="1" applyAlignment="1">
      <alignment horizontal="center" vertical="center"/>
    </xf>
    <xf numFmtId="169" fontId="49" fillId="0" borderId="0" xfId="0" applyNumberFormat="1" applyFont="1" applyAlignment="1">
      <alignment horizontal="center" vertical="center"/>
    </xf>
    <xf numFmtId="181" fontId="49" fillId="0" borderId="0" xfId="0" applyNumberFormat="1" applyFont="1" applyAlignment="1">
      <alignment wrapText="1"/>
    </xf>
    <xf numFmtId="181" fontId="195" fillId="11" borderId="176" xfId="0" applyNumberFormat="1" applyFont="1" applyFill="1" applyBorder="1" applyAlignment="1">
      <alignment horizontal="center" wrapText="1"/>
    </xf>
    <xf numFmtId="0" fontId="92" fillId="11" borderId="177" xfId="0" applyFont="1" applyFill="1" applyBorder="1" applyAlignment="1">
      <alignment horizontal="center" vertical="center"/>
    </xf>
    <xf numFmtId="0" fontId="92" fillId="11" borderId="177" xfId="0" applyFont="1" applyFill="1" applyBorder="1" applyAlignment="1">
      <alignment horizontal="center" vertical="center" wrapText="1"/>
    </xf>
    <xf numFmtId="181" fontId="92" fillId="11" borderId="177" xfId="0" applyNumberFormat="1" applyFont="1" applyFill="1" applyBorder="1" applyAlignment="1">
      <alignment horizontal="center" vertical="center" wrapText="1"/>
    </xf>
    <xf numFmtId="0" fontId="267" fillId="12" borderId="79" xfId="0" applyFont="1" applyFill="1" applyBorder="1" applyAlignment="1">
      <alignment horizontal="center" vertical="center"/>
    </xf>
    <xf numFmtId="0" fontId="267" fillId="12" borderId="79" xfId="0" applyFont="1" applyFill="1" applyBorder="1" applyAlignment="1">
      <alignment horizontal="left" vertical="center"/>
    </xf>
    <xf numFmtId="0" fontId="101" fillId="12" borderId="79" xfId="0" applyFont="1" applyFill="1" applyBorder="1" applyAlignment="1">
      <alignment horizontal="left" vertical="center" wrapText="1"/>
    </xf>
    <xf numFmtId="181" fontId="101" fillId="12" borderId="79" xfId="0" applyNumberFormat="1" applyFont="1" applyFill="1" applyBorder="1" applyAlignment="1">
      <alignment horizontal="left" vertical="center" wrapText="1"/>
    </xf>
    <xf numFmtId="169" fontId="207" fillId="12" borderId="79" xfId="0" applyNumberFormat="1" applyFont="1" applyFill="1" applyBorder="1" applyAlignment="1">
      <alignment horizontal="left" vertical="center"/>
    </xf>
    <xf numFmtId="0" fontId="207" fillId="12" borderId="79" xfId="0" applyFont="1" applyFill="1" applyBorder="1" applyAlignment="1">
      <alignment horizontal="center" vertical="center"/>
    </xf>
    <xf numFmtId="0" fontId="49" fillId="12" borderId="79" xfId="0" applyFont="1" applyFill="1" applyBorder="1" applyAlignment="1">
      <alignment horizontal="left" vertical="center"/>
    </xf>
    <xf numFmtId="0" fontId="207" fillId="12" borderId="79" xfId="0" applyFont="1" applyFill="1" applyBorder="1" applyAlignment="1">
      <alignment horizontal="left" vertical="center"/>
    </xf>
    <xf numFmtId="0" fontId="267" fillId="0" borderId="79" xfId="0" applyFont="1" applyBorder="1" applyAlignment="1">
      <alignment horizontal="center" vertical="center"/>
    </xf>
    <xf numFmtId="0" fontId="267" fillId="0" borderId="79" xfId="0" applyFont="1" applyBorder="1" applyAlignment="1">
      <alignment horizontal="left" vertical="center"/>
    </xf>
    <xf numFmtId="0" fontId="101" fillId="0" borderId="79" xfId="0" applyFont="1" applyBorder="1" applyAlignment="1">
      <alignment horizontal="left" vertical="center" wrapText="1"/>
    </xf>
    <xf numFmtId="181" fontId="101" fillId="0" borderId="79" xfId="0" applyNumberFormat="1" applyFont="1" applyBorder="1" applyAlignment="1">
      <alignment horizontal="left" vertical="center" wrapText="1"/>
    </xf>
    <xf numFmtId="169" fontId="207" fillId="0" borderId="79" xfId="0" applyNumberFormat="1" applyFont="1" applyBorder="1" applyAlignment="1">
      <alignment horizontal="left" vertical="center"/>
    </xf>
    <xf numFmtId="0" fontId="207" fillId="0" borderId="79" xfId="0" applyFont="1" applyBorder="1" applyAlignment="1">
      <alignment horizontal="center" vertical="center"/>
    </xf>
    <xf numFmtId="0" fontId="207" fillId="0" borderId="79" xfId="0" applyFont="1" applyBorder="1" applyAlignment="1">
      <alignment horizontal="left" vertical="center"/>
    </xf>
    <xf numFmtId="0" fontId="270" fillId="0" borderId="40" xfId="0" applyFont="1" applyBorder="1" applyAlignment="1">
      <alignment vertical="center"/>
    </xf>
    <xf numFmtId="49" fontId="270" fillId="0" borderId="40" xfId="0" applyNumberFormat="1" applyFont="1" applyBorder="1" applyAlignment="1">
      <alignment horizontal="left" vertical="center"/>
    </xf>
    <xf numFmtId="0" fontId="270" fillId="0" borderId="40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49" fontId="276" fillId="0" borderId="0" xfId="0" applyNumberFormat="1" applyFont="1" applyAlignment="1">
      <alignment horizontal="center" vertical="center"/>
    </xf>
    <xf numFmtId="49" fontId="270" fillId="0" borderId="40" xfId="0" applyNumberFormat="1" applyFont="1" applyBorder="1" applyAlignment="1">
      <alignment horizontal="center" vertical="center"/>
    </xf>
    <xf numFmtId="49" fontId="270" fillId="0" borderId="0" xfId="0" applyNumberFormat="1" applyFont="1" applyAlignment="1">
      <alignment horizontal="center" vertical="center"/>
    </xf>
    <xf numFmtId="180" fontId="38" fillId="0" borderId="0" xfId="0" applyNumberFormat="1" applyFont="1" applyAlignment="1">
      <alignment horizontal="center" vertical="center"/>
    </xf>
    <xf numFmtId="180" fontId="170" fillId="0" borderId="0" xfId="0" applyNumberFormat="1" applyFont="1" applyAlignment="1">
      <alignment horizontal="centerContinuous" vertical="center"/>
    </xf>
    <xf numFmtId="180" fontId="146" fillId="4" borderId="43" xfId="0" applyNumberFormat="1" applyFont="1" applyFill="1" applyBorder="1" applyAlignment="1">
      <alignment horizontal="center"/>
    </xf>
    <xf numFmtId="180" fontId="113" fillId="4" borderId="71" xfId="0" applyNumberFormat="1" applyFont="1" applyFill="1" applyBorder="1" applyAlignment="1">
      <alignment horizontal="center" vertical="top"/>
    </xf>
    <xf numFmtId="180" fontId="270" fillId="0" borderId="40" xfId="0" applyNumberFormat="1" applyFont="1" applyBorder="1" applyAlignment="1">
      <alignment horizontal="center" vertical="center"/>
    </xf>
    <xf numFmtId="180" fontId="27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top"/>
    </xf>
    <xf numFmtId="180" fontId="39" fillId="0" borderId="0" xfId="0" applyNumberFormat="1" applyFont="1" applyAlignment="1">
      <alignment horizontal="left" vertical="top"/>
    </xf>
    <xf numFmtId="169" fontId="270" fillId="0" borderId="0" xfId="0" applyNumberFormat="1" applyFont="1" applyAlignment="1">
      <alignment vertical="center"/>
    </xf>
    <xf numFmtId="0" fontId="300" fillId="0" borderId="0" xfId="0" applyFont="1" applyAlignment="1">
      <alignment horizontal="left" vertical="center" indent="40"/>
    </xf>
    <xf numFmtId="0" fontId="49" fillId="0" borderId="0" xfId="0" applyFont="1" applyAlignment="1">
      <alignment horizontal="left" vertical="center" indent="40"/>
    </xf>
    <xf numFmtId="49" fontId="49" fillId="0" borderId="0" xfId="0" applyNumberFormat="1" applyFont="1" applyAlignment="1">
      <alignment horizontal="left" vertical="center" indent="40"/>
    </xf>
    <xf numFmtId="49" fontId="270" fillId="0" borderId="0" xfId="0" applyNumberFormat="1" applyFont="1" applyAlignment="1">
      <alignment horizontal="left" vertical="center" indent="40"/>
    </xf>
    <xf numFmtId="0" fontId="101" fillId="0" borderId="0" xfId="0" applyFont="1" applyAlignment="1">
      <alignment horizontal="left" vertical="center" indent="40"/>
    </xf>
    <xf numFmtId="0" fontId="48" fillId="0" borderId="0" xfId="0" applyFont="1" applyAlignment="1">
      <alignment horizontal="left" vertical="center" indent="40"/>
    </xf>
    <xf numFmtId="169" fontId="49" fillId="0" borderId="0" xfId="0" applyNumberFormat="1" applyFont="1" applyAlignment="1">
      <alignment horizontal="left" vertical="center" indent="40"/>
    </xf>
    <xf numFmtId="169" fontId="270" fillId="0" borderId="0" xfId="0" applyNumberFormat="1" applyFont="1" applyAlignment="1">
      <alignment horizontal="left" vertical="center" indent="40"/>
    </xf>
    <xf numFmtId="0" fontId="270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91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91" fillId="0" borderId="0" xfId="0" applyFont="1" applyAlignment="1">
      <alignment horizontal="right" vertical="center"/>
    </xf>
    <xf numFmtId="0" fontId="137" fillId="4" borderId="71" xfId="0" applyFont="1" applyFill="1" applyBorder="1" applyAlignment="1">
      <alignment horizontal="center" vertical="center"/>
    </xf>
    <xf numFmtId="169" fontId="137" fillId="4" borderId="71" xfId="0" applyNumberFormat="1" applyFont="1" applyFill="1" applyBorder="1" applyAlignment="1">
      <alignment horizontal="center" vertical="center"/>
    </xf>
    <xf numFmtId="0" fontId="104" fillId="4" borderId="43" xfId="0" applyFont="1" applyFill="1" applyBorder="1" applyAlignment="1">
      <alignment horizontal="center" vertical="center"/>
    </xf>
    <xf numFmtId="0" fontId="42" fillId="0" borderId="98" xfId="0" applyFont="1" applyBorder="1" applyAlignment="1">
      <alignment horizontal="left" vertical="center"/>
    </xf>
    <xf numFmtId="0" fontId="49" fillId="12" borderId="0" xfId="0" applyFont="1" applyFill="1" applyAlignment="1">
      <alignment horizontal="center" vertical="center"/>
    </xf>
    <xf numFmtId="0" fontId="101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01" fillId="0" borderId="0" xfId="0" applyFont="1" applyAlignment="1">
      <alignment horizontal="center" vertical="center"/>
    </xf>
    <xf numFmtId="0" fontId="301" fillId="0" borderId="47" xfId="0" applyFont="1" applyBorder="1" applyAlignment="1">
      <alignment vertical="center" wrapText="1"/>
    </xf>
    <xf numFmtId="0" fontId="301" fillId="0" borderId="0" xfId="0" applyFont="1" applyAlignment="1">
      <alignment vertical="center" wrapText="1"/>
    </xf>
    <xf numFmtId="4" fontId="1" fillId="0" borderId="0" xfId="0" applyNumberFormat="1" applyFont="1"/>
    <xf numFmtId="4" fontId="137" fillId="4" borderId="71" xfId="0" applyNumberFormat="1" applyFont="1" applyFill="1" applyBorder="1" applyAlignment="1">
      <alignment horizontal="center" vertical="center"/>
    </xf>
    <xf numFmtId="183" fontId="101" fillId="0" borderId="98" xfId="0" applyNumberFormat="1" applyFont="1" applyBorder="1" applyAlignment="1">
      <alignment vertical="center"/>
    </xf>
    <xf numFmtId="169" fontId="101" fillId="0" borderId="98" xfId="0" applyNumberFormat="1" applyFont="1" applyBorder="1" applyAlignment="1">
      <alignment vertical="center"/>
    </xf>
    <xf numFmtId="169" fontId="270" fillId="0" borderId="98" xfId="0" applyNumberFormat="1" applyFont="1" applyBorder="1" applyAlignment="1">
      <alignment vertical="center"/>
    </xf>
    <xf numFmtId="181" fontId="270" fillId="0" borderId="0" xfId="0" applyNumberFormat="1" applyFont="1" applyAlignment="1">
      <alignment vertical="center"/>
    </xf>
    <xf numFmtId="0" fontId="146" fillId="0" borderId="0" xfId="0" applyFont="1" applyAlignment="1">
      <alignment horizontal="center" vertical="center"/>
    </xf>
    <xf numFmtId="4" fontId="101" fillId="0" borderId="98" xfId="0" applyNumberFormat="1" applyFont="1" applyBorder="1" applyAlignment="1">
      <alignment vertical="center"/>
    </xf>
    <xf numFmtId="181" fontId="270" fillId="0" borderId="0" xfId="0" applyNumberFormat="1" applyFont="1" applyAlignment="1">
      <alignment horizontal="center" vertical="center"/>
    </xf>
    <xf numFmtId="182" fontId="270" fillId="0" borderId="0" xfId="0" applyNumberFormat="1" applyFont="1" applyAlignment="1">
      <alignment vertical="center"/>
    </xf>
    <xf numFmtId="169" fontId="101" fillId="0" borderId="0" xfId="0" applyNumberFormat="1" applyFont="1" applyAlignment="1">
      <alignment horizontal="left" vertical="center"/>
    </xf>
    <xf numFmtId="0" fontId="49" fillId="0" borderId="178" xfId="0" applyFont="1" applyBorder="1" applyAlignment="1">
      <alignment horizontal="center" vertical="center"/>
    </xf>
    <xf numFmtId="49" fontId="49" fillId="0" borderId="178" xfId="0" applyNumberFormat="1" applyFont="1" applyBorder="1" applyAlignment="1">
      <alignment horizontal="center" vertical="center"/>
    </xf>
    <xf numFmtId="49" fontId="270" fillId="0" borderId="178" xfId="0" applyNumberFormat="1" applyFont="1" applyBorder="1" applyAlignment="1">
      <alignment horizontal="left" vertical="center"/>
    </xf>
    <xf numFmtId="0" fontId="101" fillId="0" borderId="178" xfId="0" applyFont="1" applyBorder="1" applyAlignment="1">
      <alignment vertical="center"/>
    </xf>
    <xf numFmtId="0" fontId="48" fillId="0" borderId="178" xfId="0" applyFont="1" applyBorder="1" applyAlignment="1">
      <alignment vertical="center"/>
    </xf>
    <xf numFmtId="0" fontId="101" fillId="0" borderId="178" xfId="0" applyFont="1" applyBorder="1" applyAlignment="1">
      <alignment horizontal="left" vertical="center"/>
    </xf>
    <xf numFmtId="169" fontId="49" fillId="0" borderId="178" xfId="0" applyNumberFormat="1" applyFont="1" applyBorder="1" applyAlignment="1">
      <alignment horizontal="left" vertical="center"/>
    </xf>
    <xf numFmtId="169" fontId="49" fillId="0" borderId="178" xfId="0" applyNumberFormat="1" applyFont="1" applyBorder="1" applyAlignment="1">
      <alignment horizontal="right" vertical="center"/>
    </xf>
    <xf numFmtId="169" fontId="270" fillId="0" borderId="178" xfId="0" applyNumberFormat="1" applyFont="1" applyBorder="1" applyAlignment="1">
      <alignment horizontal="center" vertical="center"/>
    </xf>
    <xf numFmtId="0" fontId="270" fillId="0" borderId="178" xfId="0" applyFont="1" applyBorder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85" fillId="0" borderId="0" xfId="0" applyFont="1" applyAlignment="1">
      <alignment horizontal="right" vertical="center"/>
    </xf>
    <xf numFmtId="4" fontId="288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183" fontId="1" fillId="0" borderId="0" xfId="0" applyNumberFormat="1" applyFont="1" applyAlignment="1">
      <alignment horizontal="center"/>
    </xf>
    <xf numFmtId="183" fontId="1" fillId="0" borderId="0" xfId="0" applyNumberFormat="1" applyFont="1"/>
    <xf numFmtId="183" fontId="0" fillId="0" borderId="0" xfId="0" applyNumberFormat="1"/>
    <xf numFmtId="169" fontId="38" fillId="0" borderId="0" xfId="0" applyNumberFormat="1" applyFont="1" applyAlignment="1">
      <alignment vertical="center"/>
    </xf>
    <xf numFmtId="0" fontId="153" fillId="0" borderId="0" xfId="0" applyFont="1" applyAlignment="1">
      <alignment horizontal="left" vertical="center"/>
    </xf>
    <xf numFmtId="183" fontId="49" fillId="0" borderId="0" xfId="0" applyNumberFormat="1" applyFont="1" applyAlignment="1">
      <alignment horizontal="center"/>
    </xf>
    <xf numFmtId="169" fontId="49" fillId="0" borderId="0" xfId="0" applyNumberFormat="1" applyFont="1" applyAlignment="1">
      <alignment horizontal="center"/>
    </xf>
    <xf numFmtId="4" fontId="39" fillId="0" borderId="0" xfId="0" applyNumberFormat="1" applyFont="1" applyAlignment="1">
      <alignment horizontal="center" vertical="center"/>
    </xf>
    <xf numFmtId="0" fontId="191" fillId="0" borderId="98" xfId="0" applyFont="1" applyBorder="1" applyAlignment="1">
      <alignment horizontal="center" vertical="center"/>
    </xf>
    <xf numFmtId="0" fontId="301" fillId="0" borderId="0" xfId="0" applyFont="1"/>
    <xf numFmtId="0" fontId="126" fillId="0" borderId="0" xfId="0" applyFont="1"/>
    <xf numFmtId="0" fontId="281" fillId="0" borderId="0" xfId="0" applyFont="1" applyAlignment="1">
      <alignment vertical="top"/>
    </xf>
    <xf numFmtId="0" fontId="303" fillId="0" borderId="0" xfId="0" applyFont="1" applyAlignment="1">
      <alignment vertical="center"/>
    </xf>
    <xf numFmtId="0" fontId="244" fillId="0" borderId="0" xfId="0" applyFont="1"/>
    <xf numFmtId="0" fontId="232" fillId="0" borderId="0" xfId="0" applyFont="1"/>
    <xf numFmtId="0" fontId="39" fillId="0" borderId="0" xfId="0" applyFont="1" applyAlignment="1">
      <alignment horizontal="left" indent="1"/>
    </xf>
    <xf numFmtId="0" fontId="14" fillId="0" borderId="0" xfId="0" quotePrefix="1" applyFont="1" applyAlignment="1">
      <alignment horizontal="left"/>
    </xf>
    <xf numFmtId="0" fontId="242" fillId="0" borderId="0" xfId="0" applyFont="1"/>
    <xf numFmtId="0" fontId="245" fillId="0" borderId="0" xfId="0" applyFont="1" applyAlignment="1">
      <alignment vertical="top"/>
    </xf>
    <xf numFmtId="0" fontId="247" fillId="0" borderId="0" xfId="0" applyFont="1" applyAlignment="1">
      <alignment vertical="top"/>
    </xf>
    <xf numFmtId="0" fontId="233" fillId="0" borderId="0" xfId="0" applyFont="1" applyAlignment="1">
      <alignment vertical="top"/>
    </xf>
    <xf numFmtId="0" fontId="6" fillId="0" borderId="0" xfId="2" applyNumberFormat="1" applyFont="1" applyBorder="1" applyAlignment="1">
      <alignment horizontal="center" vertical="center"/>
    </xf>
    <xf numFmtId="0" fontId="207" fillId="0" borderId="0" xfId="0" applyFont="1" applyAlignment="1">
      <alignment horizontal="left" vertical="center" indent="2"/>
    </xf>
    <xf numFmtId="0" fontId="304" fillId="0" borderId="0" xfId="0" applyFont="1" applyAlignment="1">
      <alignment horizontal="left" vertical="center"/>
    </xf>
    <xf numFmtId="0" fontId="305" fillId="0" borderId="0" xfId="0" applyFont="1" applyAlignment="1">
      <alignment horizontal="left" vertical="center"/>
    </xf>
    <xf numFmtId="0" fontId="95" fillId="0" borderId="0" xfId="0" applyFont="1" applyAlignment="1">
      <alignment horizontal="right"/>
    </xf>
    <xf numFmtId="0" fontId="39" fillId="0" borderId="0" xfId="0" applyFont="1" applyAlignment="1">
      <alignment horizontal="left" vertical="top" indent="1"/>
    </xf>
    <xf numFmtId="0" fontId="49" fillId="0" borderId="0" xfId="0" applyFont="1" applyAlignment="1">
      <alignment horizontal="left" vertical="top"/>
    </xf>
    <xf numFmtId="0" fontId="220" fillId="0" borderId="0" xfId="0" applyFont="1" applyAlignment="1" applyProtection="1">
      <alignment horizontal="left" vertical="center"/>
      <protection locked="0"/>
    </xf>
    <xf numFmtId="0" fontId="225" fillId="0" borderId="0" xfId="0" applyFont="1" applyAlignment="1">
      <alignment horizontal="left" vertical="center"/>
    </xf>
    <xf numFmtId="0" fontId="10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306" fillId="0" borderId="0" xfId="0" applyFont="1" applyAlignment="1">
      <alignment vertical="top"/>
    </xf>
    <xf numFmtId="0" fontId="305" fillId="0" borderId="0" xfId="0" applyFont="1" applyAlignment="1">
      <alignment vertical="top"/>
    </xf>
    <xf numFmtId="0" fontId="307" fillId="0" borderId="0" xfId="0" applyFont="1" applyAlignment="1">
      <alignment vertical="center"/>
    </xf>
    <xf numFmtId="0" fontId="49" fillId="5" borderId="0" xfId="0" applyFont="1" applyFill="1" applyAlignment="1">
      <alignment horizontal="center" vertical="center"/>
    </xf>
    <xf numFmtId="0" fontId="101" fillId="5" borderId="0" xfId="0" applyFont="1" applyFill="1" applyAlignment="1" applyProtection="1">
      <alignment horizontal="left" vertical="center"/>
      <protection locked="0"/>
    </xf>
    <xf numFmtId="0" fontId="49" fillId="5" borderId="0" xfId="0" applyFont="1" applyFill="1" applyAlignment="1" applyProtection="1">
      <alignment horizontal="left" vertical="center"/>
      <protection locked="0"/>
    </xf>
    <xf numFmtId="169" fontId="49" fillId="5" borderId="0" xfId="0" applyNumberFormat="1" applyFont="1" applyFill="1" applyAlignment="1" applyProtection="1">
      <alignment horizontal="right" vertical="center"/>
      <protection locked="0"/>
    </xf>
    <xf numFmtId="0" fontId="101" fillId="0" borderId="0" xfId="0" applyFont="1" applyAlignment="1">
      <alignment horizontal="right" vertical="top" wrapText="1"/>
    </xf>
    <xf numFmtId="169" fontId="80" fillId="5" borderId="0" xfId="0" applyNumberFormat="1" applyFont="1" applyFill="1" applyAlignment="1" applyProtection="1">
      <alignment horizontal="right" vertical="center"/>
      <protection locked="0"/>
    </xf>
    <xf numFmtId="0" fontId="239" fillId="0" borderId="0" xfId="0" applyFont="1" applyAlignment="1">
      <alignment horizontal="left" vertical="center" indent="1"/>
    </xf>
    <xf numFmtId="0" fontId="229" fillId="0" borderId="0" xfId="0" applyFont="1" applyAlignment="1">
      <alignment horizontal="left" vertical="center"/>
    </xf>
    <xf numFmtId="0" fontId="101" fillId="0" borderId="0" xfId="0" applyFont="1" applyAlignment="1">
      <alignment vertical="top" wrapText="1"/>
    </xf>
    <xf numFmtId="0" fontId="308" fillId="0" borderId="0" xfId="1" applyNumberFormat="1" applyFont="1" applyFill="1" applyBorder="1"/>
    <xf numFmtId="0" fontId="39" fillId="5" borderId="0" xfId="0" applyFont="1" applyFill="1" applyAlignment="1" applyProtection="1">
      <alignment horizontal="left"/>
      <protection locked="0"/>
    </xf>
    <xf numFmtId="0" fontId="80" fillId="0" borderId="0" xfId="0" applyFont="1" applyAlignment="1">
      <alignment horizontal="left" vertical="top"/>
    </xf>
    <xf numFmtId="0" fontId="305" fillId="0" borderId="0" xfId="0" applyFont="1" applyAlignment="1">
      <alignment horizontal="left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3" fontId="49" fillId="5" borderId="0" xfId="0" applyNumberFormat="1" applyFont="1" applyFill="1" applyAlignment="1" applyProtection="1">
      <alignment horizontal="right" vertical="center"/>
      <protection locked="0"/>
    </xf>
    <xf numFmtId="0" fontId="309" fillId="5" borderId="0" xfId="0" applyFont="1" applyFill="1" applyAlignment="1">
      <alignment horizontal="left"/>
    </xf>
    <xf numFmtId="0" fontId="10" fillId="5" borderId="0" xfId="0" applyFont="1" applyFill="1"/>
    <xf numFmtId="0" fontId="222" fillId="0" borderId="0" xfId="0" applyFont="1" applyAlignment="1">
      <alignment horizontal="right"/>
    </xf>
    <xf numFmtId="0" fontId="219" fillId="0" borderId="0" xfId="0" applyFont="1" applyAlignment="1">
      <alignment horizontal="right"/>
    </xf>
    <xf numFmtId="0" fontId="223" fillId="0" borderId="0" xfId="0" applyFont="1" applyAlignment="1">
      <alignment horizontal="right"/>
    </xf>
    <xf numFmtId="0" fontId="101" fillId="5" borderId="150" xfId="0" applyFont="1" applyFill="1" applyBorder="1" applyAlignment="1" applyProtection="1">
      <alignment horizontal="center" vertical="center"/>
      <protection locked="0"/>
    </xf>
    <xf numFmtId="0" fontId="101" fillId="5" borderId="0" xfId="0" applyFont="1" applyFill="1" applyAlignment="1" applyProtection="1">
      <alignment horizontal="center" vertical="center"/>
      <protection locked="0"/>
    </xf>
    <xf numFmtId="0" fontId="177" fillId="0" borderId="103" xfId="0" applyFont="1" applyBorder="1" applyAlignment="1">
      <alignment horizontal="center" vertical="center"/>
    </xf>
    <xf numFmtId="0" fontId="177" fillId="0" borderId="0" xfId="0" applyFont="1" applyAlignment="1">
      <alignment horizontal="center" vertical="center"/>
    </xf>
    <xf numFmtId="0" fontId="101" fillId="7" borderId="146" xfId="0" applyFont="1" applyFill="1" applyBorder="1" applyAlignment="1">
      <alignment horizontal="centerContinuous"/>
    </xf>
    <xf numFmtId="0" fontId="101" fillId="7" borderId="147" xfId="0" applyFont="1" applyFill="1" applyBorder="1" applyAlignment="1">
      <alignment horizontal="centerContinuous"/>
    </xf>
    <xf numFmtId="0" fontId="101" fillId="7" borderId="150" xfId="0" applyFont="1" applyFill="1" applyBorder="1" applyAlignment="1">
      <alignment horizontal="centerContinuous"/>
    </xf>
    <xf numFmtId="0" fontId="101" fillId="7" borderId="179" xfId="0" applyFont="1" applyFill="1" applyBorder="1" applyAlignment="1">
      <alignment horizontal="center"/>
    </xf>
    <xf numFmtId="0" fontId="101" fillId="7" borderId="179" xfId="0" applyFont="1" applyFill="1" applyBorder="1" applyAlignment="1">
      <alignment horizontal="centerContinuous"/>
    </xf>
    <xf numFmtId="0" fontId="39" fillId="0" borderId="142" xfId="0" applyFont="1" applyBorder="1" applyAlignment="1">
      <alignment horizontal="center" vertical="center"/>
    </xf>
    <xf numFmtId="0" fontId="39" fillId="0" borderId="143" xfId="0" applyFont="1" applyBorder="1" applyAlignment="1">
      <alignment horizontal="left"/>
    </xf>
    <xf numFmtId="169" fontId="39" fillId="0" borderId="140" xfId="0" applyNumberFormat="1" applyFont="1" applyBorder="1" applyAlignment="1">
      <alignment horizontal="center"/>
    </xf>
    <xf numFmtId="169" fontId="39" fillId="0" borderId="149" xfId="0" applyNumberFormat="1" applyFont="1" applyBorder="1" applyAlignment="1">
      <alignment horizontal="center"/>
    </xf>
    <xf numFmtId="169" fontId="39" fillId="0" borderId="148" xfId="0" applyNumberFormat="1" applyFont="1" applyBorder="1" applyAlignment="1">
      <alignment horizontal="center"/>
    </xf>
    <xf numFmtId="0" fontId="10" fillId="0" borderId="180" xfId="0" applyFont="1" applyBorder="1"/>
    <xf numFmtId="0" fontId="16" fillId="0" borderId="180" xfId="0" applyFont="1" applyBorder="1" applyAlignment="1">
      <alignment vertical="center"/>
    </xf>
    <xf numFmtId="0" fontId="0" fillId="0" borderId="180" xfId="0" applyBorder="1"/>
    <xf numFmtId="0" fontId="10" fillId="0" borderId="181" xfId="0" applyFont="1" applyBorder="1"/>
    <xf numFmtId="0" fontId="95" fillId="0" borderId="180" xfId="0" applyFont="1" applyBorder="1" applyAlignment="1">
      <alignment horizontal="right" vertical="center"/>
    </xf>
    <xf numFmtId="0" fontId="0" fillId="0" borderId="181" xfId="0" applyBorder="1"/>
    <xf numFmtId="0" fontId="95" fillId="0" borderId="181" xfId="0" applyFont="1" applyBorder="1" applyAlignment="1">
      <alignment horizontal="right" vertical="center"/>
    </xf>
    <xf numFmtId="0" fontId="9" fillId="0" borderId="143" xfId="0" applyFont="1" applyBorder="1" applyAlignment="1">
      <alignment horizontal="center"/>
    </xf>
    <xf numFmtId="0" fontId="9" fillId="0" borderId="141" xfId="0" applyFont="1" applyBorder="1" applyAlignment="1">
      <alignment horizontal="center"/>
    </xf>
    <xf numFmtId="0" fontId="9" fillId="0" borderId="144" xfId="0" applyFont="1" applyBorder="1" applyAlignment="1">
      <alignment horizontal="center"/>
    </xf>
    <xf numFmtId="0" fontId="126" fillId="0" borderId="132" xfId="0" applyFont="1" applyBorder="1" applyAlignment="1">
      <alignment horizontal="right"/>
    </xf>
    <xf numFmtId="0" fontId="101" fillId="0" borderId="150" xfId="0" applyFont="1" applyBorder="1" applyAlignment="1">
      <alignment horizontal="right" vertical="center"/>
    </xf>
    <xf numFmtId="0" fontId="7" fillId="5" borderId="0" xfId="0" applyFont="1" applyFill="1" applyAlignment="1">
      <alignment horizontal="left" vertical="center"/>
    </xf>
    <xf numFmtId="0" fontId="44" fillId="7" borderId="148" xfId="0" applyFont="1" applyFill="1" applyBorder="1" applyAlignment="1">
      <alignment horizontal="centerContinuous" vertical="top"/>
    </xf>
    <xf numFmtId="0" fontId="44" fillId="7" borderId="149" xfId="0" applyFont="1" applyFill="1" applyBorder="1" applyAlignment="1">
      <alignment horizontal="centerContinuous" vertical="top"/>
    </xf>
    <xf numFmtId="0" fontId="44" fillId="7" borderId="140" xfId="0" applyFont="1" applyFill="1" applyBorder="1" applyAlignment="1">
      <alignment horizontal="centerContinuous" vertical="top"/>
    </xf>
    <xf numFmtId="0" fontId="44" fillId="7" borderId="145" xfId="0" applyFont="1" applyFill="1" applyBorder="1" applyAlignment="1">
      <alignment horizontal="center" vertical="top"/>
    </xf>
    <xf numFmtId="0" fontId="44" fillId="7" borderId="145" xfId="0" applyFont="1" applyFill="1" applyBorder="1" applyAlignment="1">
      <alignment horizontal="centerContinuous" vertical="top"/>
    </xf>
    <xf numFmtId="0" fontId="236" fillId="0" borderId="180" xfId="0" applyFont="1" applyBorder="1" applyAlignment="1">
      <alignment vertical="center"/>
    </xf>
    <xf numFmtId="0" fontId="101" fillId="5" borderId="150" xfId="0" applyFont="1" applyFill="1" applyBorder="1" applyAlignment="1" applyProtection="1">
      <alignment horizontal="center"/>
      <protection locked="0"/>
    </xf>
    <xf numFmtId="0" fontId="49" fillId="0" borderId="79" xfId="0" applyFont="1" applyBorder="1" applyAlignment="1">
      <alignment vertical="center"/>
    </xf>
    <xf numFmtId="0" fontId="96" fillId="0" borderId="0" xfId="0" applyFont="1" applyAlignment="1">
      <alignment vertical="top"/>
    </xf>
    <xf numFmtId="0" fontId="4" fillId="0" borderId="0" xfId="1" applyNumberFormat="1" applyFill="1" applyBorder="1" applyAlignment="1">
      <alignment horizontal="center"/>
    </xf>
    <xf numFmtId="0" fontId="215" fillId="0" borderId="0" xfId="1" applyNumberFormat="1" applyFont="1" applyFill="1" applyBorder="1" applyAlignment="1">
      <alignment horizontal="center"/>
    </xf>
    <xf numFmtId="0" fontId="4" fillId="0" borderId="0" xfId="1" applyNumberForma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221" fillId="0" borderId="0" xfId="0" applyFont="1" applyAlignment="1">
      <alignment horizontal="center" vertical="center"/>
    </xf>
    <xf numFmtId="0" fontId="227" fillId="0" borderId="0" xfId="0" applyFont="1" applyAlignment="1">
      <alignment horizontal="center"/>
    </xf>
    <xf numFmtId="0" fontId="49" fillId="0" borderId="79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19" fillId="0" borderId="128" xfId="0" quotePrefix="1" applyFont="1" applyBorder="1"/>
    <xf numFmtId="0" fontId="219" fillId="0" borderId="129" xfId="0" quotePrefix="1" applyFont="1" applyBorder="1"/>
    <xf numFmtId="0" fontId="311" fillId="0" borderId="0" xfId="0" applyFont="1" applyAlignment="1">
      <alignment horizontal="centerContinuous"/>
    </xf>
    <xf numFmtId="0" fontId="49" fillId="0" borderId="0" xfId="0" applyFont="1" applyAlignment="1">
      <alignment horizontal="centerContinuous" vertical="center"/>
    </xf>
    <xf numFmtId="0" fontId="114" fillId="4" borderId="67" xfId="0" applyFont="1" applyFill="1" applyBorder="1" applyAlignment="1">
      <alignment horizontal="center" vertical="center"/>
    </xf>
    <xf numFmtId="0" fontId="101" fillId="0" borderId="40" xfId="0" applyFont="1" applyBorder="1" applyAlignment="1">
      <alignment vertical="center"/>
    </xf>
    <xf numFmtId="0" fontId="237" fillId="0" borderId="0" xfId="0" applyFont="1" applyAlignment="1">
      <alignment horizontal="left" indent="1"/>
    </xf>
    <xf numFmtId="0" fontId="218" fillId="0" borderId="0" xfId="0" applyFont="1" applyAlignment="1">
      <alignment horizontal="left" indent="1"/>
    </xf>
    <xf numFmtId="0" fontId="222" fillId="0" borderId="0" xfId="0" applyFont="1" applyAlignment="1">
      <alignment horizontal="left" vertical="center"/>
    </xf>
    <xf numFmtId="0" fontId="218" fillId="0" borderId="0" xfId="0" applyFont="1" applyAlignment="1">
      <alignment horizontal="left" vertical="top"/>
    </xf>
    <xf numFmtId="0" fontId="218" fillId="0" borderId="0" xfId="0" applyFont="1" applyAlignment="1">
      <alignment horizontal="left" vertical="top" wrapText="1"/>
    </xf>
    <xf numFmtId="0" fontId="218" fillId="0" borderId="0" xfId="0" applyFont="1" applyAlignment="1">
      <alignment horizontal="left" vertical="center" indent="1"/>
    </xf>
    <xf numFmtId="0" fontId="49" fillId="0" borderId="0" xfId="0" quotePrefix="1" applyFont="1" applyAlignment="1">
      <alignment horizontal="left" vertical="top"/>
    </xf>
    <xf numFmtId="0" fontId="219" fillId="0" borderId="0" xfId="0" quotePrefix="1" applyFont="1"/>
    <xf numFmtId="169" fontId="159" fillId="0" borderId="0" xfId="0" applyNumberFormat="1" applyFont="1"/>
    <xf numFmtId="0" fontId="226" fillId="0" borderId="0" xfId="0" applyFont="1" applyAlignment="1">
      <alignment vertical="top"/>
    </xf>
    <xf numFmtId="168" fontId="80" fillId="5" borderId="0" xfId="0" applyNumberFormat="1" applyFont="1" applyFill="1" applyAlignment="1" applyProtection="1">
      <alignment horizontal="right" vertical="center"/>
      <protection locked="0"/>
    </xf>
    <xf numFmtId="0" fontId="226" fillId="0" borderId="0" xfId="0" applyFont="1" applyAlignment="1">
      <alignment vertical="top" wrapText="1"/>
    </xf>
    <xf numFmtId="0" fontId="101" fillId="0" borderId="0" xfId="0" applyFont="1" applyAlignment="1">
      <alignment horizontal="right"/>
    </xf>
    <xf numFmtId="14" fontId="230" fillId="0" borderId="0" xfId="0" applyNumberFormat="1" applyFont="1" applyAlignment="1">
      <alignment horizontal="right" vertical="center"/>
    </xf>
    <xf numFmtId="0" fontId="101" fillId="5" borderId="94" xfId="0" applyFont="1" applyFill="1" applyBorder="1" applyAlignment="1" applyProtection="1">
      <alignment vertical="center"/>
      <protection locked="0"/>
    </xf>
    <xf numFmtId="0" fontId="101" fillId="5" borderId="86" xfId="0" applyFont="1" applyFill="1" applyBorder="1" applyAlignment="1" applyProtection="1">
      <alignment vertical="center"/>
      <protection locked="0"/>
    </xf>
    <xf numFmtId="0" fontId="101" fillId="5" borderId="89" xfId="0" applyFont="1" applyFill="1" applyBorder="1" applyAlignment="1" applyProtection="1">
      <alignment vertical="center"/>
      <protection locked="0"/>
    </xf>
    <xf numFmtId="0" fontId="101" fillId="5" borderId="98" xfId="0" applyFont="1" applyFill="1" applyBorder="1" applyAlignment="1" applyProtection="1">
      <alignment vertical="center"/>
      <protection locked="0"/>
    </xf>
    <xf numFmtId="169" fontId="49" fillId="5" borderId="98" xfId="0" applyNumberFormat="1" applyFont="1" applyFill="1" applyBorder="1" applyAlignment="1" applyProtection="1">
      <alignment horizontal="left" vertical="center"/>
      <protection locked="0"/>
    </xf>
    <xf numFmtId="181" fontId="0" fillId="0" borderId="0" xfId="0" applyNumberFormat="1"/>
    <xf numFmtId="4" fontId="49" fillId="5" borderId="98" xfId="0" applyNumberFormat="1" applyFont="1" applyFill="1" applyBorder="1" applyAlignment="1" applyProtection="1">
      <alignment horizontal="right" vertical="center"/>
      <protection locked="0"/>
    </xf>
    <xf numFmtId="4" fontId="80" fillId="5" borderId="98" xfId="0" applyNumberFormat="1" applyFont="1" applyFill="1" applyBorder="1" applyAlignment="1" applyProtection="1">
      <alignment horizontal="right" vertical="center"/>
      <protection locked="0"/>
    </xf>
    <xf numFmtId="3" fontId="80" fillId="5" borderId="98" xfId="0" applyNumberFormat="1" applyFont="1" applyFill="1" applyBorder="1" applyAlignment="1" applyProtection="1">
      <alignment horizontal="right" vertical="center"/>
      <protection locked="0"/>
    </xf>
    <xf numFmtId="171" fontId="230" fillId="5" borderId="182" xfId="0" applyNumberFormat="1" applyFont="1" applyFill="1" applyBorder="1" applyAlignment="1" applyProtection="1">
      <alignment horizontal="right" vertical="center"/>
      <protection locked="0"/>
    </xf>
    <xf numFmtId="0" fontId="16" fillId="0" borderId="0" xfId="0" applyFont="1"/>
    <xf numFmtId="0" fontId="218" fillId="0" borderId="85" xfId="0" applyFont="1" applyBorder="1" applyAlignment="1">
      <alignment horizontal="right"/>
    </xf>
    <xf numFmtId="0" fontId="18" fillId="0" borderId="0" xfId="0" applyFont="1" applyAlignment="1">
      <alignment horizontal="center"/>
    </xf>
    <xf numFmtId="0" fontId="218" fillId="0" borderId="182" xfId="0" applyFont="1" applyBorder="1" applyAlignment="1">
      <alignment horizontal="right"/>
    </xf>
    <xf numFmtId="0" fontId="218" fillId="0" borderId="183" xfId="0" applyFont="1" applyBorder="1"/>
    <xf numFmtId="0" fontId="231" fillId="0" borderId="184" xfId="0" applyFont="1" applyBorder="1" applyAlignment="1">
      <alignment horizontal="right"/>
    </xf>
    <xf numFmtId="0" fontId="218" fillId="0" borderId="91" xfId="0" applyFont="1" applyBorder="1"/>
    <xf numFmtId="14" fontId="230" fillId="0" borderId="93" xfId="0" applyNumberFormat="1" applyFont="1" applyBorder="1" applyAlignment="1">
      <alignment horizontal="right"/>
    </xf>
    <xf numFmtId="0" fontId="270" fillId="0" borderId="40" xfId="0" applyFont="1" applyBorder="1" applyAlignment="1">
      <alignment horizontal="left" vertical="center" wrapText="1"/>
    </xf>
    <xf numFmtId="0" fontId="312" fillId="13" borderId="112" xfId="0" applyFont="1" applyFill="1" applyBorder="1" applyAlignment="1">
      <alignment horizontal="center"/>
    </xf>
    <xf numFmtId="0" fontId="63" fillId="13" borderId="113" xfId="0" applyFont="1" applyFill="1" applyBorder="1" applyAlignment="1">
      <alignment horizontal="center" vertical="top"/>
    </xf>
    <xf numFmtId="0" fontId="312" fillId="13" borderId="88" xfId="0" applyFont="1" applyFill="1" applyBorder="1" applyAlignment="1">
      <alignment horizontal="centerContinuous"/>
    </xf>
    <xf numFmtId="0" fontId="312" fillId="13" borderId="87" xfId="0" applyFont="1" applyFill="1" applyBorder="1" applyAlignment="1">
      <alignment horizontal="centerContinuous"/>
    </xf>
    <xf numFmtId="0" fontId="312" fillId="13" borderId="92" xfId="0" applyFont="1" applyFill="1" applyBorder="1" applyAlignment="1">
      <alignment horizontal="centerContinuous"/>
    </xf>
    <xf numFmtId="0" fontId="63" fillId="13" borderId="91" xfId="0" applyFont="1" applyFill="1" applyBorder="1" applyAlignment="1">
      <alignment horizontal="centerContinuous" vertical="top"/>
    </xf>
    <xf numFmtId="0" fontId="63" fillId="13" borderId="85" xfId="0" applyFont="1" applyFill="1" applyBorder="1" applyAlignment="1">
      <alignment horizontal="centerContinuous" vertical="top"/>
    </xf>
    <xf numFmtId="0" fontId="63" fillId="13" borderId="93" xfId="0" applyFont="1" applyFill="1" applyBorder="1" applyAlignment="1">
      <alignment horizontal="centerContinuous" vertical="top"/>
    </xf>
    <xf numFmtId="49" fontId="270" fillId="0" borderId="0" xfId="0" applyNumberFormat="1" applyFont="1" applyAlignment="1">
      <alignment vertical="center"/>
    </xf>
    <xf numFmtId="49" fontId="49" fillId="0" borderId="0" xfId="0" applyNumberFormat="1" applyFont="1" applyAlignment="1">
      <alignment horizontal="left" vertical="center" wrapText="1"/>
    </xf>
    <xf numFmtId="0" fontId="49" fillId="0" borderId="0" xfId="0" applyFont="1" applyAlignment="1">
      <alignment vertical="center" wrapText="1"/>
    </xf>
    <xf numFmtId="0" fontId="49" fillId="0" borderId="0" xfId="0" applyFont="1" applyAlignment="1">
      <alignment horizontal="center" vertical="center" wrapText="1"/>
    </xf>
    <xf numFmtId="0" fontId="313" fillId="0" borderId="0" xfId="0" applyFont="1" applyAlignment="1">
      <alignment vertical="center"/>
    </xf>
    <xf numFmtId="0" fontId="314" fillId="0" borderId="0" xfId="1" applyFont="1" applyBorder="1" applyAlignment="1">
      <alignment horizontal="left" vertical="center" wrapText="1"/>
    </xf>
    <xf numFmtId="0" fontId="314" fillId="0" borderId="0" xfId="1" applyFont="1" applyFill="1" applyBorder="1" applyAlignment="1">
      <alignment horizontal="left" vertical="center" wrapText="1"/>
    </xf>
    <xf numFmtId="49" fontId="270" fillId="0" borderId="0" xfId="0" quotePrefix="1" applyNumberFormat="1" applyFont="1" applyAlignment="1">
      <alignment horizontal="left" vertical="center"/>
    </xf>
    <xf numFmtId="0" fontId="92" fillId="13" borderId="113" xfId="0" applyFont="1" applyFill="1" applyBorder="1" applyAlignment="1">
      <alignment horizontal="center" vertical="top"/>
    </xf>
    <xf numFmtId="0" fontId="218" fillId="0" borderId="116" xfId="0" applyFont="1" applyBorder="1" applyAlignment="1">
      <alignment horizontal="left" vertical="center"/>
    </xf>
    <xf numFmtId="0" fontId="218" fillId="0" borderId="116" xfId="0" applyFont="1" applyBorder="1" applyAlignment="1">
      <alignment horizontal="left" vertical="center" wrapText="1"/>
    </xf>
    <xf numFmtId="0" fontId="222" fillId="0" borderId="127" xfId="0" applyFont="1" applyBorder="1" applyAlignment="1">
      <alignment horizontal="left" vertical="center"/>
    </xf>
    <xf numFmtId="0" fontId="44" fillId="0" borderId="0" xfId="0" applyFont="1" applyAlignment="1" applyProtection="1">
      <alignment horizontal="center" vertical="center"/>
      <protection locked="0"/>
    </xf>
    <xf numFmtId="0" fontId="101" fillId="0" borderId="52" xfId="0" applyFont="1" applyBorder="1" applyAlignment="1" applyProtection="1">
      <alignment horizontal="left"/>
      <protection locked="0"/>
    </xf>
    <xf numFmtId="0" fontId="48" fillId="0" borderId="40" xfId="0" applyFont="1" applyBorder="1" applyAlignment="1" applyProtection="1">
      <alignment horizontal="center"/>
      <protection locked="0"/>
    </xf>
    <xf numFmtId="0" fontId="101" fillId="0" borderId="40" xfId="0" applyFont="1" applyBorder="1" applyAlignment="1" applyProtection="1">
      <alignment horizontal="left"/>
      <protection locked="0"/>
    </xf>
    <xf numFmtId="0" fontId="49" fillId="0" borderId="40" xfId="0" applyFont="1" applyBorder="1" applyAlignment="1" applyProtection="1">
      <alignment horizontal="left"/>
      <protection locked="0"/>
    </xf>
    <xf numFmtId="14" fontId="96" fillId="0" borderId="40" xfId="0" applyNumberFormat="1" applyFont="1" applyBorder="1" applyAlignment="1" applyProtection="1">
      <alignment horizontal="left" vertical="center"/>
      <protection locked="0"/>
    </xf>
    <xf numFmtId="183" fontId="101" fillId="0" borderId="52" xfId="0" applyNumberFormat="1" applyFont="1" applyBorder="1" applyAlignment="1" applyProtection="1">
      <alignment horizontal="right"/>
      <protection locked="0"/>
    </xf>
    <xf numFmtId="2" fontId="49" fillId="0" borderId="52" xfId="0" applyNumberFormat="1" applyFont="1" applyBorder="1" applyProtection="1">
      <protection locked="0"/>
    </xf>
    <xf numFmtId="2" fontId="9" fillId="0" borderId="52" xfId="0" applyNumberFormat="1" applyFont="1" applyBorder="1" applyAlignment="1" applyProtection="1">
      <alignment horizontal="right"/>
      <protection locked="0"/>
    </xf>
    <xf numFmtId="14" fontId="101" fillId="0" borderId="55" xfId="0" applyNumberFormat="1" applyFont="1" applyBorder="1" applyAlignment="1" applyProtection="1">
      <alignment horizontal="center"/>
      <protection locked="0"/>
    </xf>
    <xf numFmtId="0" fontId="44" fillId="0" borderId="0" xfId="0" applyFont="1" applyProtection="1">
      <protection locked="0"/>
    </xf>
    <xf numFmtId="0" fontId="44" fillId="0" borderId="72" xfId="0" applyFont="1" applyBorder="1" applyProtection="1">
      <protection locked="0"/>
    </xf>
    <xf numFmtId="0" fontId="44" fillId="0" borderId="73" xfId="0" applyFont="1" applyBorder="1" applyProtection="1">
      <protection locked="0"/>
    </xf>
    <xf numFmtId="0" fontId="68" fillId="0" borderId="73" xfId="0" applyFont="1" applyBorder="1" applyProtection="1">
      <protection locked="0"/>
    </xf>
    <xf numFmtId="0" fontId="77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  <protection locked="0"/>
    </xf>
    <xf numFmtId="14" fontId="4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2" fontId="44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39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200" fillId="0" borderId="0" xfId="0" applyFont="1" applyAlignment="1" applyProtection="1">
      <alignment vertical="center"/>
      <protection locked="0"/>
    </xf>
    <xf numFmtId="0" fontId="279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vertical="center"/>
      <protection locked="0"/>
    </xf>
    <xf numFmtId="0" fontId="163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horizontal="center" vertical="center"/>
      <protection locked="0"/>
    </xf>
    <xf numFmtId="0" fontId="211" fillId="0" borderId="0" xfId="0" applyFont="1" applyAlignment="1" applyProtection="1">
      <alignment vertical="center"/>
      <protection locked="0"/>
    </xf>
    <xf numFmtId="2" fontId="163" fillId="0" borderId="0" xfId="0" applyNumberFormat="1" applyFont="1" applyAlignment="1" applyProtection="1">
      <alignment vertical="center"/>
      <protection locked="0"/>
    </xf>
    <xf numFmtId="0" fontId="163" fillId="5" borderId="0" xfId="0" applyFont="1" applyFill="1" applyAlignment="1" applyProtection="1">
      <alignment horizontal="center" vertical="center"/>
      <protection locked="0"/>
    </xf>
    <xf numFmtId="0" fontId="200" fillId="0" borderId="0" xfId="0" applyFont="1" applyAlignment="1" applyProtection="1">
      <alignment horizontal="center" vertical="center"/>
      <protection locked="0"/>
    </xf>
    <xf numFmtId="0" fontId="279" fillId="0" borderId="0" xfId="0" applyFont="1" applyAlignment="1" applyProtection="1">
      <alignment horizontal="center" vertical="center"/>
      <protection locked="0"/>
    </xf>
    <xf numFmtId="0" fontId="163" fillId="0" borderId="0" xfId="0" applyFont="1" applyAlignment="1" applyProtection="1">
      <alignment horizontal="center" vertical="center"/>
      <protection locked="0"/>
    </xf>
    <xf numFmtId="14" fontId="163" fillId="0" borderId="0" xfId="0" applyNumberFormat="1" applyFont="1" applyAlignment="1" applyProtection="1">
      <alignment horizontal="center" vertical="center"/>
      <protection locked="0"/>
    </xf>
    <xf numFmtId="0" fontId="211" fillId="0" borderId="0" xfId="0" applyFont="1" applyAlignment="1" applyProtection="1">
      <alignment horizontal="center" vertical="center"/>
      <protection locked="0"/>
    </xf>
    <xf numFmtId="2" fontId="163" fillId="0" borderId="0" xfId="0" applyNumberFormat="1" applyFont="1" applyAlignment="1" applyProtection="1">
      <alignment horizontal="center" vertical="center"/>
      <protection locked="0"/>
    </xf>
    <xf numFmtId="0" fontId="44" fillId="0" borderId="57" xfId="0" applyFont="1" applyBorder="1" applyProtection="1">
      <protection locked="0"/>
    </xf>
    <xf numFmtId="0" fontId="44" fillId="5" borderId="0" xfId="0" applyFont="1" applyFill="1" applyProtection="1">
      <protection locked="0"/>
    </xf>
    <xf numFmtId="0" fontId="226" fillId="0" borderId="0" xfId="0" applyFont="1" applyAlignment="1" applyProtection="1">
      <alignment vertical="center"/>
      <protection locked="0"/>
    </xf>
    <xf numFmtId="0" fontId="226" fillId="0" borderId="0" xfId="0" applyFont="1" applyProtection="1">
      <protection locked="0"/>
    </xf>
    <xf numFmtId="168" fontId="236" fillId="0" borderId="0" xfId="0" applyNumberFormat="1" applyFont="1" applyAlignment="1" applyProtection="1">
      <alignment vertical="center"/>
      <protection locked="0"/>
    </xf>
    <xf numFmtId="0" fontId="4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4" fillId="0" borderId="57" xfId="0" applyFont="1" applyBorder="1" applyAlignment="1" applyProtection="1">
      <alignment horizontal="center" vertical="center"/>
      <protection locked="0"/>
    </xf>
    <xf numFmtId="0" fontId="181" fillId="5" borderId="0" xfId="0" applyFont="1" applyFill="1" applyAlignment="1" applyProtection="1">
      <alignment horizontal="center" vertical="center"/>
      <protection locked="0"/>
    </xf>
    <xf numFmtId="0" fontId="77" fillId="0" borderId="0" xfId="0" applyFont="1" applyAlignment="1" applyProtection="1">
      <alignment horizontal="center" vertical="center"/>
      <protection locked="0"/>
    </xf>
    <xf numFmtId="0" fontId="68" fillId="0" borderId="0" xfId="0" applyFont="1" applyAlignment="1" applyProtection="1">
      <alignment horizontal="center" vertical="center"/>
      <protection locked="0"/>
    </xf>
    <xf numFmtId="2" fontId="44" fillId="0" borderId="0" xfId="0" applyNumberFormat="1" applyFont="1" applyAlignment="1" applyProtection="1">
      <alignment horizontal="center" vertical="center"/>
      <protection locked="0"/>
    </xf>
    <xf numFmtId="168" fontId="7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39" fillId="0" borderId="57" xfId="0" applyFont="1" applyBorder="1" applyAlignment="1" applyProtection="1">
      <alignment horizontal="center"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260" fillId="0" borderId="0" xfId="0" applyFont="1" applyAlignment="1" applyProtection="1">
      <alignment horizontal="center" vertical="center"/>
      <protection locked="0"/>
    </xf>
    <xf numFmtId="0" fontId="117" fillId="5" borderId="0" xfId="0" applyFont="1" applyFill="1" applyAlignment="1" applyProtection="1">
      <alignment horizontal="center" vertical="center"/>
      <protection locked="0"/>
    </xf>
    <xf numFmtId="0" fontId="64" fillId="0" borderId="0" xfId="0" applyFont="1" applyProtection="1">
      <protection locked="0"/>
    </xf>
    <xf numFmtId="0" fontId="120" fillId="5" borderId="87" xfId="0" applyFont="1" applyFill="1" applyBorder="1" applyAlignment="1" applyProtection="1">
      <alignment horizontal="left"/>
      <protection locked="0"/>
    </xf>
    <xf numFmtId="0" fontId="249" fillId="5" borderId="87" xfId="0" applyFont="1" applyFill="1" applyBorder="1" applyAlignment="1" applyProtection="1">
      <alignment horizontal="center" vertical="center"/>
      <protection locked="0"/>
    </xf>
    <xf numFmtId="0" fontId="301" fillId="5" borderId="87" xfId="0" applyFont="1" applyFill="1" applyBorder="1" applyAlignment="1" applyProtection="1">
      <alignment horizontal="center" vertical="center"/>
      <protection locked="0"/>
    </xf>
    <xf numFmtId="0" fontId="184" fillId="0" borderId="0" xfId="0" applyFont="1" applyAlignment="1" applyProtection="1">
      <alignment horizontal="left" vertical="center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0" fillId="5" borderId="0" xfId="0" applyFont="1" applyFill="1" applyAlignment="1" applyProtection="1">
      <alignment horizontal="left"/>
      <protection locked="0"/>
    </xf>
    <xf numFmtId="0" fontId="79" fillId="0" borderId="0" xfId="0" applyFont="1" applyAlignment="1" applyProtection="1">
      <alignment horizontal="center" vertical="center" wrapText="1"/>
      <protection locked="0"/>
    </xf>
    <xf numFmtId="49" fontId="250" fillId="5" borderId="0" xfId="0" applyNumberFormat="1" applyFont="1" applyFill="1" applyAlignment="1" applyProtection="1">
      <alignment vertical="top" wrapText="1"/>
      <protection locked="0"/>
    </xf>
    <xf numFmtId="49" fontId="48" fillId="5" borderId="0" xfId="0" applyNumberFormat="1" applyFont="1" applyFill="1" applyAlignment="1" applyProtection="1">
      <alignment vertical="top" wrapText="1"/>
      <protection locked="0"/>
    </xf>
    <xf numFmtId="14" fontId="68" fillId="0" borderId="0" xfId="0" applyNumberFormat="1" applyFont="1" applyProtection="1">
      <protection locked="0"/>
    </xf>
    <xf numFmtId="0" fontId="78" fillId="0" borderId="90" xfId="0" applyFont="1" applyBorder="1" applyAlignment="1" applyProtection="1">
      <alignment horizontal="center"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0" fontId="137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261" fillId="0" borderId="0" xfId="0" applyFont="1" applyAlignment="1" applyProtection="1">
      <alignment horizontal="center"/>
      <protection locked="0"/>
    </xf>
    <xf numFmtId="0" fontId="212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2" fontId="3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2" fontId="48" fillId="0" borderId="51" xfId="0" applyNumberFormat="1" applyFont="1" applyBorder="1" applyAlignment="1" applyProtection="1">
      <alignment horizontal="right" vertical="center"/>
      <protection locked="0"/>
    </xf>
    <xf numFmtId="2" fontId="96" fillId="0" borderId="0" xfId="0" applyNumberFormat="1" applyFont="1" applyAlignment="1" applyProtection="1">
      <alignment horizontal="right" vertical="center"/>
      <protection locked="0"/>
    </xf>
    <xf numFmtId="3" fontId="96" fillId="0" borderId="0" xfId="0" applyNumberFormat="1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3" fontId="96" fillId="0" borderId="0" xfId="0" applyNumberFormat="1" applyFont="1" applyAlignment="1" applyProtection="1">
      <alignment horizontal="center" vertical="center"/>
      <protection locked="0"/>
    </xf>
    <xf numFmtId="0" fontId="44" fillId="0" borderId="90" xfId="0" applyFont="1" applyBorder="1" applyAlignment="1" applyProtection="1">
      <alignment horizontal="center" vertical="center"/>
      <protection locked="0"/>
    </xf>
    <xf numFmtId="0" fontId="205" fillId="0" borderId="84" xfId="0" applyFont="1" applyBorder="1" applyAlignment="1" applyProtection="1">
      <alignment horizontal="center" vertical="center"/>
      <protection locked="0"/>
    </xf>
    <xf numFmtId="176" fontId="49" fillId="0" borderId="84" xfId="0" applyNumberFormat="1" applyFont="1" applyBorder="1" applyAlignment="1" applyProtection="1">
      <alignment horizontal="center" vertical="center"/>
      <protection locked="0"/>
    </xf>
    <xf numFmtId="0" fontId="204" fillId="0" borderId="84" xfId="0" applyFont="1" applyBorder="1" applyAlignment="1" applyProtection="1">
      <alignment horizontal="center" vertical="center"/>
      <protection locked="0"/>
    </xf>
    <xf numFmtId="0" fontId="204" fillId="0" borderId="0" xfId="0" applyFont="1" applyAlignment="1" applyProtection="1">
      <alignment horizontal="center" vertical="center"/>
      <protection locked="0"/>
    </xf>
    <xf numFmtId="2" fontId="49" fillId="0" borderId="0" xfId="0" applyNumberFormat="1" applyFont="1" applyAlignment="1" applyProtection="1">
      <alignment horizontal="right" vertical="center"/>
      <protection locked="0"/>
    </xf>
    <xf numFmtId="3" fontId="9" fillId="0" borderId="0" xfId="0" applyNumberFormat="1" applyFont="1" applyProtection="1">
      <protection locked="0"/>
    </xf>
    <xf numFmtId="0" fontId="39" fillId="5" borderId="0" xfId="0" applyFont="1" applyFill="1" applyProtection="1">
      <protection locked="0"/>
    </xf>
    <xf numFmtId="0" fontId="180" fillId="0" borderId="0" xfId="0" applyFont="1" applyAlignment="1" applyProtection="1">
      <alignment horizontal="center" vertical="center"/>
      <protection locked="0"/>
    </xf>
    <xf numFmtId="168" fontId="39" fillId="0" borderId="0" xfId="0" applyNumberFormat="1" applyFont="1" applyAlignment="1" applyProtection="1">
      <alignment horizontal="center"/>
      <protection locked="0"/>
    </xf>
    <xf numFmtId="0" fontId="155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1" fontId="39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top"/>
      <protection locked="0"/>
    </xf>
    <xf numFmtId="0" fontId="43" fillId="0" borderId="0" xfId="0" applyFont="1" applyAlignment="1" applyProtection="1">
      <alignment horizontal="center" vertical="top"/>
      <protection locked="0"/>
    </xf>
    <xf numFmtId="0" fontId="259" fillId="0" borderId="0" xfId="0" applyFont="1" applyAlignment="1" applyProtection="1">
      <alignment vertical="center"/>
      <protection locked="0"/>
    </xf>
    <xf numFmtId="0" fontId="259" fillId="0" borderId="0" xfId="0" applyFont="1" applyAlignment="1" applyProtection="1">
      <alignment horizontal="center" vertical="center"/>
      <protection locked="0"/>
    </xf>
    <xf numFmtId="0" fontId="89" fillId="0" borderId="0" xfId="0" applyFont="1" applyAlignment="1" applyProtection="1">
      <alignment horizontal="center" vertical="center"/>
      <protection locked="0"/>
    </xf>
    <xf numFmtId="0" fontId="101" fillId="0" borderId="51" xfId="0" applyFont="1" applyBorder="1" applyAlignment="1" applyProtection="1">
      <alignment horizontal="right" vertical="center"/>
      <protection locked="0"/>
    </xf>
    <xf numFmtId="2" fontId="261" fillId="0" borderId="0" xfId="0" applyNumberFormat="1" applyFont="1" applyAlignment="1" applyProtection="1">
      <alignment horizontal="center" vertical="center"/>
      <protection locked="0"/>
    </xf>
    <xf numFmtId="0" fontId="280" fillId="13" borderId="43" xfId="0" applyFont="1" applyFill="1" applyBorder="1" applyAlignment="1" applyProtection="1">
      <alignment horizontal="center" vertical="center"/>
      <protection locked="0"/>
    </xf>
    <xf numFmtId="0" fontId="280" fillId="13" borderId="43" xfId="0" applyFont="1" applyFill="1" applyBorder="1" applyAlignment="1" applyProtection="1">
      <alignment horizontal="centerContinuous" vertical="center"/>
      <protection locked="0"/>
    </xf>
    <xf numFmtId="0" fontId="280" fillId="13" borderId="40" xfId="0" applyFont="1" applyFill="1" applyBorder="1" applyAlignment="1" applyProtection="1">
      <alignment horizontal="centerContinuous" vertical="center"/>
      <protection locked="0"/>
    </xf>
    <xf numFmtId="0" fontId="63" fillId="13" borderId="44" xfId="0" applyFont="1" applyFill="1" applyBorder="1" applyAlignment="1" applyProtection="1">
      <alignment horizontal="center" vertical="top"/>
      <protection locked="0"/>
    </xf>
    <xf numFmtId="0" fontId="63" fillId="13" borderId="71" xfId="0" applyFont="1" applyFill="1" applyBorder="1" applyAlignment="1" applyProtection="1">
      <alignment horizontal="centerContinuous" vertical="top"/>
      <protection locked="0"/>
    </xf>
    <xf numFmtId="0" fontId="63" fillId="13" borderId="71" xfId="0" applyFont="1" applyFill="1" applyBorder="1" applyAlignment="1" applyProtection="1">
      <alignment horizontal="centerContinuous" vertical="center"/>
      <protection locked="0"/>
    </xf>
    <xf numFmtId="0" fontId="193" fillId="13" borderId="40" xfId="0" applyFont="1" applyFill="1" applyBorder="1" applyAlignment="1" applyProtection="1">
      <alignment horizontal="center" vertical="center"/>
      <protection locked="0"/>
    </xf>
    <xf numFmtId="0" fontId="275" fillId="7" borderId="43" xfId="0" applyFont="1" applyFill="1" applyBorder="1" applyAlignment="1" applyProtection="1">
      <alignment horizontal="center" vertical="center"/>
      <protection locked="0"/>
    </xf>
    <xf numFmtId="0" fontId="113" fillId="7" borderId="44" xfId="0" applyFont="1" applyFill="1" applyBorder="1" applyAlignment="1" applyProtection="1">
      <alignment horizontal="center" vertical="top"/>
      <protection locked="0"/>
    </xf>
    <xf numFmtId="0" fontId="113" fillId="7" borderId="71" xfId="0" applyFont="1" applyFill="1" applyBorder="1" applyAlignment="1" applyProtection="1">
      <alignment horizontal="center" vertical="top"/>
      <protection locked="0"/>
    </xf>
    <xf numFmtId="168" fontId="7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right"/>
      <protection locked="0"/>
    </xf>
    <xf numFmtId="0" fontId="163" fillId="5" borderId="72" xfId="0" applyFont="1" applyFill="1" applyBorder="1" applyAlignment="1" applyProtection="1">
      <alignment vertical="center"/>
      <protection locked="0"/>
    </xf>
    <xf numFmtId="0" fontId="163" fillId="5" borderId="73" xfId="0" applyFont="1" applyFill="1" applyBorder="1" applyAlignment="1" applyProtection="1">
      <alignment vertical="center"/>
      <protection locked="0"/>
    </xf>
    <xf numFmtId="0" fontId="279" fillId="5" borderId="186" xfId="0" applyFont="1" applyFill="1" applyBorder="1" applyAlignment="1" applyProtection="1">
      <alignment vertical="center"/>
      <protection locked="0"/>
    </xf>
    <xf numFmtId="0" fontId="272" fillId="0" borderId="0" xfId="0" applyFont="1" applyAlignment="1" applyProtection="1">
      <alignment vertical="center"/>
      <protection locked="0"/>
    </xf>
    <xf numFmtId="0" fontId="277" fillId="0" borderId="0" xfId="0" applyFont="1" applyAlignment="1" applyProtection="1">
      <alignment vertical="center"/>
      <protection locked="0"/>
    </xf>
    <xf numFmtId="0" fontId="211" fillId="0" borderId="0" xfId="0" applyFont="1" applyAlignment="1" applyProtection="1">
      <alignment horizontal="center"/>
      <protection locked="0"/>
    </xf>
    <xf numFmtId="0" fontId="163" fillId="5" borderId="187" xfId="0" applyFont="1" applyFill="1" applyBorder="1" applyAlignment="1" applyProtection="1">
      <alignment horizontal="center" vertical="center"/>
      <protection locked="0"/>
    </xf>
    <xf numFmtId="0" fontId="279" fillId="5" borderId="188" xfId="0" applyFont="1" applyFill="1" applyBorder="1" applyAlignment="1" applyProtection="1">
      <alignment horizontal="center" vertical="center"/>
      <protection locked="0"/>
    </xf>
    <xf numFmtId="0" fontId="44" fillId="5" borderId="187" xfId="0" applyFont="1" applyFill="1" applyBorder="1" applyProtection="1">
      <protection locked="0"/>
    </xf>
    <xf numFmtId="0" fontId="63" fillId="5" borderId="188" xfId="0" applyFont="1" applyFill="1" applyBorder="1" applyAlignment="1" applyProtection="1">
      <alignment horizontal="center" vertical="center"/>
      <protection locked="0"/>
    </xf>
    <xf numFmtId="1" fontId="68" fillId="0" borderId="0" xfId="0" applyNumberFormat="1" applyFont="1" applyAlignment="1" applyProtection="1">
      <alignment horizontal="center" vertical="center"/>
      <protection locked="0"/>
    </xf>
    <xf numFmtId="0" fontId="226" fillId="0" borderId="0" xfId="0" applyFont="1" applyAlignment="1" applyProtection="1">
      <alignment horizontal="left" vertical="center"/>
      <protection locked="0"/>
    </xf>
    <xf numFmtId="0" fontId="44" fillId="0" borderId="0" xfId="0" applyFont="1" applyAlignment="1" applyProtection="1">
      <alignment horizontal="centerContinuous" vertical="center"/>
      <protection locked="0"/>
    </xf>
    <xf numFmtId="0" fontId="44" fillId="5" borderId="187" xfId="0" applyFont="1" applyFill="1" applyBorder="1" applyAlignment="1" applyProtection="1">
      <alignment horizontal="center" vertical="center"/>
      <protection locked="0"/>
    </xf>
    <xf numFmtId="0" fontId="68" fillId="5" borderId="188" xfId="0" applyFont="1" applyFill="1" applyBorder="1" applyAlignment="1" applyProtection="1">
      <alignment horizontal="center" vertical="center"/>
      <protection locked="0"/>
    </xf>
    <xf numFmtId="0" fontId="39" fillId="5" borderId="187" xfId="0" applyFont="1" applyFill="1" applyBorder="1" applyAlignment="1" applyProtection="1">
      <alignment horizontal="center" vertical="center"/>
      <protection locked="0"/>
    </xf>
    <xf numFmtId="0" fontId="79" fillId="13" borderId="43" xfId="0" applyFont="1" applyFill="1" applyBorder="1" applyAlignment="1" applyProtection="1">
      <alignment horizontal="center" vertical="center"/>
      <protection locked="0"/>
    </xf>
    <xf numFmtId="0" fontId="79" fillId="13" borderId="41" xfId="0" applyFont="1" applyFill="1" applyBorder="1" applyAlignment="1" applyProtection="1">
      <alignment horizontal="center" vertical="center"/>
      <protection locked="0"/>
    </xf>
    <xf numFmtId="0" fontId="79" fillId="13" borderId="46" xfId="0" applyFont="1" applyFill="1" applyBorder="1" applyAlignment="1" applyProtection="1">
      <alignment horizontal="center" vertical="center"/>
      <protection locked="0"/>
    </xf>
    <xf numFmtId="0" fontId="79" fillId="13" borderId="29" xfId="0" applyFont="1" applyFill="1" applyBorder="1" applyAlignment="1" applyProtection="1">
      <alignment horizontal="center" vertical="center"/>
      <protection locked="0"/>
    </xf>
    <xf numFmtId="0" fontId="79" fillId="13" borderId="55" xfId="0" applyFont="1" applyFill="1" applyBorder="1" applyAlignment="1" applyProtection="1">
      <alignment horizontal="centerContinuous" vertical="center"/>
      <protection locked="0"/>
    </xf>
    <xf numFmtId="0" fontId="79" fillId="13" borderId="51" xfId="0" applyFont="1" applyFill="1" applyBorder="1" applyAlignment="1" applyProtection="1">
      <alignment horizontal="centerContinuous" vertical="center"/>
      <protection locked="0"/>
    </xf>
    <xf numFmtId="0" fontId="79" fillId="13" borderId="52" xfId="0" applyFont="1" applyFill="1" applyBorder="1" applyAlignment="1" applyProtection="1">
      <alignment horizontal="centerContinuous" vertical="center"/>
      <protection locked="0"/>
    </xf>
    <xf numFmtId="0" fontId="137" fillId="4" borderId="43" xfId="0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right" vertical="center"/>
      <protection locked="0"/>
    </xf>
    <xf numFmtId="0" fontId="39" fillId="5" borderId="187" xfId="0" applyFont="1" applyFill="1" applyBorder="1" applyProtection="1">
      <protection locked="0"/>
    </xf>
    <xf numFmtId="0" fontId="63" fillId="5" borderId="188" xfId="0" applyFont="1" applyFill="1" applyBorder="1" applyProtection="1">
      <protection locked="0"/>
    </xf>
    <xf numFmtId="0" fontId="63" fillId="13" borderId="42" xfId="0" applyFont="1" applyFill="1" applyBorder="1" applyAlignment="1" applyProtection="1">
      <alignment horizontal="centerContinuous" vertical="top"/>
      <protection locked="0"/>
    </xf>
    <xf numFmtId="0" fontId="63" fillId="13" borderId="50" xfId="0" applyFont="1" applyFill="1" applyBorder="1" applyAlignment="1" applyProtection="1">
      <alignment horizontal="centerContinuous" vertical="top"/>
      <protection locked="0"/>
    </xf>
    <xf numFmtId="0" fontId="63" fillId="13" borderId="0" xfId="0" applyFont="1" applyFill="1" applyAlignment="1" applyProtection="1">
      <alignment horizontal="centerContinuous" vertical="top"/>
      <protection locked="0"/>
    </xf>
    <xf numFmtId="0" fontId="63" fillId="13" borderId="44" xfId="0" applyFont="1" applyFill="1" applyBorder="1" applyAlignment="1" applyProtection="1">
      <alignment horizontal="centerContinuous" vertical="top"/>
      <protection locked="0"/>
    </xf>
    <xf numFmtId="0" fontId="63" fillId="13" borderId="50" xfId="0" applyFont="1" applyFill="1" applyBorder="1" applyAlignment="1" applyProtection="1">
      <alignment horizontal="center" vertical="top"/>
      <protection locked="0"/>
    </xf>
    <xf numFmtId="0" fontId="63" fillId="13" borderId="55" xfId="0" applyFont="1" applyFill="1" applyBorder="1" applyAlignment="1" applyProtection="1">
      <alignment horizontal="centerContinuous" vertical="top"/>
      <protection locked="0"/>
    </xf>
    <xf numFmtId="0" fontId="63" fillId="13" borderId="156" xfId="0" applyFont="1" applyFill="1" applyBorder="1" applyAlignment="1" applyProtection="1">
      <alignment horizontal="centerContinuous" vertical="center"/>
      <protection locked="0"/>
    </xf>
    <xf numFmtId="0" fontId="63" fillId="13" borderId="40" xfId="0" applyFont="1" applyFill="1" applyBorder="1" applyAlignment="1" applyProtection="1">
      <alignment horizontal="centerContinuous" vertical="top"/>
      <protection locked="0"/>
    </xf>
    <xf numFmtId="0" fontId="113" fillId="4" borderId="44" xfId="0" applyFont="1" applyFill="1" applyBorder="1" applyAlignment="1" applyProtection="1">
      <alignment horizontal="center" vertical="top"/>
      <protection locked="0"/>
    </xf>
    <xf numFmtId="0" fontId="39" fillId="5" borderId="189" xfId="0" applyFont="1" applyFill="1" applyBorder="1" applyProtection="1">
      <protection locked="0"/>
    </xf>
    <xf numFmtId="0" fontId="67" fillId="5" borderId="87" xfId="0" applyFont="1" applyFill="1" applyBorder="1" applyAlignment="1" applyProtection="1">
      <alignment horizontal="left"/>
      <protection locked="0"/>
    </xf>
    <xf numFmtId="0" fontId="120" fillId="5" borderId="87" xfId="0" applyFont="1" applyFill="1" applyBorder="1" applyAlignment="1" applyProtection="1">
      <alignment horizontal="center" vertical="center"/>
      <protection locked="0"/>
    </xf>
    <xf numFmtId="0" fontId="188" fillId="5" borderId="190" xfId="0" applyFont="1" applyFill="1" applyBorder="1" applyAlignment="1" applyProtection="1">
      <alignment horizontal="center" vertical="center"/>
      <protection locked="0"/>
    </xf>
    <xf numFmtId="0" fontId="101" fillId="0" borderId="144" xfId="0" applyFont="1" applyBorder="1" applyAlignment="1" applyProtection="1">
      <alignment horizontal="left"/>
      <protection locked="0"/>
    </xf>
    <xf numFmtId="0" fontId="48" fillId="0" borderId="142" xfId="0" applyFont="1" applyBorder="1" applyAlignment="1" applyProtection="1">
      <alignment horizontal="center"/>
      <protection locked="0"/>
    </xf>
    <xf numFmtId="0" fontId="48" fillId="0" borderId="145" xfId="0" applyFont="1" applyBorder="1" applyAlignment="1" applyProtection="1">
      <alignment horizontal="center"/>
      <protection locked="0"/>
    </xf>
    <xf numFmtId="0" fontId="101" fillId="0" borderId="145" xfId="0" applyFont="1" applyBorder="1" applyAlignment="1" applyProtection="1">
      <alignment horizontal="left"/>
      <protection locked="0"/>
    </xf>
    <xf numFmtId="0" fontId="49" fillId="0" borderId="142" xfId="0" applyFont="1" applyBorder="1" applyAlignment="1" applyProtection="1">
      <alignment horizontal="center" vertical="center"/>
      <protection locked="0"/>
    </xf>
    <xf numFmtId="14" fontId="101" fillId="0" borderId="148" xfId="0" applyNumberFormat="1" applyFont="1" applyBorder="1" applyAlignment="1" applyProtection="1">
      <alignment horizontal="center" vertical="center"/>
      <protection locked="0"/>
    </xf>
    <xf numFmtId="2" fontId="101" fillId="0" borderId="149" xfId="0" applyNumberFormat="1" applyFont="1" applyBorder="1" applyAlignment="1" applyProtection="1">
      <alignment horizontal="center"/>
      <protection locked="0"/>
    </xf>
    <xf numFmtId="2" fontId="49" fillId="0" borderId="140" xfId="0" applyNumberFormat="1" applyFont="1" applyBorder="1" applyProtection="1">
      <protection locked="0"/>
    </xf>
    <xf numFmtId="178" fontId="9" fillId="0" borderId="149" xfId="0" applyNumberFormat="1" applyFont="1" applyBorder="1" applyAlignment="1" applyProtection="1">
      <alignment horizontal="left"/>
      <protection locked="0"/>
    </xf>
    <xf numFmtId="14" fontId="96" fillId="5" borderId="185" xfId="0" applyNumberFormat="1" applyFont="1" applyFill="1" applyBorder="1" applyAlignment="1" applyProtection="1">
      <alignment horizontal="left" vertical="center"/>
      <protection locked="0"/>
    </xf>
    <xf numFmtId="14" fontId="101" fillId="0" borderId="142" xfId="0" applyNumberFormat="1" applyFont="1" applyBorder="1" applyAlignment="1" applyProtection="1">
      <alignment horizontal="center" vertical="center"/>
      <protection locked="0"/>
    </xf>
    <xf numFmtId="2" fontId="49" fillId="0" borderId="144" xfId="0" applyNumberFormat="1" applyFont="1" applyBorder="1" applyProtection="1">
      <protection locked="0"/>
    </xf>
    <xf numFmtId="178" fontId="9" fillId="0" borderId="144" xfId="0" applyNumberFormat="1" applyFont="1" applyBorder="1" applyAlignment="1" applyProtection="1">
      <alignment horizontal="left"/>
      <protection locked="0"/>
    </xf>
    <xf numFmtId="0" fontId="67" fillId="5" borderId="0" xfId="0" applyFont="1" applyFill="1" applyAlignment="1" applyProtection="1">
      <alignment horizontal="left" vertical="center"/>
      <protection locked="0"/>
    </xf>
    <xf numFmtId="0" fontId="68" fillId="5" borderId="188" xfId="0" applyFont="1" applyFill="1" applyBorder="1" applyProtection="1">
      <protection locked="0"/>
    </xf>
    <xf numFmtId="0" fontId="48" fillId="5" borderId="185" xfId="0" applyFont="1" applyFill="1" applyBorder="1" applyProtection="1">
      <protection locked="0"/>
    </xf>
    <xf numFmtId="0" fontId="101" fillId="5" borderId="185" xfId="0" applyFont="1" applyFill="1" applyBorder="1" applyAlignment="1" applyProtection="1">
      <alignment horizontal="left"/>
      <protection locked="0"/>
    </xf>
    <xf numFmtId="0" fontId="63" fillId="5" borderId="188" xfId="0" applyFont="1" applyFill="1" applyBorder="1" applyAlignment="1" applyProtection="1">
      <alignment horizontal="center"/>
      <protection locked="0"/>
    </xf>
    <xf numFmtId="0" fontId="67" fillId="0" borderId="0" xfId="0" applyFont="1" applyAlignment="1" applyProtection="1">
      <alignment horizontal="left" vertical="center"/>
      <protection locked="0"/>
    </xf>
    <xf numFmtId="178" fontId="9" fillId="0" borderId="144" xfId="0" applyNumberFormat="1" applyFont="1" applyBorder="1" applyAlignment="1" applyProtection="1">
      <alignment horizontal="right"/>
      <protection locked="0"/>
    </xf>
    <xf numFmtId="0" fontId="101" fillId="5" borderId="185" xfId="0" applyFont="1" applyFill="1" applyBorder="1" applyAlignment="1" applyProtection="1">
      <alignment vertical="center"/>
      <protection locked="0"/>
    </xf>
    <xf numFmtId="0" fontId="79" fillId="0" borderId="0" xfId="0" applyFont="1" applyAlignment="1" applyProtection="1">
      <alignment horizontal="center" wrapText="1"/>
      <protection locked="0"/>
    </xf>
    <xf numFmtId="0" fontId="49" fillId="5" borderId="185" xfId="0" applyFont="1" applyFill="1" applyBorder="1" applyAlignment="1" applyProtection="1">
      <alignment horizontal="left" vertical="center"/>
      <protection locked="0"/>
    </xf>
    <xf numFmtId="0" fontId="79" fillId="0" borderId="0" xfId="0" applyFont="1" applyAlignment="1" applyProtection="1">
      <alignment vertical="top" wrapText="1"/>
      <protection locked="0"/>
    </xf>
    <xf numFmtId="0" fontId="79" fillId="0" borderId="0" xfId="0" applyFont="1" applyAlignment="1" applyProtection="1">
      <alignment horizontal="center"/>
      <protection locked="0"/>
    </xf>
    <xf numFmtId="0" fontId="101" fillId="0" borderId="144" xfId="0" applyFont="1" applyBorder="1" applyAlignment="1" applyProtection="1">
      <alignment horizontal="center"/>
      <protection locked="0"/>
    </xf>
    <xf numFmtId="0" fontId="101" fillId="0" borderId="142" xfId="0" applyFont="1" applyBorder="1" applyAlignment="1" applyProtection="1">
      <alignment horizontal="left"/>
      <protection locked="0"/>
    </xf>
    <xf numFmtId="14" fontId="77" fillId="0" borderId="0" xfId="0" applyNumberFormat="1" applyFont="1" applyProtection="1">
      <protection locked="0"/>
    </xf>
    <xf numFmtId="0" fontId="146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203" fillId="0" borderId="0" xfId="0" applyFont="1" applyAlignment="1" applyProtection="1">
      <alignment horizontal="center"/>
      <protection locked="0"/>
    </xf>
    <xf numFmtId="168" fontId="9" fillId="0" borderId="0" xfId="0" applyNumberFormat="1" applyFont="1" applyAlignment="1" applyProtection="1">
      <alignment horizontal="center"/>
      <protection locked="0"/>
    </xf>
    <xf numFmtId="2" fontId="48" fillId="0" borderId="25" xfId="0" applyNumberFormat="1" applyFont="1" applyBorder="1" applyAlignment="1" applyProtection="1">
      <alignment horizontal="right" vertical="center"/>
      <protection locked="0"/>
    </xf>
    <xf numFmtId="0" fontId="101" fillId="0" borderId="25" xfId="0" applyFont="1" applyBorder="1" applyAlignment="1" applyProtection="1">
      <alignment horizontal="center" vertical="center"/>
      <protection locked="0"/>
    </xf>
    <xf numFmtId="3" fontId="9" fillId="0" borderId="0" xfId="0" applyNumberFormat="1" applyFont="1" applyAlignment="1" applyProtection="1">
      <alignment horizontal="center"/>
      <protection locked="0"/>
    </xf>
    <xf numFmtId="2" fontId="48" fillId="0" borderId="100" xfId="0" applyNumberFormat="1" applyFont="1" applyBorder="1" applyAlignment="1" applyProtection="1">
      <alignment horizontal="right" vertical="center"/>
      <protection locked="0"/>
    </xf>
    <xf numFmtId="0" fontId="101" fillId="0" borderId="100" xfId="0" applyFont="1" applyBorder="1" applyAlignment="1" applyProtection="1">
      <alignment horizontal="center" vertical="center"/>
      <protection locked="0"/>
    </xf>
    <xf numFmtId="0" fontId="44" fillId="9" borderId="0" xfId="0" applyFont="1" applyFill="1" applyAlignment="1" applyProtection="1">
      <alignment horizontal="center" vertical="center"/>
      <protection locked="0"/>
    </xf>
    <xf numFmtId="2" fontId="203" fillId="0" borderId="0" xfId="0" applyNumberFormat="1" applyFont="1" applyAlignment="1" applyProtection="1">
      <alignment horizontal="center" vertical="center"/>
      <protection locked="0"/>
    </xf>
    <xf numFmtId="0" fontId="49" fillId="4" borderId="0" xfId="0" applyFont="1" applyFill="1" applyAlignment="1" applyProtection="1">
      <alignment horizontal="center" vertical="center"/>
      <protection locked="0"/>
    </xf>
    <xf numFmtId="0" fontId="44" fillId="5" borderId="191" xfId="0" applyFont="1" applyFill="1" applyBorder="1" applyProtection="1">
      <protection locked="0"/>
    </xf>
    <xf numFmtId="0" fontId="0" fillId="5" borderId="192" xfId="0" applyFill="1" applyBorder="1" applyProtection="1">
      <protection locked="0"/>
    </xf>
    <xf numFmtId="177" fontId="49" fillId="5" borderId="192" xfId="0" applyNumberFormat="1" applyFont="1" applyFill="1" applyBorder="1" applyAlignment="1" applyProtection="1">
      <alignment horizontal="left" vertical="top"/>
      <protection locked="0"/>
    </xf>
    <xf numFmtId="0" fontId="44" fillId="5" borderId="192" xfId="0" applyFont="1" applyFill="1" applyBorder="1" applyProtection="1">
      <protection locked="0"/>
    </xf>
    <xf numFmtId="0" fontId="68" fillId="5" borderId="193" xfId="0" applyFont="1" applyFill="1" applyBorder="1" applyProtection="1"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1" fontId="39" fillId="7" borderId="0" xfId="0" applyNumberFormat="1" applyFont="1" applyFill="1" applyAlignment="1" applyProtection="1">
      <alignment horizontal="center" vertical="center"/>
      <protection locked="0"/>
    </xf>
    <xf numFmtId="168" fontId="7" fillId="7" borderId="0" xfId="0" applyNumberFormat="1" applyFont="1" applyFill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255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vertical="top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8" fillId="0" borderId="25" xfId="0" applyFont="1" applyBorder="1" applyAlignment="1" applyProtection="1">
      <alignment horizontal="center" vertical="center"/>
      <protection locked="0"/>
    </xf>
    <xf numFmtId="0" fontId="171" fillId="0" borderId="25" xfId="0" applyFont="1" applyBorder="1" applyAlignment="1" applyProtection="1">
      <alignment horizontal="left" vertical="top"/>
      <protection locked="0"/>
    </xf>
    <xf numFmtId="0" fontId="42" fillId="0" borderId="25" xfId="0" applyFont="1" applyBorder="1" applyProtection="1">
      <protection locked="0"/>
    </xf>
    <xf numFmtId="0" fontId="205" fillId="0" borderId="0" xfId="0" applyFont="1" applyAlignment="1" applyProtection="1">
      <alignment horizontal="left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2" fillId="0" borderId="0" xfId="0" applyFont="1" applyProtection="1"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Protection="1">
      <protection locked="0"/>
    </xf>
    <xf numFmtId="0" fontId="42" fillId="0" borderId="0" xfId="0" applyFont="1" applyAlignment="1" applyProtection="1">
      <alignment horizontal="right" vertical="center"/>
      <protection locked="0"/>
    </xf>
    <xf numFmtId="0" fontId="258" fillId="0" borderId="0" xfId="0" applyFont="1" applyAlignment="1" applyProtection="1">
      <alignment horizontal="left"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48" fillId="0" borderId="0" xfId="0" applyFont="1" applyAlignment="1" applyProtection="1">
      <alignment horizontal="right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171" fillId="0" borderId="0" xfId="0" applyFont="1" applyAlignment="1" applyProtection="1">
      <alignment vertical="center"/>
      <protection locked="0"/>
    </xf>
    <xf numFmtId="0" fontId="49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right" vertical="top"/>
      <protection locked="0"/>
    </xf>
    <xf numFmtId="0" fontId="48" fillId="0" borderId="0" xfId="0" applyFont="1" applyProtection="1">
      <protection locked="0"/>
    </xf>
    <xf numFmtId="14" fontId="49" fillId="0" borderId="0" xfId="0" applyNumberFormat="1" applyFont="1" applyAlignment="1" applyProtection="1">
      <alignment horizontal="right"/>
      <protection locked="0"/>
    </xf>
    <xf numFmtId="14" fontId="49" fillId="0" borderId="0" xfId="0" applyNumberFormat="1" applyFont="1" applyProtection="1">
      <protection locked="0"/>
    </xf>
    <xf numFmtId="0" fontId="48" fillId="0" borderId="0" xfId="0" applyFont="1" applyAlignment="1" applyProtection="1">
      <alignment horizontal="right"/>
      <protection locked="0"/>
    </xf>
    <xf numFmtId="14" fontId="48" fillId="0" borderId="0" xfId="0" applyNumberFormat="1" applyFont="1" applyAlignment="1" applyProtection="1">
      <alignment horizontal="right"/>
      <protection locked="0"/>
    </xf>
    <xf numFmtId="0" fontId="96" fillId="0" borderId="0" xfId="0" applyFont="1" applyAlignment="1" applyProtection="1">
      <alignment horizontal="right"/>
      <protection locked="0"/>
    </xf>
    <xf numFmtId="0" fontId="83" fillId="0" borderId="43" xfId="0" applyFont="1" applyBorder="1" applyAlignment="1" applyProtection="1">
      <alignment horizontal="center" vertical="center"/>
      <protection locked="0"/>
    </xf>
    <xf numFmtId="0" fontId="50" fillId="0" borderId="41" xfId="0" applyFont="1" applyBorder="1" applyAlignment="1" applyProtection="1">
      <alignment horizontal="center" vertical="top"/>
      <protection locked="0"/>
    </xf>
    <xf numFmtId="0" fontId="50" fillId="0" borderId="43" xfId="0" applyFont="1" applyBorder="1" applyAlignment="1" applyProtection="1">
      <alignment horizontal="center" vertical="top"/>
      <protection locked="0"/>
    </xf>
    <xf numFmtId="0" fontId="39" fillId="0" borderId="44" xfId="0" applyFont="1" applyBorder="1" applyAlignment="1" applyProtection="1">
      <alignment horizontal="center" vertical="center"/>
      <protection locked="0"/>
    </xf>
    <xf numFmtId="0" fontId="39" fillId="0" borderId="42" xfId="0" applyFont="1" applyBorder="1" applyAlignment="1" applyProtection="1">
      <alignment horizontal="center" vertical="center"/>
      <protection locked="0"/>
    </xf>
    <xf numFmtId="0" fontId="39" fillId="0" borderId="70" xfId="0" applyFont="1" applyBorder="1" applyAlignment="1" applyProtection="1">
      <alignment horizontal="center" vertical="center"/>
      <protection locked="0"/>
    </xf>
    <xf numFmtId="0" fontId="49" fillId="0" borderId="70" xfId="0" applyFont="1" applyBorder="1" applyAlignment="1" applyProtection="1">
      <alignment horizontal="center" vertical="center"/>
      <protection locked="0"/>
    </xf>
    <xf numFmtId="0" fontId="49" fillId="0" borderId="70" xfId="0" applyFont="1" applyBorder="1" applyAlignment="1" applyProtection="1">
      <alignment horizontal="left" vertical="center"/>
      <protection locked="0"/>
    </xf>
    <xf numFmtId="0" fontId="48" fillId="0" borderId="70" xfId="0" applyFont="1" applyBorder="1" applyAlignment="1" applyProtection="1">
      <alignment horizontal="left"/>
      <protection locked="0"/>
    </xf>
    <xf numFmtId="0" fontId="48" fillId="0" borderId="70" xfId="0" applyFont="1" applyBorder="1" applyAlignment="1" applyProtection="1">
      <alignment horizontal="left" vertical="center"/>
      <protection locked="0"/>
    </xf>
    <xf numFmtId="0" fontId="48" fillId="0" borderId="70" xfId="0" applyFont="1" applyBorder="1" applyAlignment="1" applyProtection="1">
      <alignment horizontal="center" vertical="center"/>
      <protection locked="0"/>
    </xf>
    <xf numFmtId="0" fontId="48" fillId="0" borderId="70" xfId="0" applyFont="1" applyBorder="1" applyAlignment="1" applyProtection="1">
      <alignment horizontal="left" vertical="top"/>
      <protection locked="0"/>
    </xf>
    <xf numFmtId="0" fontId="48" fillId="0" borderId="70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top"/>
      <protection locked="0"/>
    </xf>
    <xf numFmtId="168" fontId="48" fillId="0" borderId="70" xfId="0" applyNumberFormat="1" applyFont="1" applyBorder="1" applyAlignment="1" applyProtection="1">
      <alignment horizontal="right" vertical="top"/>
      <protection locked="0"/>
    </xf>
    <xf numFmtId="3" fontId="48" fillId="0" borderId="26" xfId="0" applyNumberFormat="1" applyFont="1" applyBorder="1" applyAlignment="1" applyProtection="1">
      <alignment horizontal="right" vertical="top"/>
      <protection locked="0"/>
    </xf>
    <xf numFmtId="3" fontId="48" fillId="0" borderId="70" xfId="0" applyNumberFormat="1" applyFont="1" applyBorder="1" applyAlignment="1" applyProtection="1">
      <alignment horizontal="right" vertical="top"/>
      <protection locked="0"/>
    </xf>
    <xf numFmtId="3" fontId="48" fillId="0" borderId="70" xfId="0" applyNumberFormat="1" applyFont="1" applyBorder="1" applyAlignment="1" applyProtection="1">
      <alignment vertical="center"/>
      <protection locked="0"/>
    </xf>
    <xf numFmtId="3" fontId="48" fillId="0" borderId="70" xfId="0" applyNumberFormat="1" applyFont="1" applyBorder="1" applyAlignment="1" applyProtection="1">
      <alignment horizontal="right" vertical="center"/>
      <protection locked="0"/>
    </xf>
    <xf numFmtId="168" fontId="48" fillId="0" borderId="70" xfId="0" applyNumberFormat="1" applyFont="1" applyBorder="1" applyAlignment="1" applyProtection="1">
      <alignment horizontal="right" vertical="center"/>
      <protection locked="0"/>
    </xf>
    <xf numFmtId="0" fontId="39" fillId="0" borderId="26" xfId="0" applyFont="1" applyBorder="1" applyAlignment="1" applyProtection="1">
      <alignment horizontal="center" vertical="center"/>
      <protection locked="0"/>
    </xf>
    <xf numFmtId="0" fontId="49" fillId="0" borderId="26" xfId="0" applyFont="1" applyBorder="1" applyAlignment="1" applyProtection="1">
      <alignment horizontal="center" vertical="center"/>
      <protection locked="0"/>
    </xf>
    <xf numFmtId="0" fontId="49" fillId="0" borderId="26" xfId="0" applyFont="1" applyBorder="1" applyAlignment="1" applyProtection="1">
      <alignment horizontal="left" vertical="center"/>
      <protection locked="0"/>
    </xf>
    <xf numFmtId="0" fontId="48" fillId="0" borderId="26" xfId="0" applyFont="1" applyBorder="1" applyAlignment="1" applyProtection="1">
      <alignment horizontal="right" vertical="top"/>
      <protection locked="0"/>
    </xf>
    <xf numFmtId="168" fontId="48" fillId="0" borderId="26" xfId="0" applyNumberFormat="1" applyFont="1" applyBorder="1" applyAlignment="1" applyProtection="1">
      <alignment horizontal="right" vertical="top"/>
      <protection locked="0"/>
    </xf>
    <xf numFmtId="3" fontId="48" fillId="0" borderId="26" xfId="0" applyNumberFormat="1" applyFont="1" applyBorder="1" applyAlignment="1" applyProtection="1">
      <alignment vertical="center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168" fontId="48" fillId="0" borderId="26" xfId="0" applyNumberFormat="1" applyFont="1" applyBorder="1" applyAlignment="1" applyProtection="1">
      <alignment horizontal="right" vertical="center"/>
      <protection locked="0"/>
    </xf>
    <xf numFmtId="0" fontId="39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Alignment="1" applyProtection="1">
      <alignment horizontal="right" vertical="top"/>
      <protection locked="0"/>
    </xf>
    <xf numFmtId="3" fontId="42" fillId="0" borderId="26" xfId="0" applyNumberFormat="1" applyFont="1" applyBorder="1" applyAlignment="1" applyProtection="1">
      <alignment horizontal="right" vertical="top"/>
      <protection locked="0"/>
    </xf>
    <xf numFmtId="168" fontId="42" fillId="0" borderId="26" xfId="0" applyNumberFormat="1" applyFont="1" applyBorder="1" applyAlignment="1" applyProtection="1">
      <alignment horizontal="right" vertical="top"/>
      <protection locked="0"/>
    </xf>
    <xf numFmtId="0" fontId="42" fillId="0" borderId="26" xfId="0" applyFont="1" applyBorder="1" applyAlignment="1" applyProtection="1">
      <alignment horizontal="left"/>
      <protection locked="0"/>
    </xf>
    <xf numFmtId="0" fontId="42" fillId="0" borderId="26" xfId="0" applyFont="1" applyBorder="1" applyAlignment="1" applyProtection="1">
      <alignment horizontal="left" vertical="top"/>
      <protection locked="0"/>
    </xf>
    <xf numFmtId="0" fontId="50" fillId="0" borderId="25" xfId="0" applyFont="1" applyBorder="1" applyAlignment="1" applyProtection="1">
      <alignment horizontal="right"/>
      <protection locked="0"/>
    </xf>
    <xf numFmtId="0" fontId="50" fillId="0" borderId="25" xfId="0" applyFont="1" applyBorder="1" applyAlignment="1" applyProtection="1">
      <alignment horizontal="right" vertical="top"/>
      <protection locked="0"/>
    </xf>
    <xf numFmtId="3" fontId="50" fillId="0" borderId="25" xfId="0" applyNumberFormat="1" applyFont="1" applyBorder="1" applyAlignment="1" applyProtection="1">
      <alignment horizontal="right" vertical="center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0" fontId="256" fillId="0" borderId="0" xfId="0" applyFont="1" applyAlignment="1" applyProtection="1">
      <alignment horizontal="center" vertical="center"/>
      <protection locked="0"/>
    </xf>
    <xf numFmtId="0" fontId="50" fillId="0" borderId="26" xfId="0" applyFont="1" applyBorder="1" applyAlignment="1" applyProtection="1">
      <alignment horizontal="right"/>
      <protection locked="0"/>
    </xf>
    <xf numFmtId="3" fontId="50" fillId="0" borderId="26" xfId="0" applyNumberFormat="1" applyFont="1" applyBorder="1" applyAlignment="1" applyProtection="1">
      <alignment horizontal="right" vertical="center"/>
      <protection locked="0"/>
    </xf>
    <xf numFmtId="0" fontId="256" fillId="0" borderId="0" xfId="0" applyFont="1" applyAlignment="1" applyProtection="1">
      <alignment horizontal="left" vertical="center"/>
      <protection locked="0"/>
    </xf>
    <xf numFmtId="0" fontId="49" fillId="0" borderId="0" xfId="0" applyFont="1" applyProtection="1">
      <protection locked="0"/>
    </xf>
    <xf numFmtId="0" fontId="39" fillId="0" borderId="0" xfId="0" applyFont="1" applyAlignment="1" applyProtection="1">
      <alignment horizontal="left"/>
      <protection locked="0"/>
    </xf>
    <xf numFmtId="0" fontId="163" fillId="5" borderId="146" xfId="0" applyFont="1" applyFill="1" applyBorder="1" applyAlignment="1" applyProtection="1">
      <alignment vertical="center"/>
      <protection locked="0"/>
    </xf>
    <xf numFmtId="0" fontId="163" fillId="5" borderId="150" xfId="0" applyFont="1" applyFill="1" applyBorder="1" applyAlignment="1" applyProtection="1">
      <alignment vertical="center"/>
      <protection locked="0"/>
    </xf>
    <xf numFmtId="0" fontId="163" fillId="5" borderId="147" xfId="0" applyFont="1" applyFill="1" applyBorder="1" applyAlignment="1" applyProtection="1">
      <alignment vertical="center"/>
      <protection locked="0"/>
    </xf>
    <xf numFmtId="0" fontId="49" fillId="0" borderId="0" xfId="0" applyFont="1" applyAlignment="1" applyProtection="1">
      <alignment vertical="top"/>
      <protection locked="0"/>
    </xf>
    <xf numFmtId="0" fontId="163" fillId="5" borderId="151" xfId="0" applyFont="1" applyFill="1" applyBorder="1" applyAlignment="1" applyProtection="1">
      <alignment horizontal="center" vertical="center"/>
      <protection locked="0"/>
    </xf>
    <xf numFmtId="0" fontId="163" fillId="5" borderId="152" xfId="0" applyFont="1" applyFill="1" applyBorder="1" applyAlignment="1" applyProtection="1">
      <alignment horizontal="center" vertical="center"/>
      <protection locked="0"/>
    </xf>
    <xf numFmtId="0" fontId="44" fillId="5" borderId="151" xfId="0" applyFont="1" applyFill="1" applyBorder="1" applyProtection="1">
      <protection locked="0"/>
    </xf>
    <xf numFmtId="0" fontId="39" fillId="5" borderId="152" xfId="0" applyFont="1" applyFill="1" applyBorder="1" applyAlignment="1" applyProtection="1">
      <alignment horizontal="center" vertical="center"/>
      <protection locked="0"/>
    </xf>
    <xf numFmtId="0" fontId="44" fillId="5" borderId="151" xfId="0" applyFont="1" applyFill="1" applyBorder="1" applyAlignment="1" applyProtection="1">
      <alignment horizontal="center" vertical="center"/>
      <protection locked="0"/>
    </xf>
    <xf numFmtId="0" fontId="181" fillId="5" borderId="152" xfId="0" applyFont="1" applyFill="1" applyBorder="1" applyAlignment="1" applyProtection="1">
      <alignment horizontal="center" vertical="center"/>
      <protection locked="0"/>
    </xf>
    <xf numFmtId="0" fontId="39" fillId="5" borderId="151" xfId="0" applyFont="1" applyFill="1" applyBorder="1" applyAlignment="1" applyProtection="1">
      <alignment horizontal="center" vertical="center"/>
      <protection locked="0"/>
    </xf>
    <xf numFmtId="0" fontId="113" fillId="5" borderId="152" xfId="0" applyFont="1" applyFill="1" applyBorder="1" applyAlignment="1" applyProtection="1">
      <alignment horizontal="center" vertical="center"/>
      <protection locked="0"/>
    </xf>
    <xf numFmtId="0" fontId="39" fillId="5" borderId="151" xfId="0" applyFont="1" applyFill="1" applyBorder="1" applyProtection="1">
      <protection locked="0"/>
    </xf>
    <xf numFmtId="0" fontId="113" fillId="5" borderId="152" xfId="0" applyFont="1" applyFill="1" applyBorder="1" applyProtection="1"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0" fontId="39" fillId="5" borderId="153" xfId="0" applyFont="1" applyFill="1" applyBorder="1" applyProtection="1">
      <protection locked="0"/>
    </xf>
    <xf numFmtId="0" fontId="119" fillId="5" borderId="87" xfId="0" applyFont="1" applyFill="1" applyBorder="1" applyAlignment="1" applyProtection="1">
      <alignment horizontal="left"/>
      <protection locked="0"/>
    </xf>
    <xf numFmtId="0" fontId="119" fillId="5" borderId="87" xfId="0" applyFont="1" applyFill="1" applyBorder="1" applyAlignment="1" applyProtection="1">
      <alignment horizontal="center" vertical="center"/>
      <protection locked="0"/>
    </xf>
    <xf numFmtId="0" fontId="101" fillId="0" borderId="79" xfId="0" applyFont="1" applyBorder="1" applyAlignment="1" applyProtection="1">
      <alignment vertical="center"/>
      <protection locked="0"/>
    </xf>
    <xf numFmtId="0" fontId="101" fillId="0" borderId="79" xfId="0" applyFont="1" applyBorder="1" applyAlignment="1" applyProtection="1">
      <alignment horizontal="left" vertical="center"/>
      <protection locked="0"/>
    </xf>
    <xf numFmtId="0" fontId="101" fillId="0" borderId="79" xfId="0" applyFont="1" applyBorder="1" applyAlignment="1" applyProtection="1">
      <alignment horizontal="center" vertical="center"/>
      <protection locked="0"/>
    </xf>
    <xf numFmtId="4" fontId="101" fillId="0" borderId="79" xfId="0" applyNumberFormat="1" applyFont="1" applyBorder="1" applyAlignment="1" applyProtection="1">
      <alignment horizontal="center" vertical="center"/>
      <protection locked="0"/>
    </xf>
    <xf numFmtId="0" fontId="119" fillId="5" borderId="0" xfId="0" applyFont="1" applyFill="1" applyAlignment="1" applyProtection="1">
      <alignment horizontal="left"/>
      <protection locked="0"/>
    </xf>
    <xf numFmtId="0" fontId="249" fillId="5" borderId="152" xfId="0" applyFont="1" applyFill="1" applyBorder="1" applyAlignment="1" applyProtection="1">
      <alignment horizontal="left" vertical="center"/>
      <protection locked="0"/>
    </xf>
    <xf numFmtId="0" fontId="250" fillId="5" borderId="152" xfId="0" applyFont="1" applyFill="1" applyBorder="1" applyAlignment="1" applyProtection="1">
      <alignment horizontal="center" vertical="center"/>
      <protection locked="0"/>
    </xf>
    <xf numFmtId="0" fontId="119" fillId="5" borderId="0" xfId="0" applyFont="1" applyFill="1" applyAlignment="1" applyProtection="1">
      <alignment horizontal="left" vertical="center"/>
      <protection locked="0"/>
    </xf>
    <xf numFmtId="0" fontId="251" fillId="5" borderId="152" xfId="0" applyFont="1" applyFill="1" applyBorder="1" applyProtection="1">
      <protection locked="0"/>
    </xf>
    <xf numFmtId="0" fontId="48" fillId="5" borderId="0" xfId="0" applyFont="1" applyFill="1" applyAlignment="1" applyProtection="1">
      <alignment vertical="top" wrapText="1"/>
      <protection locked="0"/>
    </xf>
    <xf numFmtId="0" fontId="48" fillId="5" borderId="0" xfId="0" applyFont="1" applyFill="1" applyAlignment="1" applyProtection="1">
      <alignment vertical="top"/>
      <protection locked="0"/>
    </xf>
    <xf numFmtId="0" fontId="252" fillId="5" borderId="152" xfId="0" applyFont="1" applyFill="1" applyBorder="1" applyProtection="1">
      <protection locked="0"/>
    </xf>
    <xf numFmtId="0" fontId="48" fillId="5" borderId="0" xfId="0" applyFont="1" applyFill="1" applyAlignment="1" applyProtection="1">
      <alignment horizontal="center" vertical="center" wrapText="1"/>
      <protection locked="0"/>
    </xf>
    <xf numFmtId="0" fontId="44" fillId="5" borderId="152" xfId="0" applyFont="1" applyFill="1" applyBorder="1" applyProtection="1">
      <protection locked="0"/>
    </xf>
    <xf numFmtId="0" fontId="121" fillId="5" borderId="152" xfId="0" applyFont="1" applyFill="1" applyBorder="1" applyProtection="1">
      <protection locked="0"/>
    </xf>
    <xf numFmtId="0" fontId="39" fillId="5" borderId="152" xfId="0" applyFont="1" applyFill="1" applyBorder="1" applyProtection="1">
      <protection locked="0"/>
    </xf>
    <xf numFmtId="0" fontId="39" fillId="0" borderId="151" xfId="0" applyFont="1" applyBorder="1" applyProtection="1">
      <protection locked="0"/>
    </xf>
    <xf numFmtId="49" fontId="48" fillId="0" borderId="0" xfId="0" applyNumberFormat="1" applyFont="1" applyAlignment="1" applyProtection="1">
      <alignment vertical="top" wrapText="1"/>
      <protection locked="0"/>
    </xf>
    <xf numFmtId="0" fontId="39" fillId="0" borderId="152" xfId="0" applyFont="1" applyBorder="1" applyProtection="1">
      <protection locked="0"/>
    </xf>
    <xf numFmtId="0" fontId="146" fillId="0" borderId="0" xfId="0" applyFont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right"/>
      <protection locked="0"/>
    </xf>
    <xf numFmtId="0" fontId="49" fillId="0" borderId="0" xfId="0" applyFont="1" applyAlignment="1" applyProtection="1">
      <alignment horizontal="left"/>
      <protection locked="0"/>
    </xf>
    <xf numFmtId="0" fontId="205" fillId="0" borderId="0" xfId="0" applyFont="1" applyAlignment="1" applyProtection="1">
      <alignment vertical="center"/>
      <protection locked="0"/>
    </xf>
    <xf numFmtId="0" fontId="180" fillId="0" borderId="0" xfId="0" applyFont="1" applyAlignment="1" applyProtection="1">
      <alignment vertical="center"/>
      <protection locked="0"/>
    </xf>
    <xf numFmtId="0" fontId="44" fillId="5" borderId="148" xfId="0" applyFont="1" applyFill="1" applyBorder="1" applyProtection="1">
      <protection locked="0"/>
    </xf>
    <xf numFmtId="0" fontId="0" fillId="5" borderId="140" xfId="0" applyFill="1" applyBorder="1" applyProtection="1">
      <protection locked="0"/>
    </xf>
    <xf numFmtId="177" fontId="49" fillId="5" borderId="140" xfId="0" applyNumberFormat="1" applyFont="1" applyFill="1" applyBorder="1" applyAlignment="1" applyProtection="1">
      <alignment horizontal="left" vertical="top"/>
      <protection locked="0"/>
    </xf>
    <xf numFmtId="0" fontId="44" fillId="5" borderId="140" xfId="0" applyFont="1" applyFill="1" applyBorder="1" applyProtection="1">
      <protection locked="0"/>
    </xf>
    <xf numFmtId="0" fontId="44" fillId="5" borderId="149" xfId="0" applyFont="1" applyFill="1" applyBorder="1" applyProtection="1">
      <protection locked="0"/>
    </xf>
    <xf numFmtId="0" fontId="154" fillId="0" borderId="0" xfId="0" applyFont="1" applyAlignment="1" applyProtection="1">
      <alignment horizontal="center" vertical="center"/>
      <protection locked="0"/>
    </xf>
    <xf numFmtId="0" fontId="168" fillId="0" borderId="0" xfId="0" applyFont="1" applyAlignment="1" applyProtection="1">
      <alignment vertical="top"/>
      <protection locked="0"/>
    </xf>
    <xf numFmtId="0" fontId="172" fillId="0" borderId="0" xfId="0" applyFont="1" applyAlignment="1" applyProtection="1">
      <alignment horizontal="left" vertical="center"/>
      <protection locked="0"/>
    </xf>
    <xf numFmtId="0" fontId="169" fillId="0" borderId="0" xfId="0" applyFont="1" applyAlignment="1" applyProtection="1">
      <alignment horizontal="left" vertical="center"/>
      <protection locked="0"/>
    </xf>
    <xf numFmtId="0" fontId="126" fillId="0" borderId="0" xfId="0" applyFont="1" applyAlignment="1" applyProtection="1">
      <alignment horizontal="right"/>
      <protection locked="0"/>
    </xf>
    <xf numFmtId="0" fontId="152" fillId="0" borderId="43" xfId="0" applyFont="1" applyBorder="1" applyAlignment="1" applyProtection="1">
      <alignment horizontal="center" vertical="center"/>
      <protection locked="0"/>
    </xf>
    <xf numFmtId="0" fontId="168" fillId="0" borderId="41" xfId="0" applyFont="1" applyBorder="1" applyAlignment="1" applyProtection="1">
      <alignment horizontal="center" vertical="top"/>
      <protection locked="0"/>
    </xf>
    <xf numFmtId="0" fontId="168" fillId="0" borderId="43" xfId="0" applyFont="1" applyBorder="1" applyAlignment="1" applyProtection="1">
      <alignment horizontal="center" vertical="top"/>
      <protection locked="0"/>
    </xf>
    <xf numFmtId="0" fontId="119" fillId="0" borderId="0" xfId="0" applyFont="1" applyAlignment="1" applyProtection="1">
      <alignment horizontal="center" vertical="center"/>
      <protection locked="0"/>
    </xf>
    <xf numFmtId="0" fontId="117" fillId="0" borderId="44" xfId="0" applyFont="1" applyBorder="1" applyAlignment="1" applyProtection="1">
      <alignment horizontal="center" vertical="center"/>
      <protection locked="0"/>
    </xf>
    <xf numFmtId="0" fontId="117" fillId="0" borderId="42" xfId="0" applyFont="1" applyBorder="1" applyAlignment="1" applyProtection="1">
      <alignment horizontal="center" vertical="center"/>
      <protection locked="0"/>
    </xf>
    <xf numFmtId="0" fontId="121" fillId="0" borderId="0" xfId="0" applyFont="1" applyProtection="1">
      <protection locked="0"/>
    </xf>
    <xf numFmtId="0" fontId="168" fillId="0" borderId="25" xfId="0" applyFont="1" applyBorder="1" applyAlignment="1" applyProtection="1">
      <alignment horizontal="right"/>
      <protection locked="0"/>
    </xf>
    <xf numFmtId="0" fontId="168" fillId="0" borderId="25" xfId="0" applyFont="1" applyBorder="1" applyAlignment="1" applyProtection="1">
      <alignment horizontal="right" vertical="top"/>
      <protection locked="0"/>
    </xf>
    <xf numFmtId="3" fontId="168" fillId="0" borderId="25" xfId="0" applyNumberFormat="1" applyFont="1" applyBorder="1" applyAlignment="1" applyProtection="1">
      <alignment horizontal="right" vertical="center"/>
      <protection locked="0"/>
    </xf>
    <xf numFmtId="3" fontId="127" fillId="0" borderId="25" xfId="0" applyNumberFormat="1" applyFont="1" applyBorder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0" fontId="168" fillId="0" borderId="26" xfId="0" applyFont="1" applyBorder="1" applyAlignment="1" applyProtection="1">
      <alignment horizontal="right"/>
      <protection locked="0"/>
    </xf>
    <xf numFmtId="3" fontId="168" fillId="0" borderId="26" xfId="0" applyNumberFormat="1" applyFont="1" applyBorder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3" fontId="127" fillId="0" borderId="26" xfId="0" applyNumberFormat="1" applyFont="1" applyBorder="1" applyAlignment="1" applyProtection="1">
      <alignment horizontal="right" vertical="center"/>
      <protection locked="0"/>
    </xf>
    <xf numFmtId="0" fontId="63" fillId="13" borderId="71" xfId="0" applyFont="1" applyFill="1" applyBorder="1" applyAlignment="1" applyProtection="1">
      <alignment horizontal="center" vertical="top"/>
      <protection locked="0"/>
    </xf>
    <xf numFmtId="14" fontId="96" fillId="5" borderId="197" xfId="0" applyNumberFormat="1" applyFont="1" applyFill="1" applyBorder="1" applyAlignment="1" applyProtection="1">
      <alignment horizontal="left" vertical="center"/>
      <protection locked="0"/>
    </xf>
    <xf numFmtId="0" fontId="159" fillId="5" borderId="197" xfId="0" applyFont="1" applyFill="1" applyBorder="1" applyAlignment="1" applyProtection="1">
      <alignment horizontal="center" vertical="center"/>
      <protection locked="0"/>
    </xf>
    <xf numFmtId="0" fontId="101" fillId="5" borderId="197" xfId="0" applyFont="1" applyFill="1" applyBorder="1" applyAlignment="1" applyProtection="1">
      <alignment vertical="center"/>
      <protection locked="0"/>
    </xf>
    <xf numFmtId="0" fontId="101" fillId="0" borderId="198" xfId="0" applyFont="1" applyBorder="1" applyAlignment="1" applyProtection="1">
      <alignment horizontal="left" vertical="center"/>
      <protection locked="0"/>
    </xf>
    <xf numFmtId="0" fontId="49" fillId="4" borderId="200" xfId="0" applyFont="1" applyFill="1" applyBorder="1" applyAlignment="1" applyProtection="1">
      <alignment horizontal="center" vertical="center"/>
      <protection locked="0"/>
    </xf>
    <xf numFmtId="0" fontId="178" fillId="0" borderId="0" xfId="0" applyFont="1" applyProtection="1">
      <protection locked="0"/>
    </xf>
    <xf numFmtId="0" fontId="101" fillId="5" borderId="197" xfId="0" applyFont="1" applyFill="1" applyBorder="1" applyAlignment="1" applyProtection="1">
      <alignment horizontal="left" vertical="center"/>
      <protection locked="0"/>
    </xf>
    <xf numFmtId="0" fontId="48" fillId="5" borderId="197" xfId="0" applyFont="1" applyFill="1" applyBorder="1" applyAlignment="1" applyProtection="1">
      <alignment horizontal="left" vertical="center"/>
      <protection locked="0"/>
    </xf>
    <xf numFmtId="0" fontId="48" fillId="5" borderId="197" xfId="0" applyFont="1" applyFill="1" applyBorder="1" applyAlignment="1" applyProtection="1">
      <alignment vertical="center"/>
      <protection locked="0"/>
    </xf>
    <xf numFmtId="3" fontId="226" fillId="0" borderId="200" xfId="0" applyNumberFormat="1" applyFont="1" applyBorder="1" applyAlignment="1" applyProtection="1">
      <alignment horizontal="center" vertical="center"/>
      <protection locked="0"/>
    </xf>
    <xf numFmtId="0" fontId="49" fillId="5" borderId="197" xfId="0" applyFont="1" applyFill="1" applyBorder="1" applyAlignment="1" applyProtection="1">
      <alignment horizontal="left" vertical="center"/>
      <protection locked="0"/>
    </xf>
    <xf numFmtId="0" fontId="163" fillId="5" borderId="201" xfId="0" applyFont="1" applyFill="1" applyBorder="1" applyAlignment="1" applyProtection="1">
      <alignment vertical="center"/>
      <protection locked="0"/>
    </xf>
    <xf numFmtId="0" fontId="163" fillId="5" borderId="202" xfId="0" applyFont="1" applyFill="1" applyBorder="1" applyAlignment="1" applyProtection="1">
      <alignment vertical="center"/>
      <protection locked="0"/>
    </xf>
    <xf numFmtId="0" fontId="279" fillId="5" borderId="203" xfId="0" applyFont="1" applyFill="1" applyBorder="1" applyAlignment="1" applyProtection="1">
      <alignment vertical="center"/>
      <protection locked="0"/>
    </xf>
    <xf numFmtId="0" fontId="163" fillId="5" borderId="204" xfId="0" applyFont="1" applyFill="1" applyBorder="1" applyAlignment="1" applyProtection="1">
      <alignment horizontal="center" vertical="center"/>
      <protection locked="0"/>
    </xf>
    <xf numFmtId="0" fontId="279" fillId="5" borderId="205" xfId="0" applyFont="1" applyFill="1" applyBorder="1" applyAlignment="1" applyProtection="1">
      <alignment horizontal="center" vertical="center"/>
      <protection locked="0"/>
    </xf>
    <xf numFmtId="0" fontId="44" fillId="5" borderId="204" xfId="0" applyFont="1" applyFill="1" applyBorder="1" applyProtection="1">
      <protection locked="0"/>
    </xf>
    <xf numFmtId="0" fontId="63" fillId="5" borderId="205" xfId="0" applyFont="1" applyFill="1" applyBorder="1" applyAlignment="1" applyProtection="1">
      <alignment horizontal="center" vertical="center"/>
      <protection locked="0"/>
    </xf>
    <xf numFmtId="0" fontId="44" fillId="5" borderId="204" xfId="0" applyFont="1" applyFill="1" applyBorder="1" applyAlignment="1" applyProtection="1">
      <alignment horizontal="center" vertical="center"/>
      <protection locked="0"/>
    </xf>
    <xf numFmtId="0" fontId="68" fillId="5" borderId="205" xfId="0" applyFont="1" applyFill="1" applyBorder="1" applyAlignment="1" applyProtection="1">
      <alignment horizontal="center" vertical="center"/>
      <protection locked="0"/>
    </xf>
    <xf numFmtId="0" fontId="39" fillId="5" borderId="204" xfId="0" applyFont="1" applyFill="1" applyBorder="1" applyAlignment="1" applyProtection="1">
      <alignment horizontal="center" vertical="center"/>
      <protection locked="0"/>
    </xf>
    <xf numFmtId="0" fontId="39" fillId="5" borderId="204" xfId="0" applyFont="1" applyFill="1" applyBorder="1" applyProtection="1">
      <protection locked="0"/>
    </xf>
    <xf numFmtId="0" fontId="63" fillId="5" borderId="205" xfId="0" applyFont="1" applyFill="1" applyBorder="1" applyProtection="1">
      <protection locked="0"/>
    </xf>
    <xf numFmtId="0" fontId="39" fillId="5" borderId="209" xfId="0" applyFont="1" applyFill="1" applyBorder="1" applyProtection="1">
      <protection locked="0"/>
    </xf>
    <xf numFmtId="0" fontId="188" fillId="5" borderId="210" xfId="0" applyFont="1" applyFill="1" applyBorder="1" applyAlignment="1" applyProtection="1">
      <alignment horizontal="center" vertical="center"/>
      <protection locked="0"/>
    </xf>
    <xf numFmtId="0" fontId="249" fillId="5" borderId="0" xfId="0" applyFont="1" applyFill="1" applyAlignment="1" applyProtection="1">
      <alignment horizontal="left" vertical="center"/>
      <protection locked="0"/>
    </xf>
    <xf numFmtId="0" fontId="39" fillId="5" borderId="0" xfId="0" applyFont="1" applyFill="1" applyAlignment="1" applyProtection="1">
      <alignment horizontal="center" vertical="top"/>
      <protection locked="0"/>
    </xf>
    <xf numFmtId="0" fontId="68" fillId="5" borderId="205" xfId="0" applyFont="1" applyFill="1" applyBorder="1" applyProtection="1">
      <protection locked="0"/>
    </xf>
    <xf numFmtId="0" fontId="63" fillId="5" borderId="205" xfId="0" applyFont="1" applyFill="1" applyBorder="1" applyAlignment="1" applyProtection="1">
      <alignment horizontal="center"/>
      <protection locked="0"/>
    </xf>
    <xf numFmtId="0" fontId="249" fillId="0" borderId="0" xfId="0" applyFont="1" applyAlignment="1" applyProtection="1">
      <alignment horizontal="left" vertical="center"/>
      <protection locked="0"/>
    </xf>
    <xf numFmtId="0" fontId="250" fillId="0" borderId="0" xfId="0" applyFont="1" applyAlignment="1" applyProtection="1">
      <alignment vertical="top" wrapText="1"/>
      <protection locked="0"/>
    </xf>
    <xf numFmtId="0" fontId="185" fillId="0" borderId="0" xfId="0" applyFont="1" applyAlignment="1" applyProtection="1">
      <alignment horizontal="center"/>
      <protection locked="0"/>
    </xf>
    <xf numFmtId="49" fontId="185" fillId="5" borderId="0" xfId="0" applyNumberFormat="1" applyFont="1" applyFill="1" applyAlignment="1" applyProtection="1">
      <alignment vertical="top" wrapText="1"/>
      <protection locked="0"/>
    </xf>
    <xf numFmtId="49" fontId="48" fillId="5" borderId="0" xfId="0" applyNumberFormat="1" applyFont="1" applyFill="1" applyAlignment="1" applyProtection="1">
      <alignment horizontal="left" vertical="top"/>
      <protection locked="0"/>
    </xf>
    <xf numFmtId="0" fontId="44" fillId="5" borderId="206" xfId="0" applyFont="1" applyFill="1" applyBorder="1" applyProtection="1">
      <protection locked="0"/>
    </xf>
    <xf numFmtId="0" fontId="0" fillId="5" borderId="207" xfId="0" applyFill="1" applyBorder="1" applyProtection="1">
      <protection locked="0"/>
    </xf>
    <xf numFmtId="177" fontId="49" fillId="5" borderId="207" xfId="0" applyNumberFormat="1" applyFont="1" applyFill="1" applyBorder="1" applyAlignment="1" applyProtection="1">
      <alignment horizontal="left" vertical="top"/>
      <protection locked="0"/>
    </xf>
    <xf numFmtId="0" fontId="44" fillId="5" borderId="207" xfId="0" applyFont="1" applyFill="1" applyBorder="1" applyProtection="1">
      <protection locked="0"/>
    </xf>
    <xf numFmtId="0" fontId="68" fillId="5" borderId="208" xfId="0" applyFont="1" applyFill="1" applyBorder="1" applyProtection="1">
      <protection locked="0"/>
    </xf>
    <xf numFmtId="0" fontId="226" fillId="0" borderId="0" xfId="0" applyFont="1" applyAlignment="1" applyProtection="1">
      <alignment horizontal="right" vertical="center"/>
      <protection locked="0"/>
    </xf>
    <xf numFmtId="0" fontId="226" fillId="0" borderId="0" xfId="0" applyFont="1" applyAlignment="1" applyProtection="1">
      <alignment horizontal="right"/>
      <protection locked="0"/>
    </xf>
    <xf numFmtId="49" fontId="38" fillId="0" borderId="0" xfId="0" applyNumberFormat="1" applyFont="1" applyAlignment="1">
      <alignment vertical="center"/>
    </xf>
    <xf numFmtId="0" fontId="316" fillId="0" borderId="0" xfId="1" applyFont="1" applyBorder="1" applyAlignment="1">
      <alignment horizontal="left" vertical="center" wrapText="1"/>
    </xf>
    <xf numFmtId="49" fontId="39" fillId="0" borderId="0" xfId="0" quotePrefix="1" applyNumberFormat="1" applyFont="1" applyAlignment="1">
      <alignment horizontal="left" vertical="center" wrapText="1"/>
    </xf>
    <xf numFmtId="0" fontId="206" fillId="0" borderId="0" xfId="0" applyFont="1" applyAlignment="1">
      <alignment horizontal="center"/>
    </xf>
    <xf numFmtId="0" fontId="283" fillId="0" borderId="0" xfId="0" applyFont="1" applyAlignment="1">
      <alignment horizontal="center" vertical="top"/>
    </xf>
    <xf numFmtId="0" fontId="160" fillId="0" borderId="0" xfId="0" applyFont="1" applyAlignment="1">
      <alignment horizontal="center" vertical="top"/>
    </xf>
    <xf numFmtId="0" fontId="142" fillId="0" borderId="0" xfId="0" applyFont="1" applyAlignment="1">
      <alignment horizontal="center" vertical="top"/>
    </xf>
    <xf numFmtId="0" fontId="283" fillId="0" borderId="0" xfId="0" applyFont="1" applyAlignment="1">
      <alignment horizontal="center"/>
    </xf>
    <xf numFmtId="0" fontId="161" fillId="0" borderId="0" xfId="0" applyFont="1" applyAlignment="1">
      <alignment horizontal="center"/>
    </xf>
    <xf numFmtId="0" fontId="117" fillId="0" borderId="42" xfId="0" applyFont="1" applyBorder="1" applyAlignment="1" applyProtection="1">
      <alignment horizontal="center" vertical="center"/>
      <protection locked="0"/>
    </xf>
    <xf numFmtId="0" fontId="117" fillId="0" borderId="49" xfId="0" applyFont="1" applyBorder="1" applyAlignment="1" applyProtection="1">
      <alignment horizontal="center" vertical="center"/>
      <protection locked="0"/>
    </xf>
    <xf numFmtId="0" fontId="168" fillId="0" borderId="41" xfId="0" applyFont="1" applyBorder="1" applyAlignment="1" applyProtection="1">
      <alignment horizontal="center" vertical="top"/>
      <protection locked="0"/>
    </xf>
    <xf numFmtId="0" fontId="168" fillId="0" borderId="45" xfId="0" applyFont="1" applyBorder="1" applyAlignment="1" applyProtection="1">
      <alignment horizontal="center" vertical="top"/>
      <protection locked="0"/>
    </xf>
    <xf numFmtId="0" fontId="168" fillId="0" borderId="46" xfId="0" applyFont="1" applyBorder="1" applyAlignment="1" applyProtection="1">
      <alignment horizontal="center" vertical="top"/>
      <protection locked="0"/>
    </xf>
    <xf numFmtId="0" fontId="117" fillId="0" borderId="50" xfId="0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right" vertical="center"/>
      <protection locked="0"/>
    </xf>
    <xf numFmtId="0" fontId="42" fillId="0" borderId="0" xfId="0" applyFont="1" applyAlignment="1" applyProtection="1">
      <alignment horizontal="left" vertical="top"/>
      <protection locked="0"/>
    </xf>
    <xf numFmtId="49" fontId="48" fillId="5" borderId="201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2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3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4" xfId="0" applyNumberFormat="1" applyFont="1" applyFill="1" applyBorder="1" applyAlignment="1" applyProtection="1">
      <alignment horizontal="left" vertical="top" wrapText="1"/>
      <protection locked="0"/>
    </xf>
    <xf numFmtId="49" fontId="48" fillId="5" borderId="0" xfId="0" applyNumberFormat="1" applyFont="1" applyFill="1" applyAlignment="1" applyProtection="1">
      <alignment horizontal="left" vertical="top" wrapText="1"/>
      <protection locked="0"/>
    </xf>
    <xf numFmtId="49" fontId="48" fillId="5" borderId="205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6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7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8" xfId="0" applyNumberFormat="1" applyFont="1" applyFill="1" applyBorder="1" applyAlignment="1" applyProtection="1">
      <alignment horizontal="left" vertical="top" wrapText="1"/>
      <protection locked="0"/>
    </xf>
    <xf numFmtId="0" fontId="48" fillId="0" borderId="0" xfId="0" applyFont="1" applyAlignment="1" applyProtection="1">
      <alignment horizontal="left" vertical="top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8" fillId="5" borderId="198" xfId="0" applyFont="1" applyFill="1" applyBorder="1" applyAlignment="1" applyProtection="1">
      <alignment horizontal="left" vertical="center"/>
      <protection locked="0"/>
    </xf>
    <xf numFmtId="0" fontId="48" fillId="5" borderId="199" xfId="0" applyFont="1" applyFill="1" applyBorder="1" applyAlignment="1" applyProtection="1">
      <alignment horizontal="left" vertical="center"/>
      <protection locked="0"/>
    </xf>
    <xf numFmtId="0" fontId="48" fillId="5" borderId="200" xfId="0" applyFont="1" applyFill="1" applyBorder="1" applyAlignment="1" applyProtection="1">
      <alignment horizontal="left" vertical="center"/>
      <protection locked="0"/>
    </xf>
    <xf numFmtId="0" fontId="101" fillId="0" borderId="198" xfId="0" applyFont="1" applyBorder="1" applyAlignment="1" applyProtection="1">
      <alignment horizontal="left" vertical="center"/>
      <protection locked="0"/>
    </xf>
    <xf numFmtId="0" fontId="101" fillId="0" borderId="199" xfId="0" applyFont="1" applyBorder="1" applyAlignment="1" applyProtection="1">
      <alignment horizontal="left" vertical="center"/>
      <protection locked="0"/>
    </xf>
    <xf numFmtId="0" fontId="101" fillId="0" borderId="200" xfId="0" applyFont="1" applyBorder="1" applyAlignment="1" applyProtection="1">
      <alignment horizontal="left" vertical="center"/>
      <protection locked="0"/>
    </xf>
    <xf numFmtId="0" fontId="49" fillId="0" borderId="198" xfId="0" applyFont="1" applyBorder="1" applyAlignment="1" applyProtection="1">
      <alignment horizontal="left" vertical="center"/>
      <protection locked="0"/>
    </xf>
    <xf numFmtId="0" fontId="49" fillId="0" borderId="199" xfId="0" applyFont="1" applyBorder="1" applyAlignment="1" applyProtection="1">
      <alignment horizontal="left" vertical="center"/>
      <protection locked="0"/>
    </xf>
    <xf numFmtId="0" fontId="214" fillId="0" borderId="0" xfId="0" applyFont="1"/>
    <xf numFmtId="0" fontId="226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218" fillId="0" borderId="0" xfId="0" applyFont="1" applyAlignment="1">
      <alignment horizontal="left" vertical="center"/>
    </xf>
    <xf numFmtId="0" fontId="101" fillId="0" borderId="0" xfId="0" applyFont="1" applyAlignment="1">
      <alignment horizontal="left"/>
    </xf>
    <xf numFmtId="181" fontId="39" fillId="0" borderId="143" xfId="0" applyNumberFormat="1" applyFont="1" applyBorder="1" applyAlignment="1">
      <alignment horizontal="center" vertical="center"/>
    </xf>
    <xf numFmtId="181" fontId="39" fillId="0" borderId="144" xfId="0" applyNumberFormat="1" applyFont="1" applyBorder="1" applyAlignment="1">
      <alignment horizontal="center" vertical="center"/>
    </xf>
    <xf numFmtId="169" fontId="39" fillId="0" borderId="148" xfId="0" applyNumberFormat="1" applyFont="1" applyBorder="1" applyAlignment="1">
      <alignment horizontal="center"/>
    </xf>
    <xf numFmtId="169" fontId="39" fillId="0" borderId="149" xfId="0" applyNumberFormat="1" applyFont="1" applyBorder="1" applyAlignment="1">
      <alignment horizontal="center"/>
    </xf>
    <xf numFmtId="0" fontId="39" fillId="0" borderId="143" xfId="0" applyFont="1" applyBorder="1" applyAlignment="1">
      <alignment horizontal="center"/>
    </xf>
    <xf numFmtId="0" fontId="39" fillId="0" borderId="144" xfId="0" applyFont="1" applyBorder="1" applyAlignment="1">
      <alignment horizontal="center"/>
    </xf>
    <xf numFmtId="0" fontId="49" fillId="0" borderId="0" xfId="0" applyFont="1" applyAlignment="1">
      <alignment horizontal="left" vertical="top" wrapText="1"/>
    </xf>
    <xf numFmtId="169" fontId="39" fillId="0" borderId="140" xfId="0" applyNumberFormat="1" applyFont="1" applyBorder="1" applyAlignment="1">
      <alignment horizontal="center"/>
    </xf>
    <xf numFmtId="0" fontId="9" fillId="0" borderId="143" xfId="0" applyFont="1" applyBorder="1" applyAlignment="1">
      <alignment horizontal="center"/>
    </xf>
    <xf numFmtId="0" fontId="9" fillId="0" borderId="141" xfId="0" applyFont="1" applyBorder="1" applyAlignment="1">
      <alignment horizontal="center"/>
    </xf>
    <xf numFmtId="0" fontId="9" fillId="0" borderId="144" xfId="0" applyFont="1" applyBorder="1" applyAlignment="1">
      <alignment horizontal="center"/>
    </xf>
    <xf numFmtId="0" fontId="219" fillId="0" borderId="128" xfId="0" quotePrefix="1" applyFont="1" applyBorder="1" applyAlignment="1">
      <alignment horizontal="left"/>
    </xf>
    <xf numFmtId="0" fontId="219" fillId="0" borderId="129" xfId="0" quotePrefix="1" applyFont="1" applyBorder="1" applyAlignment="1">
      <alignment horizontal="left"/>
    </xf>
    <xf numFmtId="0" fontId="226" fillId="0" borderId="0" xfId="0" applyFont="1" applyAlignment="1">
      <alignment horizontal="left" wrapText="1"/>
    </xf>
    <xf numFmtId="0" fontId="226" fillId="0" borderId="122" xfId="0" applyFont="1" applyBorder="1" applyAlignment="1">
      <alignment horizontal="left" wrapText="1"/>
    </xf>
    <xf numFmtId="0" fontId="49" fillId="0" borderId="97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9" fillId="0" borderId="118" xfId="0" applyFont="1" applyBorder="1" applyAlignment="1">
      <alignment horizontal="left" vertical="top" wrapText="1"/>
    </xf>
    <xf numFmtId="0" fontId="9" fillId="0" borderId="119" xfId="0" applyFont="1" applyBorder="1" applyAlignment="1">
      <alignment horizontal="left" vertical="top" wrapText="1"/>
    </xf>
    <xf numFmtId="0" fontId="9" fillId="0" borderId="120" xfId="0" applyFont="1" applyBorder="1" applyAlignment="1">
      <alignment horizontal="left" vertical="top" wrapText="1"/>
    </xf>
    <xf numFmtId="0" fontId="9" fillId="0" borderId="123" xfId="0" applyFont="1" applyBorder="1" applyAlignment="1">
      <alignment horizontal="left" vertical="top" wrapText="1"/>
    </xf>
    <xf numFmtId="0" fontId="9" fillId="0" borderId="124" xfId="0" applyFont="1" applyBorder="1" applyAlignment="1">
      <alignment horizontal="left" vertical="top" wrapText="1"/>
    </xf>
    <xf numFmtId="0" fontId="9" fillId="0" borderId="125" xfId="0" applyFont="1" applyBorder="1" applyAlignment="1">
      <alignment horizontal="left" vertical="top" wrapText="1"/>
    </xf>
    <xf numFmtId="0" fontId="92" fillId="13" borderId="91" xfId="0" applyFont="1" applyFill="1" applyBorder="1" applyAlignment="1">
      <alignment horizontal="center" vertical="top"/>
    </xf>
    <xf numFmtId="0" fontId="92" fillId="13" borderId="85" xfId="0" applyFont="1" applyFill="1" applyBorder="1" applyAlignment="1">
      <alignment horizontal="center" vertical="top"/>
    </xf>
    <xf numFmtId="0" fontId="92" fillId="13" borderId="93" xfId="0" applyFont="1" applyFill="1" applyBorder="1" applyAlignment="1">
      <alignment horizontal="center" vertical="top"/>
    </xf>
    <xf numFmtId="0" fontId="312" fillId="13" borderId="88" xfId="0" applyFont="1" applyFill="1" applyBorder="1" applyAlignment="1">
      <alignment horizontal="center"/>
    </xf>
    <xf numFmtId="0" fontId="312" fillId="13" borderId="87" xfId="0" applyFont="1" applyFill="1" applyBorder="1" applyAlignment="1">
      <alignment horizontal="center"/>
    </xf>
    <xf numFmtId="0" fontId="312" fillId="13" borderId="92" xfId="0" applyFont="1" applyFill="1" applyBorder="1" applyAlignment="1">
      <alignment horizontal="center"/>
    </xf>
    <xf numFmtId="0" fontId="226" fillId="0" borderId="0" xfId="0" applyFont="1" applyAlignment="1">
      <alignment horizontal="right" vertical="top" wrapText="1"/>
    </xf>
    <xf numFmtId="0" fontId="226" fillId="0" borderId="95" xfId="0" applyFont="1" applyBorder="1" applyAlignment="1">
      <alignment horizontal="right" vertical="top" wrapText="1"/>
    </xf>
    <xf numFmtId="0" fontId="226" fillId="0" borderId="87" xfId="0" applyFont="1" applyBorder="1" applyAlignment="1">
      <alignment horizontal="right" vertical="top" wrapText="1"/>
    </xf>
    <xf numFmtId="0" fontId="226" fillId="0" borderId="92" xfId="0" applyFont="1" applyBorder="1" applyAlignment="1">
      <alignment horizontal="right" vertical="top" wrapText="1"/>
    </xf>
    <xf numFmtId="0" fontId="253" fillId="0" borderId="0" xfId="0" applyFont="1" applyAlignment="1">
      <alignment horizontal="right" vertical="top" wrapText="1"/>
    </xf>
    <xf numFmtId="0" fontId="253" fillId="0" borderId="95" xfId="0" applyFont="1" applyBorder="1" applyAlignment="1">
      <alignment horizontal="right" vertical="top" wrapText="1"/>
    </xf>
    <xf numFmtId="0" fontId="9" fillId="0" borderId="118" xfId="0" applyFont="1" applyBorder="1" applyAlignment="1">
      <alignment horizontal="left" vertical="top"/>
    </xf>
    <xf numFmtId="0" fontId="9" fillId="0" borderId="119" xfId="0" applyFont="1" applyBorder="1" applyAlignment="1">
      <alignment horizontal="left" vertical="top"/>
    </xf>
    <xf numFmtId="0" fontId="9" fillId="0" borderId="120" xfId="0" applyFont="1" applyBorder="1" applyAlignment="1">
      <alignment horizontal="left" vertical="top"/>
    </xf>
    <xf numFmtId="0" fontId="9" fillId="0" borderId="123" xfId="0" applyFont="1" applyBorder="1" applyAlignment="1">
      <alignment horizontal="left" vertical="top"/>
    </xf>
    <xf numFmtId="0" fontId="9" fillId="0" borderId="124" xfId="0" applyFont="1" applyBorder="1" applyAlignment="1">
      <alignment horizontal="left" vertical="top"/>
    </xf>
    <xf numFmtId="0" fontId="9" fillId="0" borderId="125" xfId="0" applyFont="1" applyBorder="1" applyAlignment="1">
      <alignment horizontal="left" vertical="top"/>
    </xf>
    <xf numFmtId="0" fontId="63" fillId="13" borderId="91" xfId="0" applyFont="1" applyFill="1" applyBorder="1" applyAlignment="1">
      <alignment horizontal="center" vertical="top"/>
    </xf>
    <xf numFmtId="0" fontId="63" fillId="13" borderId="85" xfId="0" applyFont="1" applyFill="1" applyBorder="1" applyAlignment="1">
      <alignment horizontal="center" vertical="top"/>
    </xf>
    <xf numFmtId="0" fontId="63" fillId="13" borderId="93" xfId="0" applyFont="1" applyFill="1" applyBorder="1" applyAlignment="1">
      <alignment horizontal="center" vertical="top"/>
    </xf>
    <xf numFmtId="0" fontId="226" fillId="0" borderId="0" xfId="0" applyFont="1" applyAlignment="1">
      <alignment horizontal="right" vertical="top"/>
    </xf>
    <xf numFmtId="0" fontId="226" fillId="0" borderId="95" xfId="0" applyFont="1" applyBorder="1" applyAlignment="1">
      <alignment horizontal="right" vertical="top"/>
    </xf>
    <xf numFmtId="0" fontId="226" fillId="0" borderId="0" xfId="0" applyFont="1" applyAlignment="1" applyProtection="1">
      <alignment horizontal="left"/>
      <protection locked="0"/>
    </xf>
    <xf numFmtId="0" fontId="79" fillId="13" borderId="41" xfId="0" applyFont="1" applyFill="1" applyBorder="1" applyAlignment="1" applyProtection="1">
      <alignment horizontal="center" vertical="center"/>
      <protection locked="0"/>
    </xf>
    <xf numFmtId="0" fontId="79" fillId="13" borderId="46" xfId="0" applyFont="1" applyFill="1" applyBorder="1" applyAlignment="1" applyProtection="1">
      <alignment horizontal="center" vertical="center"/>
      <protection locked="0"/>
    </xf>
    <xf numFmtId="49" fontId="48" fillId="5" borderId="72" xfId="0" applyNumberFormat="1" applyFont="1" applyFill="1" applyBorder="1" applyAlignment="1" applyProtection="1">
      <alignment horizontal="left" vertical="top" wrapText="1"/>
      <protection locked="0"/>
    </xf>
    <xf numFmtId="49" fontId="48" fillId="5" borderId="73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6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7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8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1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2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3" xfId="0" applyNumberFormat="1" applyFont="1" applyFill="1" applyBorder="1" applyAlignment="1" applyProtection="1">
      <alignment horizontal="left" vertical="top" wrapText="1"/>
      <protection locked="0"/>
    </xf>
    <xf numFmtId="168" fontId="236" fillId="0" borderId="194" xfId="0" applyNumberFormat="1" applyFont="1" applyBorder="1" applyAlignment="1" applyProtection="1">
      <alignment horizontal="center" vertical="center"/>
      <protection locked="0"/>
    </xf>
    <xf numFmtId="168" fontId="236" fillId="0" borderId="195" xfId="0" applyNumberFormat="1" applyFont="1" applyBorder="1" applyAlignment="1" applyProtection="1">
      <alignment horizontal="center" vertical="center"/>
      <protection locked="0"/>
    </xf>
    <xf numFmtId="168" fontId="236" fillId="0" borderId="196" xfId="0" applyNumberFormat="1" applyFont="1" applyBorder="1" applyAlignment="1" applyProtection="1">
      <alignment horizontal="center" vertical="center"/>
      <protection locked="0"/>
    </xf>
    <xf numFmtId="0" fontId="191" fillId="0" borderId="194" xfId="0" applyFont="1" applyBorder="1" applyAlignment="1" applyProtection="1">
      <alignment horizontal="right" vertical="center"/>
      <protection locked="0"/>
    </xf>
    <xf numFmtId="0" fontId="191" fillId="0" borderId="195" xfId="0" applyFont="1" applyBorder="1" applyAlignment="1" applyProtection="1">
      <alignment horizontal="right" vertical="center"/>
      <protection locked="0"/>
    </xf>
    <xf numFmtId="0" fontId="191" fillId="0" borderId="196" xfId="0" applyFont="1" applyBorder="1" applyAlignment="1" applyProtection="1">
      <alignment horizontal="right" vertical="center"/>
      <protection locked="0"/>
    </xf>
    <xf numFmtId="0" fontId="63" fillId="13" borderId="42" xfId="0" applyFont="1" applyFill="1" applyBorder="1" applyAlignment="1" applyProtection="1">
      <alignment horizontal="center" vertical="top"/>
      <protection locked="0"/>
    </xf>
    <xf numFmtId="0" fontId="63" fillId="13" borderId="50" xfId="0" applyFont="1" applyFill="1" applyBorder="1" applyAlignment="1" applyProtection="1">
      <alignment horizontal="center" vertical="top"/>
      <protection locked="0"/>
    </xf>
    <xf numFmtId="0" fontId="39" fillId="0" borderId="42" xfId="0" applyFont="1" applyBorder="1" applyAlignment="1" applyProtection="1">
      <alignment horizontal="center" vertical="center"/>
      <protection locked="0"/>
    </xf>
    <xf numFmtId="0" fontId="39" fillId="0" borderId="49" xfId="0" applyFont="1" applyBorder="1" applyAlignment="1" applyProtection="1">
      <alignment horizontal="center" vertical="center"/>
      <protection locked="0"/>
    </xf>
    <xf numFmtId="0" fontId="50" fillId="0" borderId="41" xfId="0" applyFont="1" applyBorder="1" applyAlignment="1" applyProtection="1">
      <alignment horizontal="center" vertical="top"/>
      <protection locked="0"/>
    </xf>
    <xf numFmtId="0" fontId="50" fillId="0" borderId="45" xfId="0" applyFont="1" applyBorder="1" applyAlignment="1" applyProtection="1">
      <alignment horizontal="center" vertical="top"/>
      <protection locked="0"/>
    </xf>
    <xf numFmtId="0" fontId="50" fillId="0" borderId="46" xfId="0" applyFont="1" applyBorder="1" applyAlignment="1" applyProtection="1">
      <alignment horizontal="center" vertical="top"/>
      <protection locked="0"/>
    </xf>
    <xf numFmtId="0" fontId="39" fillId="0" borderId="50" xfId="0" applyFont="1" applyBorder="1" applyAlignment="1" applyProtection="1">
      <alignment horizontal="center" vertical="center"/>
      <protection locked="0"/>
    </xf>
    <xf numFmtId="0" fontId="226" fillId="5" borderId="55" xfId="0" applyFont="1" applyFill="1" applyBorder="1" applyAlignment="1">
      <alignment horizontal="left" vertical="center"/>
    </xf>
    <xf numFmtId="0" fontId="226" fillId="5" borderId="52" xfId="0" applyFont="1" applyFill="1" applyBorder="1" applyAlignment="1">
      <alignment horizontal="left" vertical="center"/>
    </xf>
    <xf numFmtId="0" fontId="48" fillId="5" borderId="55" xfId="0" applyFont="1" applyFill="1" applyBorder="1" applyAlignment="1">
      <alignment horizontal="left" vertical="center"/>
    </xf>
    <xf numFmtId="0" fontId="48" fillId="5" borderId="52" xfId="0" applyFont="1" applyFill="1" applyBorder="1" applyAlignment="1">
      <alignment horizontal="left" vertical="center"/>
    </xf>
    <xf numFmtId="49" fontId="48" fillId="5" borderId="41" xfId="0" applyNumberFormat="1" applyFont="1" applyFill="1" applyBorder="1" applyAlignment="1">
      <alignment horizontal="left" vertical="top" wrapText="1"/>
    </xf>
    <xf numFmtId="49" fontId="48" fillId="5" borderId="45" xfId="0" applyNumberFormat="1" applyFont="1" applyFill="1" applyBorder="1" applyAlignment="1">
      <alignment horizontal="left" vertical="top" wrapText="1"/>
    </xf>
    <xf numFmtId="49" fontId="48" fillId="5" borderId="46" xfId="0" applyNumberFormat="1" applyFont="1" applyFill="1" applyBorder="1" applyAlignment="1">
      <alignment horizontal="left" vertical="top" wrapText="1"/>
    </xf>
    <xf numFmtId="49" fontId="48" fillId="5" borderId="47" xfId="0" applyNumberFormat="1" applyFont="1" applyFill="1" applyBorder="1" applyAlignment="1">
      <alignment horizontal="left" vertical="top" wrapText="1"/>
    </xf>
    <xf numFmtId="49" fontId="48" fillId="5" borderId="0" xfId="0" applyNumberFormat="1" applyFont="1" applyFill="1" applyAlignment="1">
      <alignment horizontal="left" vertical="top" wrapText="1"/>
    </xf>
    <xf numFmtId="49" fontId="48" fillId="5" borderId="48" xfId="0" applyNumberFormat="1" applyFont="1" applyFill="1" applyBorder="1" applyAlignment="1">
      <alignment horizontal="left" vertical="top" wrapText="1"/>
    </xf>
    <xf numFmtId="49" fontId="48" fillId="5" borderId="42" xfId="0" applyNumberFormat="1" applyFont="1" applyFill="1" applyBorder="1" applyAlignment="1">
      <alignment horizontal="left" vertical="top" wrapText="1"/>
    </xf>
    <xf numFmtId="49" fontId="48" fillId="5" borderId="49" xfId="0" applyNumberFormat="1" applyFont="1" applyFill="1" applyBorder="1" applyAlignment="1">
      <alignment horizontal="left" vertical="top" wrapText="1"/>
    </xf>
    <xf numFmtId="49" fontId="48" fillId="5" borderId="50" xfId="0" applyNumberFormat="1" applyFont="1" applyFill="1" applyBorder="1" applyAlignment="1">
      <alignment horizontal="left" vertical="top" wrapText="1"/>
    </xf>
    <xf numFmtId="0" fontId="289" fillId="7" borderId="43" xfId="0" applyFont="1" applyFill="1" applyBorder="1" applyAlignment="1" applyProtection="1">
      <alignment horizontal="center" vertical="center" wrapText="1"/>
      <protection locked="0"/>
    </xf>
    <xf numFmtId="0" fontId="289" fillId="7" borderId="44" xfId="0" applyFont="1" applyFill="1" applyBorder="1" applyAlignment="1" applyProtection="1">
      <alignment horizontal="center" vertical="center" wrapText="1"/>
      <protection locked="0"/>
    </xf>
    <xf numFmtId="0" fontId="101" fillId="0" borderId="0" xfId="0" applyFont="1" applyAlignment="1" applyProtection="1">
      <alignment horizontal="left"/>
      <protection locked="0"/>
    </xf>
    <xf numFmtId="0" fontId="226" fillId="5" borderId="198" xfId="0" applyFont="1" applyFill="1" applyBorder="1" applyAlignment="1" applyProtection="1">
      <alignment horizontal="left" vertical="center"/>
      <protection locked="0"/>
    </xf>
    <xf numFmtId="0" fontId="226" fillId="5" borderId="200" xfId="0" applyFont="1" applyFill="1" applyBorder="1" applyAlignment="1" applyProtection="1">
      <alignment horizontal="left" vertical="center"/>
      <protection locked="0"/>
    </xf>
    <xf numFmtId="0" fontId="48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142" fillId="0" borderId="0" xfId="0" applyFont="1" applyAlignment="1">
      <alignment horizontal="center" vertical="center"/>
    </xf>
    <xf numFmtId="168" fontId="134" fillId="0" borderId="76" xfId="0" applyNumberFormat="1" applyFont="1" applyBorder="1" applyAlignment="1">
      <alignment horizontal="center" vertical="center" wrapText="1"/>
    </xf>
    <xf numFmtId="168" fontId="134" fillId="0" borderId="30" xfId="0" applyNumberFormat="1" applyFont="1" applyBorder="1" applyAlignment="1">
      <alignment horizontal="center" vertical="center" wrapText="1"/>
    </xf>
    <xf numFmtId="168" fontId="134" fillId="0" borderId="31" xfId="0" applyNumberFormat="1" applyFont="1" applyBorder="1" applyAlignment="1">
      <alignment horizontal="center" vertical="center" wrapText="1"/>
    </xf>
    <xf numFmtId="168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124" fillId="0" borderId="27" xfId="0" applyFont="1" applyBorder="1" applyAlignment="1">
      <alignment horizontal="center" vertical="center"/>
    </xf>
    <xf numFmtId="0" fontId="124" fillId="0" borderId="28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171" fontId="97" fillId="0" borderId="77" xfId="0" applyNumberFormat="1" applyFont="1" applyBorder="1" applyAlignment="1">
      <alignment horizontal="center" vertical="center"/>
    </xf>
    <xf numFmtId="171" fontId="97" fillId="0" borderId="78" xfId="0" applyNumberFormat="1" applyFont="1" applyBorder="1" applyAlignment="1">
      <alignment horizontal="center" vertical="center"/>
    </xf>
    <xf numFmtId="0" fontId="128" fillId="0" borderId="29" xfId="0" applyFont="1" applyBorder="1" applyAlignment="1">
      <alignment horizontal="center" vertical="center"/>
    </xf>
    <xf numFmtId="0" fontId="128" fillId="0" borderId="30" xfId="0" applyFont="1" applyBorder="1" applyAlignment="1">
      <alignment horizontal="center" vertical="center"/>
    </xf>
    <xf numFmtId="0" fontId="101" fillId="0" borderId="76" xfId="0" applyFont="1" applyBorder="1" applyAlignment="1">
      <alignment horizontal="left" vertical="top" wrapText="1"/>
    </xf>
    <xf numFmtId="0" fontId="101" fillId="0" borderId="29" xfId="0" applyFont="1" applyBorder="1" applyAlignment="1">
      <alignment horizontal="left" vertical="top" wrapText="1"/>
    </xf>
    <xf numFmtId="0" fontId="101" fillId="0" borderId="30" xfId="0" applyFont="1" applyBorder="1" applyAlignment="1">
      <alignment horizontal="left" vertical="top" wrapText="1"/>
    </xf>
    <xf numFmtId="0" fontId="101" fillId="0" borderId="31" xfId="0" applyFont="1" applyBorder="1" applyAlignment="1">
      <alignment horizontal="left" vertical="top" wrapText="1"/>
    </xf>
    <xf numFmtId="0" fontId="101" fillId="0" borderId="25" xfId="0" applyFont="1" applyBorder="1" applyAlignment="1">
      <alignment horizontal="left" vertical="top" wrapText="1"/>
    </xf>
    <xf numFmtId="0" fontId="101" fillId="0" borderId="32" xfId="0" applyFont="1" applyBorder="1" applyAlignment="1">
      <alignment horizontal="left" vertical="top" wrapText="1"/>
    </xf>
    <xf numFmtId="14" fontId="49" fillId="0" borderId="25" xfId="0" applyNumberFormat="1" applyFont="1" applyBorder="1" applyAlignment="1">
      <alignment horizontal="left" vertical="center" wrapText="1"/>
    </xf>
    <xf numFmtId="0" fontId="137" fillId="0" borderId="76" xfId="0" applyFont="1" applyBorder="1" applyAlignment="1">
      <alignment horizontal="center"/>
    </xf>
    <xf numFmtId="0" fontId="137" fillId="0" borderId="30" xfId="0" applyFont="1" applyBorder="1" applyAlignment="1">
      <alignment horizontal="center"/>
    </xf>
    <xf numFmtId="168" fontId="135" fillId="7" borderId="58" xfId="0" applyNumberFormat="1" applyFont="1" applyFill="1" applyBorder="1" applyAlignment="1">
      <alignment horizontal="center" vertical="center"/>
    </xf>
    <xf numFmtId="168" fontId="135" fillId="7" borderId="0" xfId="0" applyNumberFormat="1" applyFont="1" applyFill="1" applyAlignment="1">
      <alignment horizontal="center" vertical="center"/>
    </xf>
    <xf numFmtId="14" fontId="96" fillId="0" borderId="27" xfId="0" applyNumberFormat="1" applyFont="1" applyBorder="1" applyAlignment="1" applyProtection="1">
      <alignment horizontal="center" vertical="center"/>
      <protection locked="0"/>
    </xf>
    <xf numFmtId="14" fontId="96" fillId="0" borderId="28" xfId="0" applyNumberFormat="1" applyFont="1" applyBorder="1" applyAlignment="1" applyProtection="1">
      <alignment horizontal="center" vertical="center"/>
      <protection locked="0"/>
    </xf>
    <xf numFmtId="169" fontId="134" fillId="0" borderId="76" xfId="0" applyNumberFormat="1" applyFont="1" applyBorder="1" applyAlignment="1">
      <alignment horizontal="center" vertical="center" wrapText="1"/>
    </xf>
    <xf numFmtId="169" fontId="134" fillId="0" borderId="30" xfId="0" applyNumberFormat="1" applyFont="1" applyBorder="1" applyAlignment="1">
      <alignment horizontal="center" vertical="center" wrapText="1"/>
    </xf>
    <xf numFmtId="169" fontId="134" fillId="0" borderId="31" xfId="0" applyNumberFormat="1" applyFont="1" applyBorder="1" applyAlignment="1">
      <alignment horizontal="center" vertical="center" wrapText="1"/>
    </xf>
    <xf numFmtId="169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8" fillId="0" borderId="25" xfId="0" applyFont="1" applyBorder="1" applyAlignment="1">
      <alignment horizontal="left" vertical="center"/>
    </xf>
    <xf numFmtId="0" fontId="39" fillId="0" borderId="65" xfId="0" applyFont="1" applyBorder="1" applyAlignment="1">
      <alignment horizontal="center" vertical="center" wrapText="1"/>
    </xf>
    <xf numFmtId="0" fontId="39" fillId="0" borderId="66" xfId="0" applyFont="1" applyBorder="1" applyAlignment="1">
      <alignment horizontal="center" vertical="center" wrapText="1"/>
    </xf>
    <xf numFmtId="0" fontId="39" fillId="0" borderId="61" xfId="0" applyFont="1" applyBorder="1" applyAlignment="1">
      <alignment horizontal="center" vertical="center" wrapText="1"/>
    </xf>
    <xf numFmtId="0" fontId="39" fillId="0" borderId="6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top"/>
    </xf>
    <xf numFmtId="0" fontId="9" fillId="0" borderId="45" xfId="0" applyFont="1" applyBorder="1" applyAlignment="1">
      <alignment horizontal="left" vertical="top"/>
    </xf>
    <xf numFmtId="0" fontId="9" fillId="0" borderId="46" xfId="0" applyFont="1" applyBorder="1" applyAlignment="1">
      <alignment horizontal="left" vertical="top"/>
    </xf>
    <xf numFmtId="0" fontId="9" fillId="0" borderId="4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48" xfId="0" applyFont="1" applyBorder="1" applyAlignment="1">
      <alignment horizontal="left" vertical="top"/>
    </xf>
    <xf numFmtId="0" fontId="9" fillId="0" borderId="42" xfId="0" applyFont="1" applyBorder="1" applyAlignment="1">
      <alignment horizontal="left" vertical="top"/>
    </xf>
    <xf numFmtId="0" fontId="9" fillId="0" borderId="49" xfId="0" applyFont="1" applyBorder="1" applyAlignment="1">
      <alignment horizontal="left" vertical="top"/>
    </xf>
    <xf numFmtId="0" fontId="9" fillId="0" borderId="50" xfId="0" applyFont="1" applyBorder="1" applyAlignment="1">
      <alignment horizontal="left" vertical="top"/>
    </xf>
    <xf numFmtId="171" fontId="0" fillId="0" borderId="65" xfId="0" applyNumberFormat="1" applyBorder="1" applyAlignment="1">
      <alignment horizontal="center" vertical="center" wrapText="1"/>
    </xf>
    <xf numFmtId="171" fontId="0" fillId="0" borderId="66" xfId="0" applyNumberForma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98" fillId="0" borderId="45" xfId="0" applyFont="1" applyBorder="1" applyAlignment="1">
      <alignment horizontal="center" vertical="center"/>
    </xf>
    <xf numFmtId="0" fontId="98" fillId="0" borderId="46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48" xfId="0" applyFont="1" applyBorder="1" applyAlignment="1">
      <alignment horizontal="center" vertical="center"/>
    </xf>
    <xf numFmtId="0" fontId="139" fillId="7" borderId="59" xfId="0" applyFont="1" applyFill="1" applyBorder="1" applyAlignment="1">
      <alignment horizontal="center" vertical="center"/>
    </xf>
    <xf numFmtId="0" fontId="139" fillId="7" borderId="63" xfId="0" applyFont="1" applyFill="1" applyBorder="1" applyAlignment="1">
      <alignment horizontal="center" vertical="center"/>
    </xf>
    <xf numFmtId="0" fontId="140" fillId="7" borderId="61" xfId="0" applyFont="1" applyFill="1" applyBorder="1" applyAlignment="1">
      <alignment horizontal="center" vertical="top"/>
    </xf>
    <xf numFmtId="0" fontId="140" fillId="7" borderId="64" xfId="0" applyFont="1" applyFill="1" applyBorder="1" applyAlignment="1">
      <alignment horizontal="center" vertical="top"/>
    </xf>
    <xf numFmtId="14" fontId="49" fillId="0" borderId="55" xfId="0" applyNumberFormat="1" applyFont="1" applyBorder="1" applyAlignment="1">
      <alignment horizontal="left" vertical="center" wrapText="1"/>
    </xf>
    <xf numFmtId="14" fontId="49" fillId="0" borderId="52" xfId="0" applyNumberFormat="1" applyFont="1" applyBorder="1" applyAlignment="1">
      <alignment horizontal="left" vertical="center" wrapText="1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70" fillId="0" borderId="0" xfId="0" applyFont="1" applyAlignment="1">
      <alignment horizontal="center" vertical="center"/>
    </xf>
    <xf numFmtId="168" fontId="124" fillId="0" borderId="41" xfId="0" applyNumberFormat="1" applyFont="1" applyBorder="1" applyAlignment="1">
      <alignment horizontal="center" vertical="center" wrapText="1"/>
    </xf>
    <xf numFmtId="168" fontId="124" fillId="0" borderId="46" xfId="0" applyNumberFormat="1" applyFont="1" applyBorder="1" applyAlignment="1">
      <alignment horizontal="center" vertical="center" wrapText="1"/>
    </xf>
    <xf numFmtId="168" fontId="124" fillId="0" borderId="47" xfId="0" applyNumberFormat="1" applyFont="1" applyBorder="1" applyAlignment="1">
      <alignment horizontal="center" vertical="center" wrapText="1"/>
    </xf>
    <xf numFmtId="168" fontId="124" fillId="0" borderId="48" xfId="0" applyNumberFormat="1" applyFont="1" applyBorder="1" applyAlignment="1">
      <alignment horizontal="center" vertical="center" wrapText="1"/>
    </xf>
    <xf numFmtId="169" fontId="124" fillId="0" borderId="41" xfId="0" applyNumberFormat="1" applyFont="1" applyBorder="1" applyAlignment="1">
      <alignment horizontal="center" vertical="center" wrapText="1"/>
    </xf>
    <xf numFmtId="169" fontId="124" fillId="0" borderId="46" xfId="0" applyNumberFormat="1" applyFont="1" applyBorder="1" applyAlignment="1">
      <alignment horizontal="center" vertical="center" wrapText="1"/>
    </xf>
    <xf numFmtId="169" fontId="124" fillId="0" borderId="42" xfId="0" applyNumberFormat="1" applyFont="1" applyBorder="1" applyAlignment="1">
      <alignment horizontal="center" vertical="center" wrapText="1"/>
    </xf>
    <xf numFmtId="169" fontId="124" fillId="0" borderId="50" xfId="0" applyNumberFormat="1" applyFont="1" applyBorder="1" applyAlignment="1">
      <alignment horizontal="center" vertical="center" wrapText="1"/>
    </xf>
    <xf numFmtId="0" fontId="127" fillId="6" borderId="41" xfId="0" applyFont="1" applyFill="1" applyBorder="1" applyAlignment="1">
      <alignment horizontal="center"/>
    </xf>
    <xf numFmtId="0" fontId="127" fillId="6" borderId="46" xfId="0" applyFont="1" applyFill="1" applyBorder="1" applyAlignment="1">
      <alignment horizontal="center"/>
    </xf>
    <xf numFmtId="0" fontId="139" fillId="7" borderId="60" xfId="0" applyFont="1" applyFill="1" applyBorder="1" applyAlignment="1">
      <alignment horizontal="center" vertical="center"/>
    </xf>
    <xf numFmtId="0" fontId="140" fillId="7" borderId="62" xfId="0" applyFont="1" applyFill="1" applyBorder="1" applyAlignment="1">
      <alignment horizontal="center" vertical="top"/>
    </xf>
    <xf numFmtId="0" fontId="42" fillId="0" borderId="0" xfId="0" applyFont="1" applyAlignment="1">
      <alignment horizontal="left"/>
    </xf>
    <xf numFmtId="0" fontId="100" fillId="0" borderId="0" xfId="0" applyFont="1" applyAlignment="1">
      <alignment horizontal="left" vertical="center"/>
    </xf>
    <xf numFmtId="0" fontId="141" fillId="7" borderId="40" xfId="0" applyFont="1" applyFill="1" applyBorder="1" applyAlignment="1">
      <alignment horizontal="center" vertical="center"/>
    </xf>
    <xf numFmtId="0" fontId="73" fillId="0" borderId="35" xfId="0" applyFont="1" applyBorder="1" applyAlignment="1">
      <alignment horizontal="left" vertical="top"/>
    </xf>
    <xf numFmtId="0" fontId="73" fillId="0" borderId="36" xfId="0" applyFont="1" applyBorder="1" applyAlignment="1">
      <alignment horizontal="left" vertical="top"/>
    </xf>
    <xf numFmtId="0" fontId="73" fillId="0" borderId="0" xfId="0" applyFont="1" applyAlignment="1">
      <alignment horizontal="left" vertical="top"/>
    </xf>
    <xf numFmtId="0" fontId="73" fillId="0" borderId="56" xfId="0" applyFont="1" applyBorder="1" applyAlignment="1">
      <alignment horizontal="left" vertical="top"/>
    </xf>
    <xf numFmtId="0" fontId="73" fillId="0" borderId="38" xfId="0" applyFont="1" applyBorder="1" applyAlignment="1">
      <alignment horizontal="left" vertical="top"/>
    </xf>
    <xf numFmtId="0" fontId="73" fillId="0" borderId="39" xfId="0" applyFont="1" applyBorder="1" applyAlignment="1">
      <alignment horizontal="left" vertical="top"/>
    </xf>
    <xf numFmtId="168" fontId="192" fillId="0" borderId="0" xfId="0" applyNumberFormat="1" applyFont="1" applyAlignment="1">
      <alignment horizontal="center" vertical="center"/>
    </xf>
    <xf numFmtId="0" fontId="191" fillId="4" borderId="0" xfId="0" applyFont="1" applyFill="1" applyAlignment="1">
      <alignment horizontal="left" vertical="center"/>
    </xf>
    <xf numFmtId="0" fontId="48" fillId="0" borderId="26" xfId="0" applyFont="1" applyBorder="1" applyAlignment="1">
      <alignment horizontal="left"/>
    </xf>
    <xf numFmtId="172" fontId="134" fillId="0" borderId="77" xfId="0" applyNumberFormat="1" applyFont="1" applyBorder="1" applyAlignment="1">
      <alignment horizontal="center" vertical="center"/>
    </xf>
    <xf numFmtId="172" fontId="134" fillId="0" borderId="78" xfId="0" applyNumberFormat="1" applyFont="1" applyBorder="1" applyAlignment="1">
      <alignment horizontal="center" vertical="center"/>
    </xf>
    <xf numFmtId="49" fontId="282" fillId="0" borderId="0" xfId="0" applyNumberFormat="1" applyFont="1" applyAlignment="1">
      <alignment horizontal="center"/>
    </xf>
    <xf numFmtId="49" fontId="272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113" fillId="4" borderId="61" xfId="0" applyFont="1" applyFill="1" applyBorder="1" applyAlignment="1">
      <alignment horizontal="center" vertical="top"/>
    </xf>
    <xf numFmtId="0" fontId="113" fillId="4" borderId="64" xfId="0" applyFont="1" applyFill="1" applyBorder="1" applyAlignment="1">
      <alignment horizontal="center" vertical="top"/>
    </xf>
    <xf numFmtId="0" fontId="146" fillId="4" borderId="59" xfId="0" applyFont="1" applyFill="1" applyBorder="1" applyAlignment="1">
      <alignment horizontal="center"/>
    </xf>
    <xf numFmtId="0" fontId="146" fillId="4" borderId="63" xfId="0" applyFont="1" applyFill="1" applyBorder="1" applyAlignment="1">
      <alignment horizontal="center"/>
    </xf>
    <xf numFmtId="0" fontId="272" fillId="0" borderId="0" xfId="0" applyFont="1" applyAlignment="1">
      <alignment horizontal="center"/>
    </xf>
    <xf numFmtId="168" fontId="42" fillId="0" borderId="0" xfId="0" applyNumberFormat="1" applyFont="1" applyAlignment="1">
      <alignment horizontal="right" vertical="center" wrapText="1"/>
    </xf>
    <xf numFmtId="0" fontId="146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95" fillId="7" borderId="76" xfId="0" applyFont="1" applyFill="1" applyBorder="1" applyAlignment="1">
      <alignment horizontal="center" vertical="center"/>
    </xf>
    <xf numFmtId="0" fontId="295" fillId="7" borderId="29" xfId="0" applyFont="1" applyFill="1" applyBorder="1" applyAlignment="1">
      <alignment horizontal="center" vertical="center"/>
    </xf>
    <xf numFmtId="0" fontId="295" fillId="7" borderId="30" xfId="0" applyFont="1" applyFill="1" applyBorder="1" applyAlignment="1">
      <alignment horizontal="center" vertical="center"/>
    </xf>
    <xf numFmtId="0" fontId="295" fillId="7" borderId="74" xfId="0" applyFont="1" applyFill="1" applyBorder="1" applyAlignment="1">
      <alignment horizontal="center" vertical="center"/>
    </xf>
    <xf numFmtId="0" fontId="295" fillId="7" borderId="0" xfId="0" applyFont="1" applyFill="1" applyAlignment="1">
      <alignment horizontal="center" vertical="center"/>
    </xf>
    <xf numFmtId="0" fontId="295" fillId="7" borderId="75" xfId="0" applyFont="1" applyFill="1" applyBorder="1" applyAlignment="1">
      <alignment horizontal="center" vertical="center"/>
    </xf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7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0" fontId="284" fillId="7" borderId="0" xfId="0" applyFont="1" applyFill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85" fillId="0" borderId="55" xfId="0" applyFont="1" applyBorder="1" applyAlignment="1">
      <alignment horizontal="center" vertical="center"/>
    </xf>
    <xf numFmtId="0" fontId="285" fillId="0" borderId="51" xfId="0" applyFont="1" applyBorder="1" applyAlignment="1">
      <alignment horizontal="center" vertical="center"/>
    </xf>
    <xf numFmtId="0" fontId="285" fillId="0" borderId="52" xfId="0" applyFont="1" applyBorder="1" applyAlignment="1">
      <alignment horizontal="center" vertical="center"/>
    </xf>
    <xf numFmtId="0" fontId="202" fillId="0" borderId="49" xfId="0" applyFont="1" applyBorder="1" applyAlignment="1">
      <alignment horizontal="center" vertical="center"/>
    </xf>
    <xf numFmtId="0" fontId="282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51" fillId="0" borderId="0" xfId="0" applyFont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125" fillId="0" borderId="51" xfId="0" applyFont="1" applyBorder="1" applyAlignment="1">
      <alignment horizontal="center" vertical="center"/>
    </xf>
    <xf numFmtId="0" fontId="125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82" fillId="0" borderId="0" xfId="0" applyFont="1" applyAlignment="1">
      <alignment horizontal="center"/>
    </xf>
    <xf numFmtId="0" fontId="9" fillId="0" borderId="85" xfId="0" applyFont="1" applyBorder="1" applyAlignment="1">
      <alignment horizontal="left"/>
    </xf>
    <xf numFmtId="0" fontId="9" fillId="0" borderId="86" xfId="0" applyFont="1" applyBorder="1" applyAlignment="1">
      <alignment horizontal="left" vertical="center"/>
    </xf>
    <xf numFmtId="0" fontId="273" fillId="0" borderId="0" xfId="0" applyFont="1" applyAlignment="1">
      <alignment horizontal="right"/>
    </xf>
    <xf numFmtId="0" fontId="276" fillId="0" borderId="0" xfId="0" applyFont="1" applyAlignment="1">
      <alignment horizontal="center"/>
    </xf>
    <xf numFmtId="0" fontId="10" fillId="0" borderId="17" xfId="0" applyFont="1" applyBorder="1" applyAlignment="1" applyProtection="1">
      <alignment horizontal="left" vertical="center" wrapText="1" indent="1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10" fillId="0" borderId="17" xfId="0" applyFont="1" applyBorder="1" applyAlignment="1" applyProtection="1">
      <alignment horizontal="center" wrapText="1"/>
      <protection locked="0"/>
    </xf>
    <xf numFmtId="0" fontId="17" fillId="0" borderId="7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6" fillId="2" borderId="0" xfId="0" applyFont="1" applyFill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1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43" fontId="27" fillId="0" borderId="14" xfId="3" applyFont="1" applyBorder="1" applyAlignment="1">
      <alignment horizontal="center" vertical="center"/>
    </xf>
    <xf numFmtId="43" fontId="27" fillId="0" borderId="23" xfId="3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10" fillId="0" borderId="2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8" fillId="0" borderId="4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12" fillId="0" borderId="17" xfId="0" applyFont="1" applyBorder="1" applyAlignment="1" applyProtection="1">
      <alignment horizontal="left" vertical="center" wrapText="1"/>
      <protection locked="0"/>
    </xf>
    <xf numFmtId="0" fontId="25" fillId="0" borderId="1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3" fillId="0" borderId="1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 wrapText="1"/>
    </xf>
    <xf numFmtId="0" fontId="10" fillId="0" borderId="15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4" fillId="0" borderId="15" xfId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4" fillId="0" borderId="0" xfId="0" applyFont="1" applyAlignment="1">
      <alignment horizontal="center" vertical="top"/>
    </xf>
    <xf numFmtId="14" fontId="13" fillId="2" borderId="0" xfId="0" applyNumberFormat="1" applyFont="1" applyFill="1" applyAlignment="1">
      <alignment horizontal="right" vertical="center"/>
    </xf>
    <xf numFmtId="165" fontId="13" fillId="2" borderId="0" xfId="3" applyNumberFormat="1" applyFont="1" applyFill="1" applyAlignment="1">
      <alignment horizontal="right"/>
    </xf>
    <xf numFmtId="0" fontId="32" fillId="0" borderId="5" xfId="0" applyFont="1" applyBorder="1" applyAlignment="1">
      <alignment horizontal="right" vertic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17" xfId="0" applyFont="1" applyBorder="1" applyAlignment="1" applyProtection="1">
      <alignment vertical="center" wrapText="1"/>
      <protection locked="0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4" fontId="101" fillId="0" borderId="55" xfId="0" applyNumberFormat="1" applyFont="1" applyBorder="1" applyAlignment="1">
      <alignment horizontal="left" vertical="center"/>
    </xf>
    <xf numFmtId="4" fontId="101" fillId="0" borderId="51" xfId="0" applyNumberFormat="1" applyFont="1" applyBorder="1" applyAlignment="1">
      <alignment horizontal="left" vertical="center"/>
    </xf>
    <xf numFmtId="4" fontId="101" fillId="0" borderId="52" xfId="0" applyNumberFormat="1" applyFont="1" applyBorder="1" applyAlignment="1">
      <alignment horizontal="left" vertical="center"/>
    </xf>
    <xf numFmtId="0" fontId="101" fillId="0" borderId="86" xfId="0" applyFont="1" applyBorder="1" applyAlignment="1">
      <alignment horizontal="left" vertical="center"/>
    </xf>
    <xf numFmtId="0" fontId="101" fillId="0" borderId="89" xfId="0" applyFont="1" applyBorder="1" applyAlignment="1">
      <alignment horizontal="left" vertical="center"/>
    </xf>
    <xf numFmtId="169" fontId="49" fillId="0" borderId="94" xfId="0" applyNumberFormat="1" applyFont="1" applyBorder="1" applyAlignment="1">
      <alignment horizontal="center" vertical="center"/>
    </xf>
    <xf numFmtId="169" fontId="49" fillId="0" borderId="86" xfId="0" applyNumberFormat="1" applyFont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01" fillId="0" borderId="55" xfId="0" applyFont="1" applyBorder="1" applyAlignment="1">
      <alignment horizontal="left" vertical="center"/>
    </xf>
    <xf numFmtId="0" fontId="101" fillId="0" borderId="51" xfId="0" applyFont="1" applyBorder="1" applyAlignment="1">
      <alignment horizontal="left" vertical="center"/>
    </xf>
    <xf numFmtId="0" fontId="101" fillId="0" borderId="52" xfId="0" applyFont="1" applyBorder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1" fillId="0" borderId="0" xfId="0" applyFont="1" applyAlignment="1">
      <alignment horizontal="center" vertical="center"/>
    </xf>
    <xf numFmtId="4" fontId="191" fillId="0" borderId="94" xfId="0" applyNumberFormat="1" applyFont="1" applyBorder="1" applyAlignment="1">
      <alignment horizontal="left" vertical="center"/>
    </xf>
    <xf numFmtId="4" fontId="191" fillId="0" borderId="86" xfId="0" applyNumberFormat="1" applyFont="1" applyBorder="1" applyAlignment="1">
      <alignment horizontal="left" vertical="center"/>
    </xf>
    <xf numFmtId="4" fontId="191" fillId="0" borderId="89" xfId="0" applyNumberFormat="1" applyFont="1" applyBorder="1" applyAlignment="1">
      <alignment horizontal="left" vertical="center"/>
    </xf>
    <xf numFmtId="0" fontId="4" fillId="0" borderId="79" xfId="1" applyBorder="1" applyAlignment="1">
      <alignment horizontal="left" vertical="center"/>
    </xf>
    <xf numFmtId="0" fontId="130" fillId="5" borderId="197" xfId="0" applyFont="1" applyFill="1" applyBorder="1" applyAlignment="1" applyProtection="1">
      <alignment horizontal="center" vertical="center"/>
    </xf>
    <xf numFmtId="0" fontId="187" fillId="5" borderId="205" xfId="0" applyFont="1" applyFill="1" applyBorder="1" applyAlignment="1" applyProtection="1">
      <alignment horizontal="center" vertical="center"/>
    </xf>
    <xf numFmtId="0" fontId="54" fillId="5" borderId="0" xfId="0" applyFont="1" applyFill="1" applyAlignment="1" applyProtection="1">
      <alignment horizontal="left" vertical="center"/>
    </xf>
    <xf numFmtId="0" fontId="67" fillId="0" borderId="0" xfId="0" applyFont="1" applyAlignment="1" applyProtection="1">
      <alignment horizontal="center" vertical="center"/>
    </xf>
    <xf numFmtId="0" fontId="92" fillId="5" borderId="205" xfId="0" applyFont="1" applyFill="1" applyBorder="1" applyAlignment="1" applyProtection="1">
      <alignment horizontal="center" vertical="center"/>
    </xf>
    <xf numFmtId="1" fontId="302" fillId="0" borderId="0" xfId="0" applyNumberFormat="1" applyFont="1" applyAlignment="1" applyProtection="1">
      <alignment horizontal="center" vertical="center"/>
    </xf>
    <xf numFmtId="0" fontId="43" fillId="0" borderId="0" xfId="0" applyFont="1" applyAlignment="1" applyProtection="1">
      <alignment horizontal="center"/>
    </xf>
    <xf numFmtId="0" fontId="250" fillId="0" borderId="0" xfId="0" applyFont="1" applyAlignment="1" applyProtection="1">
      <alignment horizontal="center" wrapText="1"/>
    </xf>
    <xf numFmtId="0" fontId="63" fillId="5" borderId="205" xfId="0" applyFont="1" applyFill="1" applyBorder="1" applyAlignment="1" applyProtection="1">
      <alignment horizontal="center" vertical="center"/>
    </xf>
    <xf numFmtId="0" fontId="188" fillId="5" borderId="0" xfId="0" applyFont="1" applyFill="1" applyAlignment="1" applyProtection="1">
      <alignment horizontal="center" vertical="center"/>
    </xf>
    <xf numFmtId="0" fontId="248" fillId="5" borderId="0" xfId="0" applyFont="1" applyFill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 vertical="center"/>
    </xf>
    <xf numFmtId="0" fontId="155" fillId="0" borderId="0" xfId="0" applyFont="1" applyAlignment="1" applyProtection="1">
      <alignment horizontal="center" vertical="center"/>
    </xf>
    <xf numFmtId="2" fontId="96" fillId="0" borderId="51" xfId="0" applyNumberFormat="1" applyFont="1" applyBorder="1" applyAlignment="1" applyProtection="1">
      <alignment horizontal="right" vertical="center"/>
    </xf>
    <xf numFmtId="0" fontId="193" fillId="13" borderId="40" xfId="0" applyFont="1" applyFill="1" applyBorder="1" applyAlignment="1" applyProtection="1">
      <alignment horizontal="center" vertical="center"/>
    </xf>
    <xf numFmtId="0" fontId="68" fillId="0" borderId="0" xfId="0" applyFont="1" applyAlignment="1" applyProtection="1">
      <alignment horizontal="center" vertical="center"/>
    </xf>
    <xf numFmtId="0" fontId="49" fillId="0" borderId="55" xfId="0" applyFont="1" applyBorder="1" applyAlignment="1" applyProtection="1">
      <alignment horizontal="center"/>
    </xf>
    <xf numFmtId="0" fontId="49" fillId="0" borderId="55" xfId="0" applyFont="1" applyBorder="1" applyAlignment="1" applyProtection="1">
      <alignment horizontal="left"/>
    </xf>
    <xf numFmtId="0" fontId="49" fillId="0" borderId="52" xfId="0" applyFont="1" applyBorder="1" applyAlignment="1" applyProtection="1">
      <alignment horizontal="center"/>
    </xf>
    <xf numFmtId="0" fontId="101" fillId="0" borderId="55" xfId="0" applyFont="1" applyBorder="1" applyAlignment="1" applyProtection="1">
      <alignment horizontal="center"/>
    </xf>
    <xf numFmtId="184" fontId="48" fillId="0" borderId="51" xfId="0" applyNumberFormat="1" applyFont="1" applyBorder="1" applyAlignment="1" applyProtection="1">
      <alignment horizontal="right"/>
    </xf>
    <xf numFmtId="0" fontId="101" fillId="0" borderId="55" xfId="0" applyFont="1" applyBorder="1" applyAlignment="1" applyProtection="1">
      <alignment horizontal="right"/>
    </xf>
    <xf numFmtId="2" fontId="48" fillId="0" borderId="52" xfId="0" applyNumberFormat="1" applyFont="1" applyBorder="1" applyAlignment="1" applyProtection="1">
      <alignment horizontal="right"/>
    </xf>
    <xf numFmtId="0" fontId="49" fillId="0" borderId="40" xfId="0" applyFont="1" applyBorder="1" applyAlignment="1" applyProtection="1">
      <alignment horizontal="center" vertical="center"/>
    </xf>
    <xf numFmtId="0" fontId="71" fillId="5" borderId="197" xfId="0" applyFont="1" applyFill="1" applyBorder="1" applyAlignment="1" applyProtection="1">
      <alignment horizontal="center" vertical="center"/>
    </xf>
    <xf numFmtId="0" fontId="248" fillId="0" borderId="0" xfId="0" applyFont="1" applyAlignment="1" applyProtection="1">
      <alignment horizontal="center" vertical="center"/>
    </xf>
    <xf numFmtId="0" fontId="248" fillId="5" borderId="152" xfId="0" applyFont="1" applyFill="1" applyBorder="1" applyAlignment="1" applyProtection="1">
      <alignment horizontal="center" vertical="center"/>
    </xf>
    <xf numFmtId="0" fontId="39" fillId="0" borderId="0" xfId="0" applyFont="1" applyAlignment="1" applyProtection="1">
      <alignment horizontal="center" vertical="top"/>
    </xf>
    <xf numFmtId="0" fontId="248" fillId="5" borderId="152" xfId="0" applyFont="1" applyFill="1" applyBorder="1" applyAlignment="1" applyProtection="1">
      <alignment horizontal="center" vertical="center" wrapText="1"/>
    </xf>
    <xf numFmtId="0" fontId="191" fillId="0" borderId="0" xfId="0" applyFont="1" applyAlignment="1" applyProtection="1">
      <alignment horizontal="centerContinuous" vertical="top"/>
    </xf>
    <xf numFmtId="0" fontId="248" fillId="5" borderId="154" xfId="0" applyFont="1" applyFill="1" applyBorder="1" applyAlignment="1" applyProtection="1">
      <alignment horizontal="center" vertical="center"/>
    </xf>
    <xf numFmtId="0" fontId="49" fillId="0" borderId="79" xfId="0" applyFont="1" applyBorder="1" applyAlignment="1" applyProtection="1">
      <alignment horizontal="center" vertical="center"/>
    </xf>
    <xf numFmtId="0" fontId="49" fillId="0" borderId="79" xfId="0" applyFont="1" applyBorder="1" applyAlignment="1" applyProtection="1">
      <alignment vertical="center"/>
    </xf>
    <xf numFmtId="0" fontId="101" fillId="0" borderId="79" xfId="0" applyFont="1" applyBorder="1" applyAlignment="1" applyProtection="1">
      <alignment horizontal="center" vertical="center"/>
    </xf>
    <xf numFmtId="2" fontId="49" fillId="0" borderId="79" xfId="0" applyNumberFormat="1" applyFont="1" applyBorder="1" applyAlignment="1" applyProtection="1">
      <alignment horizontal="center" vertical="center"/>
    </xf>
    <xf numFmtId="0" fontId="101" fillId="0" borderId="78" xfId="0" applyFont="1" applyBorder="1" applyAlignment="1" applyProtection="1">
      <alignment horizontal="left" vertical="center"/>
    </xf>
    <xf numFmtId="0" fontId="101" fillId="0" borderId="79" xfId="0" applyFont="1" applyBorder="1" applyAlignment="1" applyProtection="1">
      <alignment horizontal="left" vertical="center"/>
    </xf>
    <xf numFmtId="0" fontId="315" fillId="5" borderId="188" xfId="0" applyFont="1" applyFill="1" applyBorder="1" applyAlignment="1" applyProtection="1">
      <alignment horizontal="center" vertical="center"/>
    </xf>
    <xf numFmtId="0" fontId="130" fillId="5" borderId="185" xfId="0" applyFont="1" applyFill="1" applyBorder="1" applyAlignment="1" applyProtection="1">
      <alignment horizontal="center" vertical="center"/>
    </xf>
    <xf numFmtId="0" fontId="92" fillId="5" borderId="188" xfId="0" applyFont="1" applyFill="1" applyBorder="1" applyAlignment="1" applyProtection="1">
      <alignment horizontal="center" vertical="center"/>
    </xf>
    <xf numFmtId="0" fontId="63" fillId="5" borderId="188" xfId="0" applyFont="1" applyFill="1" applyBorder="1" applyAlignment="1" applyProtection="1">
      <alignment horizontal="center" vertical="center"/>
    </xf>
    <xf numFmtId="0" fontId="204" fillId="0" borderId="84" xfId="0" applyFont="1" applyBorder="1" applyAlignment="1" applyProtection="1">
      <alignment horizontal="center" vertical="center"/>
    </xf>
    <xf numFmtId="0" fontId="92" fillId="5" borderId="0" xfId="0" applyFont="1" applyFill="1" applyAlignment="1" applyProtection="1">
      <alignment horizontal="center" vertical="center"/>
    </xf>
    <xf numFmtId="0" fontId="68" fillId="5" borderId="188" xfId="0" applyFont="1" applyFill="1" applyBorder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/>
    </xf>
    <xf numFmtId="2" fontId="96" fillId="0" borderId="100" xfId="0" applyNumberFormat="1" applyFont="1" applyBorder="1" applyAlignment="1" applyProtection="1">
      <alignment horizontal="right" vertical="center"/>
    </xf>
    <xf numFmtId="2" fontId="96" fillId="0" borderId="25" xfId="0" applyNumberFormat="1" applyFont="1" applyBorder="1" applyAlignment="1" applyProtection="1">
      <alignment horizontal="right" vertical="center"/>
    </xf>
    <xf numFmtId="0" fontId="49" fillId="0" borderId="148" xfId="0" applyFont="1" applyBorder="1" applyAlignment="1" applyProtection="1">
      <alignment horizontal="center"/>
    </xf>
    <xf numFmtId="0" fontId="49" fillId="0" borderId="148" xfId="0" applyFont="1" applyBorder="1" applyAlignment="1" applyProtection="1">
      <alignment horizontal="left"/>
    </xf>
    <xf numFmtId="0" fontId="49" fillId="0" borderId="149" xfId="0" applyFont="1" applyBorder="1" applyAlignment="1" applyProtection="1">
      <alignment horizontal="center"/>
    </xf>
    <xf numFmtId="0" fontId="49" fillId="0" borderId="143" xfId="0" applyFont="1" applyBorder="1" applyAlignment="1" applyProtection="1">
      <alignment horizontal="center"/>
    </xf>
    <xf numFmtId="0" fontId="49" fillId="0" borderId="142" xfId="0" applyFont="1" applyBorder="1" applyAlignment="1" applyProtection="1">
      <alignment horizontal="center"/>
    </xf>
    <xf numFmtId="0" fontId="49" fillId="0" borderId="144" xfId="0" applyFont="1" applyBorder="1" applyAlignment="1" applyProtection="1">
      <alignment horizontal="center"/>
    </xf>
    <xf numFmtId="0" fontId="101" fillId="0" borderId="148" xfId="0" applyFont="1" applyBorder="1" applyAlignment="1" applyProtection="1">
      <alignment horizontal="center"/>
    </xf>
    <xf numFmtId="0" fontId="101" fillId="0" borderId="143" xfId="0" applyFont="1" applyBorder="1" applyAlignment="1" applyProtection="1">
      <alignment horizontal="center"/>
    </xf>
    <xf numFmtId="2" fontId="48" fillId="0" borderId="140" xfId="0" applyNumberFormat="1" applyFont="1" applyBorder="1" applyAlignment="1" applyProtection="1">
      <alignment horizontal="right"/>
    </xf>
    <xf numFmtId="2" fontId="48" fillId="0" borderId="141" xfId="0" applyNumberFormat="1" applyFont="1" applyBorder="1" applyAlignment="1" applyProtection="1">
      <alignment horizontal="right"/>
    </xf>
    <xf numFmtId="2" fontId="48" fillId="0" borderId="149" xfId="0" applyNumberFormat="1" applyFont="1" applyBorder="1" applyAlignment="1" applyProtection="1">
      <alignment horizontal="right"/>
    </xf>
    <xf numFmtId="2" fontId="48" fillId="0" borderId="144" xfId="0" applyNumberFormat="1" applyFont="1" applyBorder="1" applyAlignment="1" applyProtection="1">
      <alignment horizontal="right"/>
    </xf>
    <xf numFmtId="0" fontId="49" fillId="0" borderId="144" xfId="0" applyFont="1" applyBorder="1" applyAlignment="1" applyProtection="1">
      <alignment horizontal="center" vertical="center"/>
    </xf>
    <xf numFmtId="0" fontId="49" fillId="0" borderId="142" xfId="0" applyFont="1" applyBorder="1" applyAlignment="1" applyProtection="1">
      <alignment horizontal="center" vertical="center"/>
    </xf>
    <xf numFmtId="2" fontId="49" fillId="0" borderId="142" xfId="0" applyNumberFormat="1" applyFont="1" applyBorder="1" applyAlignment="1" applyProtection="1">
      <alignment horizontal="center" vertical="center"/>
    </xf>
    <xf numFmtId="178" fontId="49" fillId="0" borderId="142" xfId="0" applyNumberFormat="1" applyFont="1" applyBorder="1" applyAlignment="1" applyProtection="1">
      <alignment horizontal="center" vertical="center"/>
    </xf>
    <xf numFmtId="3" fontId="49" fillId="0" borderId="142" xfId="0" applyNumberFormat="1" applyFont="1" applyBorder="1" applyAlignment="1" applyProtection="1">
      <alignment horizontal="center" vertical="center"/>
    </xf>
    <xf numFmtId="0" fontId="101" fillId="0" borderId="142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AF2FA"/>
      <color rgb="FFDECDFF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63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64" Type="http://schemas.microsoft.com/office/2023/09/relationships/Python" Target="pyth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customXml" Target="../customXml/item2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567267</xdr:colOff>
      <xdr:row>0</xdr:row>
      <xdr:rowOff>135464</xdr:rowOff>
    </xdr:from>
    <xdr:to>
      <xdr:col>8</xdr:col>
      <xdr:colOff>2386536</xdr:colOff>
      <xdr:row>1</xdr:row>
      <xdr:rowOff>478069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7331267" y="135464"/>
          <a:ext cx="1819269" cy="473574"/>
          <a:chOff x="19188907" y="645582"/>
          <a:chExt cx="809818" cy="499371"/>
        </a:xfrm>
      </xdr:grpSpPr>
      <xdr:sp macro="[0]!OpenSyste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9188907" y="645582"/>
            <a:ext cx="809818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     ប្រព័ន្ធគោកស្នួល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OpenSystem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9229206" y="765165"/>
            <a:ext cx="15674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^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[0]!goToCountStock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[0]!goToOtherExpense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77135</xdr:colOff>
      <xdr:row>8</xdr:row>
      <xdr:rowOff>117770</xdr:rowOff>
    </xdr:from>
    <xdr:to>
      <xdr:col>4</xdr:col>
      <xdr:colOff>2652176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34948" y="2677614"/>
          <a:ext cx="2575041" cy="501355"/>
          <a:chOff x="19169891" y="645582"/>
          <a:chExt cx="1182988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បញ្ចូលប៉ាន់ស្មានតម្លៃទំនិញ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16989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54895</xdr:colOff>
      <xdr:row>11</xdr:row>
      <xdr:rowOff>133350</xdr:rowOff>
    </xdr:from>
    <xdr:to>
      <xdr:col>4</xdr:col>
      <xdr:colOff>2649722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12708" y="3836194"/>
          <a:ext cx="2594827" cy="501355"/>
          <a:chOff x="19160801" y="645582"/>
          <a:chExt cx="1192078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160801" y="76621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[0]!goToOtherIncome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189752" y="78853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5310ADEB-9716-6C3C-F5E9-BA5B64529306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3AECE54F-4356-052B-A515-5777B8CBFC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5FDDFD5A-EFC4-22E5-26BC-A48129A4231F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3F40AD22-AE13-0F1D-7096-3210BD742BD8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BAA6DB24-536E-9477-E7F5-EFB546A0A3C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A1F5BDC4-9344-504C-91E3-32791C10837A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2525434-1900-3520-F5AC-858C3A9DA17A}"/>
            </a:ext>
          </a:extLst>
        </xdr:cNvPr>
        <xdr:cNvGrpSpPr/>
      </xdr:nvGrpSpPr>
      <xdr:grpSpPr>
        <a:xfrm>
          <a:off x="19288125" y="1564481"/>
          <a:ext cx="3107531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4F11DAA7-8ED9-9B7C-F182-5B971FCF12A0}"/>
              </a:ext>
            </a:extLst>
          </xdr:cNvPr>
          <xdr:cNvSpPr/>
        </xdr:nvSpPr>
        <xdr:spPr>
          <a:xfrm>
            <a:off x="19614796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C5BD3A83-62EC-27E5-C4CD-833F80514983}"/>
            </a:ext>
          </a:extLst>
        </xdr:cNvPr>
        <xdr:cNvGrpSpPr/>
      </xdr:nvGrpSpPr>
      <xdr:grpSpPr>
        <a:xfrm>
          <a:off x="19288125" y="2255047"/>
          <a:ext cx="3107531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ACC3922D-3003-6B2F-F512-2F46CD7120B3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9EACD8B3-94EE-246A-10AB-FD3493E99BD5}"/>
            </a:ext>
          </a:extLst>
        </xdr:cNvPr>
        <xdr:cNvGrpSpPr/>
      </xdr:nvGrpSpPr>
      <xdr:grpSpPr>
        <a:xfrm>
          <a:off x="19288125" y="2940844"/>
          <a:ext cx="3107531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34579583-E718-A27B-3A08-837D75769734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94C84BB2-60EA-694A-F0A7-2798B0A2BAED}"/>
            </a:ext>
          </a:extLst>
        </xdr:cNvPr>
        <xdr:cNvGrpSpPr/>
      </xdr:nvGrpSpPr>
      <xdr:grpSpPr>
        <a:xfrm>
          <a:off x="22538531" y="1564481"/>
          <a:ext cx="3381375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E69B5FCC-D263-6624-DF6E-C5AF47C57632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36710726-8465-04E0-F7C7-11417949FB61}"/>
            </a:ext>
          </a:extLst>
        </xdr:cNvPr>
        <xdr:cNvGrpSpPr/>
      </xdr:nvGrpSpPr>
      <xdr:grpSpPr>
        <a:xfrm>
          <a:off x="22538531" y="2255047"/>
          <a:ext cx="3381375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D0776C3C-EE05-0ADE-02DA-C6C2C2C09985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E5955EA0-6A0A-0B94-2844-9868F20C4E98}"/>
            </a:ext>
          </a:extLst>
        </xdr:cNvPr>
        <xdr:cNvGrpSpPr/>
      </xdr:nvGrpSpPr>
      <xdr:grpSpPr>
        <a:xfrm>
          <a:off x="22538531" y="2940844"/>
          <a:ext cx="3381375" cy="554831"/>
          <a:chOff x="19395281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81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7518BAAE-05EC-BFA2-BC1C-3CBD6FDEF6D8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571502</xdr:colOff>
      <xdr:row>1</xdr:row>
      <xdr:rowOff>116681</xdr:rowOff>
    </xdr:from>
    <xdr:to>
      <xdr:col>5</xdr:col>
      <xdr:colOff>600077</xdr:colOff>
      <xdr:row>3</xdr:row>
      <xdr:rowOff>173831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62127" y="307181"/>
          <a:ext cx="2683669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81000" y="250031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180975</xdr:colOff>
          <xdr:row>5</xdr:row>
          <xdr:rowOff>133350</xdr:rowOff>
        </xdr:to>
        <xdr:sp macro="" textlink="">
          <xdr:nvSpPr>
            <xdr:cNvPr id="4124673" name="Button 1" descr="ទំព័រដើម" hidden="1">
              <a:extLst>
                <a:ext uri="{63B3BB69-23CF-44E3-9099-C40C66FF867C}">
                  <a14:compatExt spid="_x0000_s4124673"/>
                </a:ext>
                <a:ext uri="{FF2B5EF4-FFF2-40B4-BE49-F238E27FC236}">
                  <a16:creationId xmlns:a16="http://schemas.microsoft.com/office/drawing/2014/main" id="{00000000-0008-0000-0700-000001F0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2396907" y="27503438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38441313" y="27503438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42886313" y="27503438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pSpPr/>
      </xdr:nvGrpSpPr>
      <xdr:grpSpPr>
        <a:xfrm>
          <a:off x="47180500" y="27503438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pSpPr/>
      </xdr:nvGrpSpPr>
      <xdr:grpSpPr>
        <a:xfrm>
          <a:off x="38124873" y="18519511"/>
          <a:ext cx="2347116" cy="1013352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46795536" y="18659743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56201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>
          <a:grpSpLocks noChangeAspect="1"/>
        </xdr:cNvGrpSpPr>
      </xdr:nvGrpSpPr>
      <xdr:grpSpPr>
        <a:xfrm>
          <a:off x="49549999" y="18786627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B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B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B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B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B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B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B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B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B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B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B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B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B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B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B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B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B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B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B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B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B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B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B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B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B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B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B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B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B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B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B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B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B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B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B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B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B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B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B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B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B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B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B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B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B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B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B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B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B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B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B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B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B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B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B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B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B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B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B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B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B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B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B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B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B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B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B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B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B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B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B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B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B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B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B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B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B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B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B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B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B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B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B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B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B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B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B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B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B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B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B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B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B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B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B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B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B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B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B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B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B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B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B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B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B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B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B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B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B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B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B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B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B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B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B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B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B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B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B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B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B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B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B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B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B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B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B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B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B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B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B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B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B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B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B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B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B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B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B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B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B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B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B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B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B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B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B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B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B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B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B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B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B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B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B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B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B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B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B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B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B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B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B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B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B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B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B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B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B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B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B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B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B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B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B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B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B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B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B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B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B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B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B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B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B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B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B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B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B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B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B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B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B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B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B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B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B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B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B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B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B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B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B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B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B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B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B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B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B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B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B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B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B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B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B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B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B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B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B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B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B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B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B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B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B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B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B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B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B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B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B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B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B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B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B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B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B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B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B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B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B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B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B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B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B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B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B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B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B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B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B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B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B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B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B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B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B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B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B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B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B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B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B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B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B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B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B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B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B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B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B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B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B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B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B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B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B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B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B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B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B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B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B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B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B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B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B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B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B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B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B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B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B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B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B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B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B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B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B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B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B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B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B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B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B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B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B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B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B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B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B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B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B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B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B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B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B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B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B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B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B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B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B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B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B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B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B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B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B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B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B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B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B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B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B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B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B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B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B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B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B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B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B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B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B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B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B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B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B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B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B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B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B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B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B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B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B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B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B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B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B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B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B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B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B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B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B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B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B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B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B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B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B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B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B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B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B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B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B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B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B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B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B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B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B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B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B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B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B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B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B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B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B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B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B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B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B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218127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937D4100}"/>
            </a:ext>
          </a:extLst>
        </xdr:cNvPr>
        <xdr:cNvGrpSpPr>
          <a:grpSpLocks noChangeAspect="1"/>
        </xdr:cNvGrpSpPr>
      </xdr:nvGrpSpPr>
      <xdr:grpSpPr>
        <a:xfrm>
          <a:off x="40796525" y="18638990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B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B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B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B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B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B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B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B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B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B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B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B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B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B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B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B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B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B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B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B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B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B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B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B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B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B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B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B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B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B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B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B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B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B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B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B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B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B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B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B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B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B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B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B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B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B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B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B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B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B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B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B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B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B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B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B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B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B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B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B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B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B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B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B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B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B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B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B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B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B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B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B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B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B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B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B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B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B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B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B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B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B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B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B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B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B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B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B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B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B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B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B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B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B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B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B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B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B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B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B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B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B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B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B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B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B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B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B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B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B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B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B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B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B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B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B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B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B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B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B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B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B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B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B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B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B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B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B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B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B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B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B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B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B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B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B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B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B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B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B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B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B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B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B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B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B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B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B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B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B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B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B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B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B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B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B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B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B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B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B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B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B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B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B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B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B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B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B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B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B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B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B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B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B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B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B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B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B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B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B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B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B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B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B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B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B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B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B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B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B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B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B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B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B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B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B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B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B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B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B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B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B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B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B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B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B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B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B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B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B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B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B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B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B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B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B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B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B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B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B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B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B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B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B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B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B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B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B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B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B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B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B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B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B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B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B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B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B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B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B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B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B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B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B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B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B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B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B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B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B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B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B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B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B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B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B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B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B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B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B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B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B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B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B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B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B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B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B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B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B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B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B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B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B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B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B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B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B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B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B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B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B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B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B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B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B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B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B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B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B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B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B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B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B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B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B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B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B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B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B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B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B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B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B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B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B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B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B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B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B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B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B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B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B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B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B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B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B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B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B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B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B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B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B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B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B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B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B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B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B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B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B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B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B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B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B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B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B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B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B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B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B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B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B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B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B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B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B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B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B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B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B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B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B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B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B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B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B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B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B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B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B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B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B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B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B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B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B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B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B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B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B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B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B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B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B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B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B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B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B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B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B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B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B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B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B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B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B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B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B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B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B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B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B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B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B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B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B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B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B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B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B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B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B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B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B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B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B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B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B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B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B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B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B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B00-0000160000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3C1B08-A52B-4EB5-B1CE-67889A2CF0C3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4B6D9562-64CF-2C8A-0A3D-BDD1D6E3A621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4E71829-83BD-5094-371F-7D9E519AAD01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C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4A7E832B-D5B6-49ED-93BC-DBA1ED016F63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CAF751A9-1BA6-BF20-FE36-A07D33C4994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318AC849-EC50-DF9E-6EDF-CA5994C1CF89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316984-2010-4FD5-9BD8-8915680A7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5A19F9F-D3D4-4714-8BF7-CB2B060F398F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E1E4A399-A6D3-87C8-C483-DE1C29D447D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6E244C22-6832-5401-E797-F26100C17CF4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DC5D006-2138-47C1-9701-AD36D8CCCE28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184BC765-3C9A-9F98-FCEA-9F6C279E1F8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428B9E8C-08E6-1087-FC9F-9EAF3284D769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E7724B88-DA3B-9E41-AACB-79560E510127}"/>
            </a:ext>
          </a:extLst>
        </xdr:cNvPr>
        <xdr:cNvGrpSpPr/>
      </xdr:nvGrpSpPr>
      <xdr:grpSpPr>
        <a:xfrm>
          <a:off x="1123647" y="7560468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858E936E-F70D-9C10-DA2C-1F1EED0F0192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C82A48F0-AAC5-5A66-803D-ED817360E8C3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4FA606A-12C1-46BD-8975-D3936781106B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679CA1E-9D41-DAD3-0EFC-D47EA7899C3D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CCC5B9EB-6098-93B1-9F6D-2FB9CD228158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152559</xdr:colOff>
      <xdr:row>0</xdr:row>
      <xdr:rowOff>40891</xdr:rowOff>
    </xdr:from>
    <xdr:to>
      <xdr:col>11</xdr:col>
      <xdr:colOff>653793</xdr:colOff>
      <xdr:row>7</xdr:row>
      <xdr:rowOff>28560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4491726" y="40891"/>
          <a:ext cx="2734317" cy="1035419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 txBox="1"/>
        </xdr:nvSpPr>
        <xdr:spPr>
          <a:xfrm>
            <a:off x="6167462" y="265702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7917920" y="129383"/>
          <a:ext cx="1279596" cy="484450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483048" y="144300"/>
          <a:ext cx="3411619" cy="1565914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pSpPr/>
      </xdr:nvGrpSpPr>
      <xdr:grpSpPr>
        <a:xfrm>
          <a:off x="972607" y="9291108"/>
          <a:ext cx="2942169" cy="533406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1087437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756137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0D00-0000A6784200}"/>
            </a:ext>
          </a:extLst>
        </xdr:cNvPr>
        <xdr:cNvGrpSpPr/>
      </xdr:nvGrpSpPr>
      <xdr:grpSpPr>
        <a:xfrm>
          <a:off x="4384920" y="12527677"/>
          <a:ext cx="5458902" cy="2087178"/>
          <a:chOff x="4845801" y="22760513"/>
          <a:chExt cx="6261000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0E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pSpPr/>
      </xdr:nvGrpSpPr>
      <xdr:grpSpPr>
        <a:xfrm>
          <a:off x="297657" y="95249"/>
          <a:ext cx="1381124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0E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37926AD-0618-4D57-02FF-72B755C9A091}"/>
            </a:ext>
          </a:extLst>
        </xdr:cNvPr>
        <xdr:cNvGrpSpPr/>
      </xdr:nvGrpSpPr>
      <xdr:grpSpPr>
        <a:xfrm>
          <a:off x="8012922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FE4A9DB8-D5D1-AB36-85C6-7EFF4E547D8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EDE4510F-0C34-7DB7-CCA2-7F5DF75FFAC6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2B96D7D-88F0-B822-FC92-D778A88F5478}"/>
            </a:ext>
          </a:extLst>
        </xdr:cNvPr>
        <xdr:cNvGrpSpPr/>
      </xdr:nvGrpSpPr>
      <xdr:grpSpPr>
        <a:xfrm>
          <a:off x="5655469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E1E5AD77-4D71-71B7-A688-7C71F37BA48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47AD386-296F-ADAA-B202-25AF046506E1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BILL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54013" y="9348708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0F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FEB0C8F-2688-40F2-A520-62F71D563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EC2B8A34-5275-4CB6-A683-F3D82B841E9A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334B423-ACE0-4D15-B10D-FD6690A16A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797E94CA-F3D8-AED7-1FCF-906077F684E4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A374B91-C2FC-6AF3-3D94-16CCF3161263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E7EC3CAB-0E05-E734-7EFC-89EC7D4C4FC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1BAC2D37-4540-B7FF-3859-159112F2D74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33408938" y="27515344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pSpPr/>
      </xdr:nvGrpSpPr>
      <xdr:grpSpPr>
        <a:xfrm>
          <a:off x="39167594" y="27515344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pSpPr/>
      </xdr:nvGrpSpPr>
      <xdr:grpSpPr>
        <a:xfrm>
          <a:off x="43612594" y="27515344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pSpPr/>
      </xdr:nvGrpSpPr>
      <xdr:grpSpPr>
        <a:xfrm>
          <a:off x="47906781" y="27515344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BILL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F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38851154" y="18531417"/>
          <a:ext cx="2347117" cy="1013353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GrpSpPr/>
      </xdr:nvGrpSpPr>
      <xdr:grpSpPr>
        <a:xfrm>
          <a:off x="47521817" y="18671649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56203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>
          <a:grpSpLocks noChangeAspect="1"/>
        </xdr:cNvGrpSpPr>
      </xdr:nvGrpSpPr>
      <xdr:grpSpPr>
        <a:xfrm>
          <a:off x="50276281" y="18798534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0F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0F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0F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F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0F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0F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0F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0F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0F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0F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0F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0F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0F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0F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0F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0F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0F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0F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0F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0F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0F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0F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0F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0F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0F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0F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0F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0F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0F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0F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0F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0F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0F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0F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0F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0F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0F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0F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0F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0F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0F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0F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0F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0F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0F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0F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0F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0F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0F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0F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0F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0F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0F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0F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0F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0F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0F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0F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0F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0F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0F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0F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0F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0F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0F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0F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0F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0F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0F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0F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0F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0F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0F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0F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0F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0F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0F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0F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0F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0F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0F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0F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0F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0F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0F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0F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0F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0F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0F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0F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0F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0F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0F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0F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0F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0F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0F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0F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0F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0F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0F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0F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0F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0F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0F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0F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0F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0F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0F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0F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0F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0F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0F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0F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0F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0F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0F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0F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0F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0F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0F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0F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0F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0F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0F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0F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0F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0F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0F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0F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0F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0F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0F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0F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0F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0F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0F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0F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0F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0F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0F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0F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0F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0F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0F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0F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0F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0F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0F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0F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0F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0F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0F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0F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0F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0F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0F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0F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0F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0F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0F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0F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0F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0F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0F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0F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0F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0F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0F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0F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0F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0F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0F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0F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0F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0F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0F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0F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0F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0F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0F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0F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0F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0F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0F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0F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0F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0F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0F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0F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0F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0F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0F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0F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0F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0F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0F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0F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0F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0F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0F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0F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0F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0F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0F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0F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0F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0F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0F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0F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0F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0F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0F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0F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0F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0F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0F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0F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0F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0F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0F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0F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0F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0F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0F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0F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0F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0F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0F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0F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0F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0F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0F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0F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0F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0F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0F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0F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0F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0F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0F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0F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0F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0F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0F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0F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0F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0F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0F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0F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0F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0F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0F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0F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0F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0F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0F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0F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0F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0F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0F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0F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0F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0F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0F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0F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0F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0F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0F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0F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0F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0F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0F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0F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0F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0F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0F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0F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0F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0F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0F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0F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0F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0F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0F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0F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0F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0F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0F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0F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0F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0F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0F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0F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0F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0F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0F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0F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0F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0F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0F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0F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0F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0F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0F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0F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0F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0F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0F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0F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0F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0F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0F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0F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0F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0F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0F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0F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0F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0F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0F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0F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0F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0F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0F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0F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0F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0F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0F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0F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0F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0F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0F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0F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0F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0F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0F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0F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0F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0F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0F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0F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0F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0F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0F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0F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0F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0F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0F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0F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0F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0F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0F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0F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0F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0F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0F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0F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0F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0F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0F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0F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0F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0F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0F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0F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0F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0F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0F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0F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0F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0F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0F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0F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0F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0F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0F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0F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0F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0F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0F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0F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0F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0F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0F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0F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218126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810D4300}"/>
            </a:ext>
          </a:extLst>
        </xdr:cNvPr>
        <xdr:cNvGrpSpPr>
          <a:grpSpLocks noChangeAspect="1"/>
        </xdr:cNvGrpSpPr>
      </xdr:nvGrpSpPr>
      <xdr:grpSpPr>
        <a:xfrm>
          <a:off x="41522806" y="18650896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0F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0F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0F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0F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0F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0F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0F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0F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0F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0F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0F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0F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0F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0F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0F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0F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0F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0F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0F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0F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0F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0F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0F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0F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0F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0F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0F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0F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0F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0F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0F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0F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0F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0F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0F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0F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0F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0F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0F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0F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0F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0F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0F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0F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0F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0F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0F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0F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0F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0F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0F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0F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0F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0F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0F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0F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0F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0F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0F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0F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0F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0F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0F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0F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0F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0F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0F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0F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0F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0F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0F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0F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0F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0F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0F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0F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0F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0F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0F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0F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0F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0F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0F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0F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0F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0F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0F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0F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0F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0F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0F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0F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0F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0F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0F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0F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0F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0F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0F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0F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0F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0F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0F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0F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0F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0F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0F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0F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0F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0F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0F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0F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0F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0F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0F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0F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0F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0F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0F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0F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0F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0F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0F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0F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0F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0F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0F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0F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0F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0F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0F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0F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0F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0F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0F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0F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0F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0F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0F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0F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0F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0F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0F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0F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0F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0F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0F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0F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0F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0F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0F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0F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0F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0F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0F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0F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0F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0F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0F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0F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0F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0F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0F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0F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0F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0F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0F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0F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0F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0F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0F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0F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0F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0F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0F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0F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0F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0F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0F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0F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0F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0F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0F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0F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0F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0F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0F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0F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0F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0F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0F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0F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0F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0F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0F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0F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0F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0F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0F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0F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0F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0F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0F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0F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0F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0F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0F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0F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0F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0F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0F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0F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0F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0F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0F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0F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0F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0F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0F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0F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0F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0F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0F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0F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0F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0F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0F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0F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0F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0F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0F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0F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0F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0F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0F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0F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0F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0F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0F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0F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0F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0F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0F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0F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0F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0F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0F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0F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0F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0F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0F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0F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0F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0F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0F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0F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0F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0F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0F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0F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0F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0F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0F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0F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0F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0F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0F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0F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0F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0F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0F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0F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0F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0F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0F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0F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0F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0F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0F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0F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0F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0F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0F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0F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0F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0F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0F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0F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0F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0F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0F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0F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0F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0F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0F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0F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0F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0F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0F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0F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0F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0F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0F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0F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0F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0F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0F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0F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0F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0F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0F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0F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0F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0F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0F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0F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0F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0F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0F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0F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0F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0F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0F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0F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0F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0F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0F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0F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0F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0F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0F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0F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0F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0F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0F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0F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0F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0F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0F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0F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0F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0F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0F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0F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0F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0F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0F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0F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0F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0F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0F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0F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0F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0F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0F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0F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0F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0F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0F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0F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0F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0F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0F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0F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0F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0F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0F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0F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0F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0F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0F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0F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0F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0F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0F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0F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0F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0F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0F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0F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0F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0F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0F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0F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0F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0F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0F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0F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0F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0F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0F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0F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0F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0F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0F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0F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0F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0F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0F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0F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0F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0F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0F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0F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0F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0F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0F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0F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0F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0F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0F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0F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0F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0F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0F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0F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0F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0F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0F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0F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0F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4277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000-0000027C4200}"/>
                  </a:ext>
                </a:extLst>
              </xdr:cNvPr>
              <xdr:cNvSpPr/>
            </xdr:nvSpPr>
            <xdr:spPr bwMode="auto">
              <a:xfrm>
                <a:off x="17914277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0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773906</xdr:colOff>
      <xdr:row>1</xdr:row>
      <xdr:rowOff>147637</xdr:rowOff>
    </xdr:from>
    <xdr:to>
      <xdr:col>4</xdr:col>
      <xdr:colOff>1273969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143000" y="254793"/>
          <a:ext cx="3214688" cy="871682"/>
          <a:chOff x="1549495" y="114243"/>
          <a:chExt cx="2836898" cy="84819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1549495" y="588334"/>
            <a:ext cx="2836898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682520" y="114243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ប័ណ្ណប៉ាន់ស្មានតម្លៃ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73694" y="2828925"/>
          <a:ext cx="1296000" cy="43576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4</xdr:col>
      <xdr:colOff>107154</xdr:colOff>
      <xdr:row>9</xdr:row>
      <xdr:rowOff>297658</xdr:rowOff>
    </xdr:from>
    <xdr:to>
      <xdr:col>4</xdr:col>
      <xdr:colOff>503154</xdr:colOff>
      <xdr:row>11</xdr:row>
      <xdr:rowOff>3096</xdr:rowOff>
    </xdr:to>
    <xdr:sp macro="[0]!btnAdd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3193254" y="2840833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83343</xdr:colOff>
      <xdr:row>13</xdr:row>
      <xdr:rowOff>309562</xdr:rowOff>
    </xdr:from>
    <xdr:to>
      <xdr:col>3</xdr:col>
      <xdr:colOff>479343</xdr:colOff>
      <xdr:row>15</xdr:row>
      <xdr:rowOff>15000</xdr:rowOff>
    </xdr:to>
    <xdr:sp macro="[0]!addSellerSa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2588418" y="4224337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/>
      </xdr:nvGrpSpPr>
      <xdr:grpSpPr>
        <a:xfrm>
          <a:off x="1652898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20</xdr:col>
      <xdr:colOff>853281</xdr:colOff>
      <xdr:row>2</xdr:row>
      <xdr:rowOff>50269</xdr:rowOff>
    </xdr:from>
    <xdr:to>
      <xdr:col>22</xdr:col>
      <xdr:colOff>608348</xdr:colOff>
      <xdr:row>4</xdr:row>
      <xdr:rowOff>3937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pSpPr/>
      </xdr:nvGrpSpPr>
      <xdr:grpSpPr>
        <a:xfrm>
          <a:off x="18700750" y="645582"/>
          <a:ext cx="1160004" cy="501355"/>
          <a:chOff x="19188906" y="645582"/>
          <a:chExt cx="1163973" cy="499371"/>
        </a:xfrm>
      </xdr:grpSpPr>
      <xdr:sp macro="[0]!goToHom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785813</xdr:colOff>
      <xdr:row>2</xdr:row>
      <xdr:rowOff>-1</xdr:rowOff>
    </xdr:from>
    <xdr:to>
      <xdr:col>24</xdr:col>
      <xdr:colOff>745858</xdr:colOff>
      <xdr:row>3</xdr:row>
      <xdr:rowOff>409310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20038219" y="595312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8146" name="Button 2" hidden="1">
                <a:extLst>
                  <a:ext uri="{63B3BB69-23CF-44E3-9099-C40C66FF867C}">
                    <a14:compatExt spid="_x0000_s4358146"/>
                  </a:ext>
                  <a:ext uri="{FF2B5EF4-FFF2-40B4-BE49-F238E27FC236}">
                    <a16:creationId xmlns:a16="http://schemas.microsoft.com/office/drawing/2014/main" id="{00000000-0008-0000-1100-00000280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1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12611825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4776980" y="637646"/>
          <a:ext cx="1387474" cy="477573"/>
          <a:chOff x="17913851" y="686324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200-000002844200}"/>
                  </a:ext>
                </a:extLst>
              </xdr:cNvPr>
              <xdr:cNvSpPr/>
            </xdr:nvSpPr>
            <xdr:spPr bwMode="auto">
              <a:xfrm>
                <a:off x="17913851" y="686324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2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GrpSpPr/>
          </xdr:nvGrpSpPr>
          <xdr:grpSpPr>
            <a:xfrm>
              <a:off x="5737491" y="3897510"/>
              <a:ext cx="247384" cy="972883"/>
              <a:chOff x="5365750" y="2134738"/>
              <a:chExt cx="275046" cy="731348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300-000001D40600}"/>
                  </a:ext>
                </a:extLst>
              </xdr:cNvPr>
              <xdr:cNvSpPr/>
            </xdr:nvSpPr>
            <xdr:spPr bwMode="auto">
              <a:xfrm>
                <a:off x="5368810" y="2134738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3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300-000005D40600}"/>
                  </a:ext>
                </a:extLst>
              </xdr:cNvPr>
              <xdr:cNvSpPr/>
            </xdr:nvSpPr>
            <xdr:spPr bwMode="auto">
              <a:xfrm>
                <a:off x="5365750" y="2665004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5</xdr:col>
      <xdr:colOff>642936</xdr:colOff>
      <xdr:row>3</xdr:row>
      <xdr:rowOff>221869</xdr:rowOff>
    </xdr:to>
    <xdr:sp macro="" textlink="$Y$3">
      <xdr:nvSpPr>
        <xdr:cNvPr id="6" name="Rectangl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42874" y="819150"/>
          <a:ext cx="3429000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3</xdr:row>
      <xdr:rowOff>234184</xdr:rowOff>
    </xdr:from>
    <xdr:to>
      <xdr:col>6</xdr:col>
      <xdr:colOff>154781</xdr:colOff>
      <xdr:row>4</xdr:row>
      <xdr:rowOff>278561</xdr:rowOff>
    </xdr:to>
    <xdr:sp macro="" textlink="$Y$4">
      <xdr:nvSpPr>
        <xdr:cNvPr id="7" name="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19062" y="1281934"/>
          <a:ext cx="3810000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4</xdr:row>
      <xdr:rowOff>293500</xdr:rowOff>
    </xdr:from>
    <xdr:to>
      <xdr:col>6</xdr:col>
      <xdr:colOff>247650</xdr:colOff>
      <xdr:row>5</xdr:row>
      <xdr:rowOff>206909</xdr:rowOff>
    </xdr:to>
    <xdr:sp macro="" textlink="$Y$5">
      <xdr:nvSpPr>
        <xdr:cNvPr id="8" name="Rectangl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119062" y="1650813"/>
          <a:ext cx="390286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5887289" y="190975"/>
          <a:ext cx="210034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447497" name="Button 9" hidden="1">
              <a:extLst>
                <a:ext uri="{63B3BB69-23CF-44E3-9099-C40C66FF867C}">
                  <a14:compatExt spid="_x0000_s447497"/>
                </a:ext>
                <a:ext uri="{FF2B5EF4-FFF2-40B4-BE49-F238E27FC236}">
                  <a16:creationId xmlns:a16="http://schemas.microsoft.com/office/drawing/2014/main" id="{00000000-0008-0000-1300-000009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447501" name="Button 13" hidden="1">
              <a:extLst>
                <a:ext uri="{63B3BB69-23CF-44E3-9099-C40C66FF867C}">
                  <a14:compatExt spid="_x0000_s447501"/>
                </a:ext>
                <a:ext uri="{FF2B5EF4-FFF2-40B4-BE49-F238E27FC236}">
                  <a16:creationId xmlns:a16="http://schemas.microsoft.com/office/drawing/2014/main" id="{00000000-0008-0000-1300-00000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6600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447509" name="Button 21" hidden="1">
              <a:extLst>
                <a:ext uri="{63B3BB69-23CF-44E3-9099-C40C66FF867C}">
                  <a14:compatExt spid="_x0000_s447509"/>
                </a:ext>
                <a:ext uri="{FF2B5EF4-FFF2-40B4-BE49-F238E27FC236}">
                  <a16:creationId xmlns:a16="http://schemas.microsoft.com/office/drawing/2014/main" id="{00000000-0008-0000-1300-000015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440532</xdr:colOff>
      <xdr:row>2</xdr:row>
      <xdr:rowOff>83345</xdr:rowOff>
    </xdr:from>
    <xdr:to>
      <xdr:col>13</xdr:col>
      <xdr:colOff>59533</xdr:colOff>
      <xdr:row>4</xdr:row>
      <xdr:rowOff>428626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4214813" y="821533"/>
          <a:ext cx="3857626" cy="964406"/>
          <a:chOff x="3786188" y="762000"/>
          <a:chExt cx="3869532" cy="96440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447516" name="Button 28" hidden="1">
              <a:extLst>
                <a:ext uri="{63B3BB69-23CF-44E3-9099-C40C66FF867C}">
                  <a14:compatExt spid="_x0000_s447516"/>
                </a:ext>
                <a:ext uri="{FF2B5EF4-FFF2-40B4-BE49-F238E27FC236}">
                  <a16:creationId xmlns:a16="http://schemas.microsoft.com/office/drawing/2014/main" id="{00000000-0008-0000-1300-00001C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119062</xdr:colOff>
      <xdr:row>0</xdr:row>
      <xdr:rowOff>71438</xdr:rowOff>
    </xdr:from>
    <xdr:to>
      <xdr:col>14</xdr:col>
      <xdr:colOff>105110</xdr:colOff>
      <xdr:row>0</xdr:row>
      <xdr:rowOff>572793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pSpPr/>
      </xdr:nvGrpSpPr>
      <xdr:grpSpPr>
        <a:xfrm>
          <a:off x="7965281" y="71438"/>
          <a:ext cx="1283829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2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</xdr:row>
          <xdr:rowOff>342900</xdr:rowOff>
        </xdr:from>
        <xdr:to>
          <xdr:col>23</xdr:col>
          <xdr:colOff>142875</xdr:colOff>
          <xdr:row>5</xdr:row>
          <xdr:rowOff>333375</xdr:rowOff>
        </xdr:to>
        <xdr:sp macro="" textlink="">
          <xdr:nvSpPr>
            <xdr:cNvPr id="1563652" name="Button 4" hidden="1">
              <a:extLst>
                <a:ext uri="{63B3BB69-23CF-44E3-9099-C40C66FF867C}">
                  <a14:compatExt spid="_x0000_s1563652"/>
                </a:ext>
                <a:ext uri="{FF2B5EF4-FFF2-40B4-BE49-F238E27FC236}">
                  <a16:creationId xmlns:a16="http://schemas.microsoft.com/office/drawing/2014/main" id="{00000000-0008-0000-1400-000004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11</xdr:row>
          <xdr:rowOff>333375</xdr:rowOff>
        </xdr:from>
        <xdr:to>
          <xdr:col>22</xdr:col>
          <xdr:colOff>657225</xdr:colOff>
          <xdr:row>13</xdr:row>
          <xdr:rowOff>0</xdr:rowOff>
        </xdr:to>
        <xdr:sp macro="" textlink="">
          <xdr:nvSpPr>
            <xdr:cNvPr id="1563653" name="Button 5" hidden="1">
              <a:extLst>
                <a:ext uri="{63B3BB69-23CF-44E3-9099-C40C66FF867C}">
                  <a14:compatExt spid="_x0000_s1563653"/>
                </a:ext>
                <a:ext uri="{FF2B5EF4-FFF2-40B4-BE49-F238E27FC236}">
                  <a16:creationId xmlns:a16="http://schemas.microsoft.com/office/drawing/2014/main" id="{00000000-0008-0000-1400-000005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1276350</xdr:colOff>
          <xdr:row>0</xdr:row>
          <xdr:rowOff>114300</xdr:rowOff>
        </xdr:from>
        <xdr:to>
          <xdr:col>22</xdr:col>
          <xdr:colOff>476250</xdr:colOff>
          <xdr:row>1</xdr:row>
          <xdr:rowOff>57150</xdr:rowOff>
        </xdr:to>
        <xdr:sp macro="" textlink="">
          <xdr:nvSpPr>
            <xdr:cNvPr id="1563654" name="Button 6" hidden="1">
              <a:extLst>
                <a:ext uri="{63B3BB69-23CF-44E3-9099-C40C66FF867C}">
                  <a14:compatExt spid="_x0000_s1563654"/>
                </a:ext>
                <a:ext uri="{FF2B5EF4-FFF2-40B4-BE49-F238E27FC236}">
                  <a16:creationId xmlns:a16="http://schemas.microsoft.com/office/drawing/2014/main" id="{00000000-0008-0000-1400-000006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104772</xdr:colOff>
      <xdr:row>1</xdr:row>
      <xdr:rowOff>107156</xdr:rowOff>
    </xdr:from>
    <xdr:to>
      <xdr:col>4</xdr:col>
      <xdr:colOff>190499</xdr:colOff>
      <xdr:row>3</xdr:row>
      <xdr:rowOff>311200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5" y="535781"/>
          <a:ext cx="990602" cy="8231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641616</xdr:colOff>
      <xdr:row>1</xdr:row>
      <xdr:rowOff>60677</xdr:rowOff>
    </xdr:from>
    <xdr:to>
      <xdr:col>7</xdr:col>
      <xdr:colOff>300567</xdr:colOff>
      <xdr:row>3</xdr:row>
      <xdr:rowOff>219863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010835" y="489302"/>
          <a:ext cx="2468826" cy="778311"/>
          <a:chOff x="6414749" y="300978"/>
          <a:chExt cx="1487934" cy="510843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 txBox="1"/>
        </xdr:nvSpPr>
        <xdr:spPr>
          <a:xfrm>
            <a:off x="6414749" y="300978"/>
            <a:ext cx="1484035" cy="33629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វិក្កយបត្រចំណាយ</a:t>
            </a:r>
            <a:endParaRPr lang="ca-ES" sz="1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 txBox="1"/>
        </xdr:nvSpPr>
        <xdr:spPr>
          <a:xfrm>
            <a:off x="6415553" y="623917"/>
            <a:ext cx="1487130" cy="1879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OTHER EXPENSE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95249</xdr:colOff>
      <xdr:row>27</xdr:row>
      <xdr:rowOff>47621</xdr:rowOff>
    </xdr:from>
    <xdr:to>
      <xdr:col>5</xdr:col>
      <xdr:colOff>1428748</xdr:colOff>
      <xdr:row>31</xdr:row>
      <xdr:rowOff>54762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GrpSpPr/>
      </xdr:nvGrpSpPr>
      <xdr:grpSpPr>
        <a:xfrm>
          <a:off x="309562" y="8512965"/>
          <a:ext cx="2488405" cy="1245391"/>
          <a:chOff x="187262" y="8386956"/>
          <a:chExt cx="2596062" cy="709472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ហត្ថលេខាអ្នកទទួលទំនិញ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1300-00001B000000}"/>
              </a:ext>
            </a:extLst>
          </xdr:cNvPr>
          <xdr:cNvSpPr txBox="1"/>
        </xdr:nvSpPr>
        <xdr:spPr>
          <a:xfrm>
            <a:off x="187262" y="8957137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615813</xdr:colOff>
      <xdr:row>27</xdr:row>
      <xdr:rowOff>47601</xdr:rowOff>
    </xdr:from>
    <xdr:to>
      <xdr:col>9</xdr:col>
      <xdr:colOff>914400</xdr:colOff>
      <xdr:row>31</xdr:row>
      <xdr:rowOff>140466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GrpSpPr/>
      </xdr:nvGrpSpPr>
      <xdr:grpSpPr>
        <a:xfrm>
          <a:off x="3437594" y="8512945"/>
          <a:ext cx="2679837" cy="1331115"/>
          <a:chOff x="168084" y="8513249"/>
          <a:chExt cx="2596062" cy="70583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 txBox="1"/>
        </xdr:nvSpPr>
        <xdr:spPr>
          <a:xfrm>
            <a:off x="265315" y="8513249"/>
            <a:ext cx="2411324" cy="371942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ហត្ថលេខាពិនិត្យទំនិញ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1300-00001E000000}"/>
              </a:ext>
            </a:extLst>
          </xdr:cNvPr>
          <xdr:cNvSpPr txBox="1"/>
        </xdr:nvSpPr>
        <xdr:spPr>
          <a:xfrm>
            <a:off x="168084" y="9000590"/>
            <a:ext cx="2596062" cy="2184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6945" y="1318121"/>
          <a:ext cx="4574117" cy="778471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3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</xdr:col>
      <xdr:colOff>19050</xdr:colOff>
      <xdr:row>7</xdr:row>
      <xdr:rowOff>9525</xdr:rowOff>
    </xdr:from>
    <xdr:to>
      <xdr:col>9</xdr:col>
      <xdr:colOff>981075</xdr:colOff>
      <xdr:row>10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8600" y="2057400"/>
          <a:ext cx="5886450" cy="1028700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49419</xdr:colOff>
      <xdr:row>3</xdr:row>
      <xdr:rowOff>57357</xdr:rowOff>
    </xdr:from>
    <xdr:to>
      <xdr:col>9</xdr:col>
      <xdr:colOff>953880</xdr:colOff>
      <xdr:row>5</xdr:row>
      <xdr:rowOff>273901</xdr:rowOff>
    </xdr:to>
    <xdr:grpSp>
      <xdr:nvGrpSpPr>
        <xdr:cNvPr id="1566840" name="$J$4" descr="QuickResponse barcode, level H, version 1, mode alpha, 21x21 cells" title="EXP000002">
          <a:extLst>
            <a:ext uri="{FF2B5EF4-FFF2-40B4-BE49-F238E27FC236}">
              <a16:creationId xmlns:a16="http://schemas.microsoft.com/office/drawing/2014/main" id="{00000000-0008-0000-1300-000078E81700}"/>
            </a:ext>
          </a:extLst>
        </xdr:cNvPr>
        <xdr:cNvGrpSpPr>
          <a:grpSpLocks noChangeAspect="1"/>
        </xdr:cNvGrpSpPr>
      </xdr:nvGrpSpPr>
      <xdr:grpSpPr>
        <a:xfrm>
          <a:off x="5252450" y="1105107"/>
          <a:ext cx="904461" cy="919013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1566616" name="$J$4">
            <a:extLst>
              <a:ext uri="{FF2B5EF4-FFF2-40B4-BE49-F238E27FC236}">
                <a16:creationId xmlns:a16="http://schemas.microsoft.com/office/drawing/2014/main" id="{00000000-0008-0000-1300-000098E71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7" name="$J$4">
            <a:extLst>
              <a:ext uri="{FF2B5EF4-FFF2-40B4-BE49-F238E27FC236}">
                <a16:creationId xmlns:a16="http://schemas.microsoft.com/office/drawing/2014/main" id="{00000000-0008-0000-1300-000099E71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8" name="$J$4">
            <a:extLst>
              <a:ext uri="{FF2B5EF4-FFF2-40B4-BE49-F238E27FC236}">
                <a16:creationId xmlns:a16="http://schemas.microsoft.com/office/drawing/2014/main" id="{00000000-0008-0000-1300-00009AE71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9" name="$J$4">
            <a:extLst>
              <a:ext uri="{FF2B5EF4-FFF2-40B4-BE49-F238E27FC236}">
                <a16:creationId xmlns:a16="http://schemas.microsoft.com/office/drawing/2014/main" id="{00000000-0008-0000-1300-00009BE71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0" name="$J$4">
            <a:extLst>
              <a:ext uri="{FF2B5EF4-FFF2-40B4-BE49-F238E27FC236}">
                <a16:creationId xmlns:a16="http://schemas.microsoft.com/office/drawing/2014/main" id="{00000000-0008-0000-1300-00009CE71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1" name="$J$4">
            <a:extLst>
              <a:ext uri="{FF2B5EF4-FFF2-40B4-BE49-F238E27FC236}">
                <a16:creationId xmlns:a16="http://schemas.microsoft.com/office/drawing/2014/main" id="{00000000-0008-0000-1300-00009DE71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2" name="$J$4">
            <a:extLst>
              <a:ext uri="{FF2B5EF4-FFF2-40B4-BE49-F238E27FC236}">
                <a16:creationId xmlns:a16="http://schemas.microsoft.com/office/drawing/2014/main" id="{00000000-0008-0000-1300-00009EE71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3" name="$J$4">
            <a:extLst>
              <a:ext uri="{FF2B5EF4-FFF2-40B4-BE49-F238E27FC236}">
                <a16:creationId xmlns:a16="http://schemas.microsoft.com/office/drawing/2014/main" id="{00000000-0008-0000-1300-00009FE717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4" name="$J$4">
            <a:extLst>
              <a:ext uri="{FF2B5EF4-FFF2-40B4-BE49-F238E27FC236}">
                <a16:creationId xmlns:a16="http://schemas.microsoft.com/office/drawing/2014/main" id="{00000000-0008-0000-1300-0000A0E71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5" name="$J$4">
            <a:extLst>
              <a:ext uri="{FF2B5EF4-FFF2-40B4-BE49-F238E27FC236}">
                <a16:creationId xmlns:a16="http://schemas.microsoft.com/office/drawing/2014/main" id="{00000000-0008-0000-1300-0000A1E71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6" name="$J$4">
            <a:extLst>
              <a:ext uri="{FF2B5EF4-FFF2-40B4-BE49-F238E27FC236}">
                <a16:creationId xmlns:a16="http://schemas.microsoft.com/office/drawing/2014/main" id="{00000000-0008-0000-1300-0000A2E71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7" name="$J$4">
            <a:extLst>
              <a:ext uri="{FF2B5EF4-FFF2-40B4-BE49-F238E27FC236}">
                <a16:creationId xmlns:a16="http://schemas.microsoft.com/office/drawing/2014/main" id="{00000000-0008-0000-1300-0000A3E71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8" name="$J$4">
            <a:extLst>
              <a:ext uri="{FF2B5EF4-FFF2-40B4-BE49-F238E27FC236}">
                <a16:creationId xmlns:a16="http://schemas.microsoft.com/office/drawing/2014/main" id="{00000000-0008-0000-1300-0000A4E717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9" name="$J$4">
            <a:extLst>
              <a:ext uri="{FF2B5EF4-FFF2-40B4-BE49-F238E27FC236}">
                <a16:creationId xmlns:a16="http://schemas.microsoft.com/office/drawing/2014/main" id="{00000000-0008-0000-1300-0000A5E71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0" name="$J$4">
            <a:extLst>
              <a:ext uri="{FF2B5EF4-FFF2-40B4-BE49-F238E27FC236}">
                <a16:creationId xmlns:a16="http://schemas.microsoft.com/office/drawing/2014/main" id="{00000000-0008-0000-1300-0000A6E71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1" name="$J$4">
            <a:extLst>
              <a:ext uri="{FF2B5EF4-FFF2-40B4-BE49-F238E27FC236}">
                <a16:creationId xmlns:a16="http://schemas.microsoft.com/office/drawing/2014/main" id="{00000000-0008-0000-1300-0000A7E717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2" name="$J$4">
            <a:extLst>
              <a:ext uri="{FF2B5EF4-FFF2-40B4-BE49-F238E27FC236}">
                <a16:creationId xmlns:a16="http://schemas.microsoft.com/office/drawing/2014/main" id="{00000000-0008-0000-1300-0000A8E717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3" name="$J$4">
            <a:extLst>
              <a:ext uri="{FF2B5EF4-FFF2-40B4-BE49-F238E27FC236}">
                <a16:creationId xmlns:a16="http://schemas.microsoft.com/office/drawing/2014/main" id="{00000000-0008-0000-1300-0000A9E717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4" name="$J$4">
            <a:extLst>
              <a:ext uri="{FF2B5EF4-FFF2-40B4-BE49-F238E27FC236}">
                <a16:creationId xmlns:a16="http://schemas.microsoft.com/office/drawing/2014/main" id="{00000000-0008-0000-1300-0000AAE71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5" name="$J$4">
            <a:extLst>
              <a:ext uri="{FF2B5EF4-FFF2-40B4-BE49-F238E27FC236}">
                <a16:creationId xmlns:a16="http://schemas.microsoft.com/office/drawing/2014/main" id="{00000000-0008-0000-1300-0000ABE71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6" name="$J$4">
            <a:extLst>
              <a:ext uri="{FF2B5EF4-FFF2-40B4-BE49-F238E27FC236}">
                <a16:creationId xmlns:a16="http://schemas.microsoft.com/office/drawing/2014/main" id="{00000000-0008-0000-1300-0000ACE71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7" name="$J$4">
            <a:extLst>
              <a:ext uri="{FF2B5EF4-FFF2-40B4-BE49-F238E27FC236}">
                <a16:creationId xmlns:a16="http://schemas.microsoft.com/office/drawing/2014/main" id="{00000000-0008-0000-1300-0000ADE717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8" name="$J$4">
            <a:extLst>
              <a:ext uri="{FF2B5EF4-FFF2-40B4-BE49-F238E27FC236}">
                <a16:creationId xmlns:a16="http://schemas.microsoft.com/office/drawing/2014/main" id="{00000000-0008-0000-1300-0000AEE71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9" name="$J$4">
            <a:extLst>
              <a:ext uri="{FF2B5EF4-FFF2-40B4-BE49-F238E27FC236}">
                <a16:creationId xmlns:a16="http://schemas.microsoft.com/office/drawing/2014/main" id="{00000000-0008-0000-1300-0000AFE717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0" name="$J$4">
            <a:extLst>
              <a:ext uri="{FF2B5EF4-FFF2-40B4-BE49-F238E27FC236}">
                <a16:creationId xmlns:a16="http://schemas.microsoft.com/office/drawing/2014/main" id="{00000000-0008-0000-1300-0000B0E71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1" name="$J$4">
            <a:extLst>
              <a:ext uri="{FF2B5EF4-FFF2-40B4-BE49-F238E27FC236}">
                <a16:creationId xmlns:a16="http://schemas.microsoft.com/office/drawing/2014/main" id="{00000000-0008-0000-1300-0000B1E717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2" name="$J$4">
            <a:extLst>
              <a:ext uri="{FF2B5EF4-FFF2-40B4-BE49-F238E27FC236}">
                <a16:creationId xmlns:a16="http://schemas.microsoft.com/office/drawing/2014/main" id="{00000000-0008-0000-1300-0000B2E717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3" name="$J$4">
            <a:extLst>
              <a:ext uri="{FF2B5EF4-FFF2-40B4-BE49-F238E27FC236}">
                <a16:creationId xmlns:a16="http://schemas.microsoft.com/office/drawing/2014/main" id="{00000000-0008-0000-1300-0000B3E71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4" name="$J$4">
            <a:extLst>
              <a:ext uri="{FF2B5EF4-FFF2-40B4-BE49-F238E27FC236}">
                <a16:creationId xmlns:a16="http://schemas.microsoft.com/office/drawing/2014/main" id="{00000000-0008-0000-1300-0000B4E71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5" name="$J$4">
            <a:extLst>
              <a:ext uri="{FF2B5EF4-FFF2-40B4-BE49-F238E27FC236}">
                <a16:creationId xmlns:a16="http://schemas.microsoft.com/office/drawing/2014/main" id="{00000000-0008-0000-1300-0000B5E71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6" name="$J$4">
            <a:extLst>
              <a:ext uri="{FF2B5EF4-FFF2-40B4-BE49-F238E27FC236}">
                <a16:creationId xmlns:a16="http://schemas.microsoft.com/office/drawing/2014/main" id="{00000000-0008-0000-1300-0000B6E71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7" name="$J$4">
            <a:extLst>
              <a:ext uri="{FF2B5EF4-FFF2-40B4-BE49-F238E27FC236}">
                <a16:creationId xmlns:a16="http://schemas.microsoft.com/office/drawing/2014/main" id="{00000000-0008-0000-1300-0000B7E71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8" name="$J$4">
            <a:extLst>
              <a:ext uri="{FF2B5EF4-FFF2-40B4-BE49-F238E27FC236}">
                <a16:creationId xmlns:a16="http://schemas.microsoft.com/office/drawing/2014/main" id="{00000000-0008-0000-1300-0000B8E717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9" name="$J$4">
            <a:extLst>
              <a:ext uri="{FF2B5EF4-FFF2-40B4-BE49-F238E27FC236}">
                <a16:creationId xmlns:a16="http://schemas.microsoft.com/office/drawing/2014/main" id="{00000000-0008-0000-1300-0000B9E717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0" name="$J$4">
            <a:extLst>
              <a:ext uri="{FF2B5EF4-FFF2-40B4-BE49-F238E27FC236}">
                <a16:creationId xmlns:a16="http://schemas.microsoft.com/office/drawing/2014/main" id="{00000000-0008-0000-1300-0000BAE717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1" name="$J$4">
            <a:extLst>
              <a:ext uri="{FF2B5EF4-FFF2-40B4-BE49-F238E27FC236}">
                <a16:creationId xmlns:a16="http://schemas.microsoft.com/office/drawing/2014/main" id="{00000000-0008-0000-1300-0000BBE717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2" name="$J$4">
            <a:extLst>
              <a:ext uri="{FF2B5EF4-FFF2-40B4-BE49-F238E27FC236}">
                <a16:creationId xmlns:a16="http://schemas.microsoft.com/office/drawing/2014/main" id="{00000000-0008-0000-1300-0000BCE717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3" name="$J$4">
            <a:extLst>
              <a:ext uri="{FF2B5EF4-FFF2-40B4-BE49-F238E27FC236}">
                <a16:creationId xmlns:a16="http://schemas.microsoft.com/office/drawing/2014/main" id="{00000000-0008-0000-1300-0000BDE717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4" name="$J$4">
            <a:extLst>
              <a:ext uri="{FF2B5EF4-FFF2-40B4-BE49-F238E27FC236}">
                <a16:creationId xmlns:a16="http://schemas.microsoft.com/office/drawing/2014/main" id="{00000000-0008-0000-1300-0000BEE71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5" name="$J$4">
            <a:extLst>
              <a:ext uri="{FF2B5EF4-FFF2-40B4-BE49-F238E27FC236}">
                <a16:creationId xmlns:a16="http://schemas.microsoft.com/office/drawing/2014/main" id="{00000000-0008-0000-1300-0000BFE71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6" name="$J$4">
            <a:extLst>
              <a:ext uri="{FF2B5EF4-FFF2-40B4-BE49-F238E27FC236}">
                <a16:creationId xmlns:a16="http://schemas.microsoft.com/office/drawing/2014/main" id="{00000000-0008-0000-1300-0000C0E71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7" name="$J$4">
            <a:extLst>
              <a:ext uri="{FF2B5EF4-FFF2-40B4-BE49-F238E27FC236}">
                <a16:creationId xmlns:a16="http://schemas.microsoft.com/office/drawing/2014/main" id="{00000000-0008-0000-1300-0000C1E71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8" name="$J$4">
            <a:extLst>
              <a:ext uri="{FF2B5EF4-FFF2-40B4-BE49-F238E27FC236}">
                <a16:creationId xmlns:a16="http://schemas.microsoft.com/office/drawing/2014/main" id="{00000000-0008-0000-1300-0000C2E71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9" name="$J$4">
            <a:extLst>
              <a:ext uri="{FF2B5EF4-FFF2-40B4-BE49-F238E27FC236}">
                <a16:creationId xmlns:a16="http://schemas.microsoft.com/office/drawing/2014/main" id="{00000000-0008-0000-1300-0000C3E71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0" name="$J$4">
            <a:extLst>
              <a:ext uri="{FF2B5EF4-FFF2-40B4-BE49-F238E27FC236}">
                <a16:creationId xmlns:a16="http://schemas.microsoft.com/office/drawing/2014/main" id="{00000000-0008-0000-1300-0000C4E717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1" name="$J$4">
            <a:extLst>
              <a:ext uri="{FF2B5EF4-FFF2-40B4-BE49-F238E27FC236}">
                <a16:creationId xmlns:a16="http://schemas.microsoft.com/office/drawing/2014/main" id="{00000000-0008-0000-1300-0000C5E717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2" name="$J$4">
            <a:extLst>
              <a:ext uri="{FF2B5EF4-FFF2-40B4-BE49-F238E27FC236}">
                <a16:creationId xmlns:a16="http://schemas.microsoft.com/office/drawing/2014/main" id="{00000000-0008-0000-1300-0000C6E717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3" name="$J$4">
            <a:extLst>
              <a:ext uri="{FF2B5EF4-FFF2-40B4-BE49-F238E27FC236}">
                <a16:creationId xmlns:a16="http://schemas.microsoft.com/office/drawing/2014/main" id="{00000000-0008-0000-1300-0000C7E71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4" name="$J$4">
            <a:extLst>
              <a:ext uri="{FF2B5EF4-FFF2-40B4-BE49-F238E27FC236}">
                <a16:creationId xmlns:a16="http://schemas.microsoft.com/office/drawing/2014/main" id="{00000000-0008-0000-1300-0000C8E717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5" name="$J$4">
            <a:extLst>
              <a:ext uri="{FF2B5EF4-FFF2-40B4-BE49-F238E27FC236}">
                <a16:creationId xmlns:a16="http://schemas.microsoft.com/office/drawing/2014/main" id="{00000000-0008-0000-1300-0000C9E717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6" name="$J$4">
            <a:extLst>
              <a:ext uri="{FF2B5EF4-FFF2-40B4-BE49-F238E27FC236}">
                <a16:creationId xmlns:a16="http://schemas.microsoft.com/office/drawing/2014/main" id="{00000000-0008-0000-1300-0000CAE717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7" name="$J$4">
            <a:extLst>
              <a:ext uri="{FF2B5EF4-FFF2-40B4-BE49-F238E27FC236}">
                <a16:creationId xmlns:a16="http://schemas.microsoft.com/office/drawing/2014/main" id="{00000000-0008-0000-1300-0000CBE71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8" name="$J$4">
            <a:extLst>
              <a:ext uri="{FF2B5EF4-FFF2-40B4-BE49-F238E27FC236}">
                <a16:creationId xmlns:a16="http://schemas.microsoft.com/office/drawing/2014/main" id="{00000000-0008-0000-1300-0000CCE71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9" name="$J$4">
            <a:extLst>
              <a:ext uri="{FF2B5EF4-FFF2-40B4-BE49-F238E27FC236}">
                <a16:creationId xmlns:a16="http://schemas.microsoft.com/office/drawing/2014/main" id="{00000000-0008-0000-1300-0000CDE71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0" name="$J$4">
            <a:extLst>
              <a:ext uri="{FF2B5EF4-FFF2-40B4-BE49-F238E27FC236}">
                <a16:creationId xmlns:a16="http://schemas.microsoft.com/office/drawing/2014/main" id="{00000000-0008-0000-1300-0000CEE71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1" name="$J$4">
            <a:extLst>
              <a:ext uri="{FF2B5EF4-FFF2-40B4-BE49-F238E27FC236}">
                <a16:creationId xmlns:a16="http://schemas.microsoft.com/office/drawing/2014/main" id="{00000000-0008-0000-1300-0000CFE71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2" name="$J$4">
            <a:extLst>
              <a:ext uri="{FF2B5EF4-FFF2-40B4-BE49-F238E27FC236}">
                <a16:creationId xmlns:a16="http://schemas.microsoft.com/office/drawing/2014/main" id="{00000000-0008-0000-1300-0000D0E71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3" name="$J$4">
            <a:extLst>
              <a:ext uri="{FF2B5EF4-FFF2-40B4-BE49-F238E27FC236}">
                <a16:creationId xmlns:a16="http://schemas.microsoft.com/office/drawing/2014/main" id="{00000000-0008-0000-1300-0000D1E71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4" name="$J$4">
            <a:extLst>
              <a:ext uri="{FF2B5EF4-FFF2-40B4-BE49-F238E27FC236}">
                <a16:creationId xmlns:a16="http://schemas.microsoft.com/office/drawing/2014/main" id="{00000000-0008-0000-1300-0000D2E717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5" name="$J$4">
            <a:extLst>
              <a:ext uri="{FF2B5EF4-FFF2-40B4-BE49-F238E27FC236}">
                <a16:creationId xmlns:a16="http://schemas.microsoft.com/office/drawing/2014/main" id="{00000000-0008-0000-1300-0000D3E717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6" name="$J$4">
            <a:extLst>
              <a:ext uri="{FF2B5EF4-FFF2-40B4-BE49-F238E27FC236}">
                <a16:creationId xmlns:a16="http://schemas.microsoft.com/office/drawing/2014/main" id="{00000000-0008-0000-1300-0000D4E717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7" name="$J$4">
            <a:extLst>
              <a:ext uri="{FF2B5EF4-FFF2-40B4-BE49-F238E27FC236}">
                <a16:creationId xmlns:a16="http://schemas.microsoft.com/office/drawing/2014/main" id="{00000000-0008-0000-1300-0000D5E71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8" name="$J$4">
            <a:extLst>
              <a:ext uri="{FF2B5EF4-FFF2-40B4-BE49-F238E27FC236}">
                <a16:creationId xmlns:a16="http://schemas.microsoft.com/office/drawing/2014/main" id="{00000000-0008-0000-1300-0000D6E71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9" name="$J$4">
            <a:extLst>
              <a:ext uri="{FF2B5EF4-FFF2-40B4-BE49-F238E27FC236}">
                <a16:creationId xmlns:a16="http://schemas.microsoft.com/office/drawing/2014/main" id="{00000000-0008-0000-1300-0000D7E717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0" name="$J$4">
            <a:extLst>
              <a:ext uri="{FF2B5EF4-FFF2-40B4-BE49-F238E27FC236}">
                <a16:creationId xmlns:a16="http://schemas.microsoft.com/office/drawing/2014/main" id="{00000000-0008-0000-1300-0000D8E717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1" name="$J$4">
            <a:extLst>
              <a:ext uri="{FF2B5EF4-FFF2-40B4-BE49-F238E27FC236}">
                <a16:creationId xmlns:a16="http://schemas.microsoft.com/office/drawing/2014/main" id="{00000000-0008-0000-1300-0000D9E71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2" name="$J$4">
            <a:extLst>
              <a:ext uri="{FF2B5EF4-FFF2-40B4-BE49-F238E27FC236}">
                <a16:creationId xmlns:a16="http://schemas.microsoft.com/office/drawing/2014/main" id="{00000000-0008-0000-1300-0000DAE71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3" name="$J$4">
            <a:extLst>
              <a:ext uri="{FF2B5EF4-FFF2-40B4-BE49-F238E27FC236}">
                <a16:creationId xmlns:a16="http://schemas.microsoft.com/office/drawing/2014/main" id="{00000000-0008-0000-1300-0000DBE71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4" name="$J$4">
            <a:extLst>
              <a:ext uri="{FF2B5EF4-FFF2-40B4-BE49-F238E27FC236}">
                <a16:creationId xmlns:a16="http://schemas.microsoft.com/office/drawing/2014/main" id="{00000000-0008-0000-1300-0000DCE71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5" name="$J$4">
            <a:extLst>
              <a:ext uri="{FF2B5EF4-FFF2-40B4-BE49-F238E27FC236}">
                <a16:creationId xmlns:a16="http://schemas.microsoft.com/office/drawing/2014/main" id="{00000000-0008-0000-1300-0000DDE71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6" name="$J$4">
            <a:extLst>
              <a:ext uri="{FF2B5EF4-FFF2-40B4-BE49-F238E27FC236}">
                <a16:creationId xmlns:a16="http://schemas.microsoft.com/office/drawing/2014/main" id="{00000000-0008-0000-1300-0000DEE717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7" name="$J$4">
            <a:extLst>
              <a:ext uri="{FF2B5EF4-FFF2-40B4-BE49-F238E27FC236}">
                <a16:creationId xmlns:a16="http://schemas.microsoft.com/office/drawing/2014/main" id="{00000000-0008-0000-1300-0000DFE717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8" name="$J$4">
            <a:extLst>
              <a:ext uri="{FF2B5EF4-FFF2-40B4-BE49-F238E27FC236}">
                <a16:creationId xmlns:a16="http://schemas.microsoft.com/office/drawing/2014/main" id="{00000000-0008-0000-1300-0000E0E717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9" name="$J$4">
            <a:extLst>
              <a:ext uri="{FF2B5EF4-FFF2-40B4-BE49-F238E27FC236}">
                <a16:creationId xmlns:a16="http://schemas.microsoft.com/office/drawing/2014/main" id="{00000000-0008-0000-1300-0000E1E71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0" name="$J$4">
            <a:extLst>
              <a:ext uri="{FF2B5EF4-FFF2-40B4-BE49-F238E27FC236}">
                <a16:creationId xmlns:a16="http://schemas.microsoft.com/office/drawing/2014/main" id="{00000000-0008-0000-1300-0000E2E71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1" name="$J$4">
            <a:extLst>
              <a:ext uri="{FF2B5EF4-FFF2-40B4-BE49-F238E27FC236}">
                <a16:creationId xmlns:a16="http://schemas.microsoft.com/office/drawing/2014/main" id="{00000000-0008-0000-1300-0000E3E71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2" name="$J$4">
            <a:extLst>
              <a:ext uri="{FF2B5EF4-FFF2-40B4-BE49-F238E27FC236}">
                <a16:creationId xmlns:a16="http://schemas.microsoft.com/office/drawing/2014/main" id="{00000000-0008-0000-1300-0000E4E71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3" name="$J$4">
            <a:extLst>
              <a:ext uri="{FF2B5EF4-FFF2-40B4-BE49-F238E27FC236}">
                <a16:creationId xmlns:a16="http://schemas.microsoft.com/office/drawing/2014/main" id="{00000000-0008-0000-1300-0000E5E71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4" name="$J$4">
            <a:extLst>
              <a:ext uri="{FF2B5EF4-FFF2-40B4-BE49-F238E27FC236}">
                <a16:creationId xmlns:a16="http://schemas.microsoft.com/office/drawing/2014/main" id="{00000000-0008-0000-1300-0000E6E71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5" name="$J$4">
            <a:extLst>
              <a:ext uri="{FF2B5EF4-FFF2-40B4-BE49-F238E27FC236}">
                <a16:creationId xmlns:a16="http://schemas.microsoft.com/office/drawing/2014/main" id="{00000000-0008-0000-1300-0000E7E71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6" name="$J$4">
            <a:extLst>
              <a:ext uri="{FF2B5EF4-FFF2-40B4-BE49-F238E27FC236}">
                <a16:creationId xmlns:a16="http://schemas.microsoft.com/office/drawing/2014/main" id="{00000000-0008-0000-1300-0000E8E71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7" name="$J$4">
            <a:extLst>
              <a:ext uri="{FF2B5EF4-FFF2-40B4-BE49-F238E27FC236}">
                <a16:creationId xmlns:a16="http://schemas.microsoft.com/office/drawing/2014/main" id="{00000000-0008-0000-1300-0000E9E71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8" name="$J$4">
            <a:extLst>
              <a:ext uri="{FF2B5EF4-FFF2-40B4-BE49-F238E27FC236}">
                <a16:creationId xmlns:a16="http://schemas.microsoft.com/office/drawing/2014/main" id="{00000000-0008-0000-1300-0000EAE71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9" name="$J$4">
            <a:extLst>
              <a:ext uri="{FF2B5EF4-FFF2-40B4-BE49-F238E27FC236}">
                <a16:creationId xmlns:a16="http://schemas.microsoft.com/office/drawing/2014/main" id="{00000000-0008-0000-1300-0000EBE71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0" name="$J$4">
            <a:extLst>
              <a:ext uri="{FF2B5EF4-FFF2-40B4-BE49-F238E27FC236}">
                <a16:creationId xmlns:a16="http://schemas.microsoft.com/office/drawing/2014/main" id="{00000000-0008-0000-1300-0000ECE71700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1" name="$J$4">
            <a:extLst>
              <a:ext uri="{FF2B5EF4-FFF2-40B4-BE49-F238E27FC236}">
                <a16:creationId xmlns:a16="http://schemas.microsoft.com/office/drawing/2014/main" id="{00000000-0008-0000-1300-0000EDE71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2" name="$J$4">
            <a:extLst>
              <a:ext uri="{FF2B5EF4-FFF2-40B4-BE49-F238E27FC236}">
                <a16:creationId xmlns:a16="http://schemas.microsoft.com/office/drawing/2014/main" id="{00000000-0008-0000-1300-0000EEE7170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3" name="$J$4">
            <a:extLst>
              <a:ext uri="{FF2B5EF4-FFF2-40B4-BE49-F238E27FC236}">
                <a16:creationId xmlns:a16="http://schemas.microsoft.com/office/drawing/2014/main" id="{00000000-0008-0000-1300-0000EFE71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4" name="$J$4">
            <a:extLst>
              <a:ext uri="{FF2B5EF4-FFF2-40B4-BE49-F238E27FC236}">
                <a16:creationId xmlns:a16="http://schemas.microsoft.com/office/drawing/2014/main" id="{00000000-0008-0000-1300-0000F0E7170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5" name="$J$4">
            <a:extLst>
              <a:ext uri="{FF2B5EF4-FFF2-40B4-BE49-F238E27FC236}">
                <a16:creationId xmlns:a16="http://schemas.microsoft.com/office/drawing/2014/main" id="{00000000-0008-0000-1300-0000F1E71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6" name="$J$4">
            <a:extLst>
              <a:ext uri="{FF2B5EF4-FFF2-40B4-BE49-F238E27FC236}">
                <a16:creationId xmlns:a16="http://schemas.microsoft.com/office/drawing/2014/main" id="{00000000-0008-0000-1300-0000F2E71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7" name="$J$4">
            <a:extLst>
              <a:ext uri="{FF2B5EF4-FFF2-40B4-BE49-F238E27FC236}">
                <a16:creationId xmlns:a16="http://schemas.microsoft.com/office/drawing/2014/main" id="{00000000-0008-0000-1300-0000F3E71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8" name="$J$4">
            <a:extLst>
              <a:ext uri="{FF2B5EF4-FFF2-40B4-BE49-F238E27FC236}">
                <a16:creationId xmlns:a16="http://schemas.microsoft.com/office/drawing/2014/main" id="{00000000-0008-0000-1300-0000F4E71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9" name="$J$4">
            <a:extLst>
              <a:ext uri="{FF2B5EF4-FFF2-40B4-BE49-F238E27FC236}">
                <a16:creationId xmlns:a16="http://schemas.microsoft.com/office/drawing/2014/main" id="{00000000-0008-0000-1300-0000F5E71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0" name="$J$4">
            <a:extLst>
              <a:ext uri="{FF2B5EF4-FFF2-40B4-BE49-F238E27FC236}">
                <a16:creationId xmlns:a16="http://schemas.microsoft.com/office/drawing/2014/main" id="{00000000-0008-0000-1300-0000F6E71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1" name="$J$4">
            <a:extLst>
              <a:ext uri="{FF2B5EF4-FFF2-40B4-BE49-F238E27FC236}">
                <a16:creationId xmlns:a16="http://schemas.microsoft.com/office/drawing/2014/main" id="{00000000-0008-0000-1300-0000F7E71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2" name="$J$4">
            <a:extLst>
              <a:ext uri="{FF2B5EF4-FFF2-40B4-BE49-F238E27FC236}">
                <a16:creationId xmlns:a16="http://schemas.microsoft.com/office/drawing/2014/main" id="{00000000-0008-0000-1300-0000F8E717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3" name="$J$4">
            <a:extLst>
              <a:ext uri="{FF2B5EF4-FFF2-40B4-BE49-F238E27FC236}">
                <a16:creationId xmlns:a16="http://schemas.microsoft.com/office/drawing/2014/main" id="{00000000-0008-0000-1300-0000F9E71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4" name="$J$4">
            <a:extLst>
              <a:ext uri="{FF2B5EF4-FFF2-40B4-BE49-F238E27FC236}">
                <a16:creationId xmlns:a16="http://schemas.microsoft.com/office/drawing/2014/main" id="{00000000-0008-0000-1300-0000FAE717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5" name="$J$4">
            <a:extLst>
              <a:ext uri="{FF2B5EF4-FFF2-40B4-BE49-F238E27FC236}">
                <a16:creationId xmlns:a16="http://schemas.microsoft.com/office/drawing/2014/main" id="{00000000-0008-0000-1300-0000FBE71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6" name="$J$4">
            <a:extLst>
              <a:ext uri="{FF2B5EF4-FFF2-40B4-BE49-F238E27FC236}">
                <a16:creationId xmlns:a16="http://schemas.microsoft.com/office/drawing/2014/main" id="{00000000-0008-0000-1300-0000FCE71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7" name="$J$4">
            <a:extLst>
              <a:ext uri="{FF2B5EF4-FFF2-40B4-BE49-F238E27FC236}">
                <a16:creationId xmlns:a16="http://schemas.microsoft.com/office/drawing/2014/main" id="{00000000-0008-0000-1300-0000FDE717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8" name="$J$4">
            <a:extLst>
              <a:ext uri="{FF2B5EF4-FFF2-40B4-BE49-F238E27FC236}">
                <a16:creationId xmlns:a16="http://schemas.microsoft.com/office/drawing/2014/main" id="{00000000-0008-0000-1300-0000FEE717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9" name="$J$4">
            <a:extLst>
              <a:ext uri="{FF2B5EF4-FFF2-40B4-BE49-F238E27FC236}">
                <a16:creationId xmlns:a16="http://schemas.microsoft.com/office/drawing/2014/main" id="{00000000-0008-0000-1300-0000FFE717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0" name="$J$4">
            <a:extLst>
              <a:ext uri="{FF2B5EF4-FFF2-40B4-BE49-F238E27FC236}">
                <a16:creationId xmlns:a16="http://schemas.microsoft.com/office/drawing/2014/main" id="{00000000-0008-0000-1300-000000E81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1" name="$J$4">
            <a:extLst>
              <a:ext uri="{FF2B5EF4-FFF2-40B4-BE49-F238E27FC236}">
                <a16:creationId xmlns:a16="http://schemas.microsoft.com/office/drawing/2014/main" id="{00000000-0008-0000-1300-000001E817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2" name="$J$4">
            <a:extLst>
              <a:ext uri="{FF2B5EF4-FFF2-40B4-BE49-F238E27FC236}">
                <a16:creationId xmlns:a16="http://schemas.microsoft.com/office/drawing/2014/main" id="{00000000-0008-0000-1300-000002E817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3" name="$J$4">
            <a:extLst>
              <a:ext uri="{FF2B5EF4-FFF2-40B4-BE49-F238E27FC236}">
                <a16:creationId xmlns:a16="http://schemas.microsoft.com/office/drawing/2014/main" id="{00000000-0008-0000-1300-000003E817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4" name="$J$4">
            <a:extLst>
              <a:ext uri="{FF2B5EF4-FFF2-40B4-BE49-F238E27FC236}">
                <a16:creationId xmlns:a16="http://schemas.microsoft.com/office/drawing/2014/main" id="{00000000-0008-0000-1300-000004E81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5" name="$J$4">
            <a:extLst>
              <a:ext uri="{FF2B5EF4-FFF2-40B4-BE49-F238E27FC236}">
                <a16:creationId xmlns:a16="http://schemas.microsoft.com/office/drawing/2014/main" id="{00000000-0008-0000-1300-000005E817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6" name="$J$4">
            <a:extLst>
              <a:ext uri="{FF2B5EF4-FFF2-40B4-BE49-F238E27FC236}">
                <a16:creationId xmlns:a16="http://schemas.microsoft.com/office/drawing/2014/main" id="{00000000-0008-0000-1300-000006E81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7" name="$J$4">
            <a:extLst>
              <a:ext uri="{FF2B5EF4-FFF2-40B4-BE49-F238E27FC236}">
                <a16:creationId xmlns:a16="http://schemas.microsoft.com/office/drawing/2014/main" id="{00000000-0008-0000-1300-000007E81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8" name="$J$4">
            <a:extLst>
              <a:ext uri="{FF2B5EF4-FFF2-40B4-BE49-F238E27FC236}">
                <a16:creationId xmlns:a16="http://schemas.microsoft.com/office/drawing/2014/main" id="{00000000-0008-0000-1300-000008E817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9" name="$J$4">
            <a:extLst>
              <a:ext uri="{FF2B5EF4-FFF2-40B4-BE49-F238E27FC236}">
                <a16:creationId xmlns:a16="http://schemas.microsoft.com/office/drawing/2014/main" id="{00000000-0008-0000-1300-000009E817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0" name="$J$4">
            <a:extLst>
              <a:ext uri="{FF2B5EF4-FFF2-40B4-BE49-F238E27FC236}">
                <a16:creationId xmlns:a16="http://schemas.microsoft.com/office/drawing/2014/main" id="{00000000-0008-0000-1300-00000AE81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1" name="$J$4">
            <a:extLst>
              <a:ext uri="{FF2B5EF4-FFF2-40B4-BE49-F238E27FC236}">
                <a16:creationId xmlns:a16="http://schemas.microsoft.com/office/drawing/2014/main" id="{00000000-0008-0000-1300-00000BE81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2" name="$J$4">
            <a:extLst>
              <a:ext uri="{FF2B5EF4-FFF2-40B4-BE49-F238E27FC236}">
                <a16:creationId xmlns:a16="http://schemas.microsoft.com/office/drawing/2014/main" id="{00000000-0008-0000-1300-00000CE81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3" name="$J$4">
            <a:extLst>
              <a:ext uri="{FF2B5EF4-FFF2-40B4-BE49-F238E27FC236}">
                <a16:creationId xmlns:a16="http://schemas.microsoft.com/office/drawing/2014/main" id="{00000000-0008-0000-1300-00000DE81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4" name="$J$4">
            <a:extLst>
              <a:ext uri="{FF2B5EF4-FFF2-40B4-BE49-F238E27FC236}">
                <a16:creationId xmlns:a16="http://schemas.microsoft.com/office/drawing/2014/main" id="{00000000-0008-0000-1300-00000EE81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5" name="$J$4">
            <a:extLst>
              <a:ext uri="{FF2B5EF4-FFF2-40B4-BE49-F238E27FC236}">
                <a16:creationId xmlns:a16="http://schemas.microsoft.com/office/drawing/2014/main" id="{00000000-0008-0000-1300-00000FE817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6" name="$J$4">
            <a:extLst>
              <a:ext uri="{FF2B5EF4-FFF2-40B4-BE49-F238E27FC236}">
                <a16:creationId xmlns:a16="http://schemas.microsoft.com/office/drawing/2014/main" id="{00000000-0008-0000-1300-000010E81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7" name="$J$4">
            <a:extLst>
              <a:ext uri="{FF2B5EF4-FFF2-40B4-BE49-F238E27FC236}">
                <a16:creationId xmlns:a16="http://schemas.microsoft.com/office/drawing/2014/main" id="{00000000-0008-0000-1300-000011E817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8" name="$J$4">
            <a:extLst>
              <a:ext uri="{FF2B5EF4-FFF2-40B4-BE49-F238E27FC236}">
                <a16:creationId xmlns:a16="http://schemas.microsoft.com/office/drawing/2014/main" id="{00000000-0008-0000-1300-000012E817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9" name="$J$4">
            <a:extLst>
              <a:ext uri="{FF2B5EF4-FFF2-40B4-BE49-F238E27FC236}">
                <a16:creationId xmlns:a16="http://schemas.microsoft.com/office/drawing/2014/main" id="{00000000-0008-0000-1300-000013E81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0" name="$J$4">
            <a:extLst>
              <a:ext uri="{FF2B5EF4-FFF2-40B4-BE49-F238E27FC236}">
                <a16:creationId xmlns:a16="http://schemas.microsoft.com/office/drawing/2014/main" id="{00000000-0008-0000-1300-000014E817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1" name="$J$4">
            <a:extLst>
              <a:ext uri="{FF2B5EF4-FFF2-40B4-BE49-F238E27FC236}">
                <a16:creationId xmlns:a16="http://schemas.microsoft.com/office/drawing/2014/main" id="{00000000-0008-0000-1300-000015E817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2" name="$J$4">
            <a:extLst>
              <a:ext uri="{FF2B5EF4-FFF2-40B4-BE49-F238E27FC236}">
                <a16:creationId xmlns:a16="http://schemas.microsoft.com/office/drawing/2014/main" id="{00000000-0008-0000-1300-000016E81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3" name="$J$4">
            <a:extLst>
              <a:ext uri="{FF2B5EF4-FFF2-40B4-BE49-F238E27FC236}">
                <a16:creationId xmlns:a16="http://schemas.microsoft.com/office/drawing/2014/main" id="{00000000-0008-0000-1300-000017E817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4" name="$J$4">
            <a:extLst>
              <a:ext uri="{FF2B5EF4-FFF2-40B4-BE49-F238E27FC236}">
                <a16:creationId xmlns:a16="http://schemas.microsoft.com/office/drawing/2014/main" id="{00000000-0008-0000-1300-000018E81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5" name="$J$4">
            <a:extLst>
              <a:ext uri="{FF2B5EF4-FFF2-40B4-BE49-F238E27FC236}">
                <a16:creationId xmlns:a16="http://schemas.microsoft.com/office/drawing/2014/main" id="{00000000-0008-0000-1300-000019E817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6" name="$J$4">
            <a:extLst>
              <a:ext uri="{FF2B5EF4-FFF2-40B4-BE49-F238E27FC236}">
                <a16:creationId xmlns:a16="http://schemas.microsoft.com/office/drawing/2014/main" id="{00000000-0008-0000-1300-00001AE817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7" name="$J$4">
            <a:extLst>
              <a:ext uri="{FF2B5EF4-FFF2-40B4-BE49-F238E27FC236}">
                <a16:creationId xmlns:a16="http://schemas.microsoft.com/office/drawing/2014/main" id="{00000000-0008-0000-1300-00001BE81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8" name="$J$4">
            <a:extLst>
              <a:ext uri="{FF2B5EF4-FFF2-40B4-BE49-F238E27FC236}">
                <a16:creationId xmlns:a16="http://schemas.microsoft.com/office/drawing/2014/main" id="{00000000-0008-0000-1300-00001CE817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9" name="$J$4">
            <a:extLst>
              <a:ext uri="{FF2B5EF4-FFF2-40B4-BE49-F238E27FC236}">
                <a16:creationId xmlns:a16="http://schemas.microsoft.com/office/drawing/2014/main" id="{00000000-0008-0000-1300-00001DE81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0" name="$J$4">
            <a:extLst>
              <a:ext uri="{FF2B5EF4-FFF2-40B4-BE49-F238E27FC236}">
                <a16:creationId xmlns:a16="http://schemas.microsoft.com/office/drawing/2014/main" id="{00000000-0008-0000-1300-00001EE81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1" name="$J$4">
            <a:extLst>
              <a:ext uri="{FF2B5EF4-FFF2-40B4-BE49-F238E27FC236}">
                <a16:creationId xmlns:a16="http://schemas.microsoft.com/office/drawing/2014/main" id="{00000000-0008-0000-1300-00001FE81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2" name="$J$4">
            <a:extLst>
              <a:ext uri="{FF2B5EF4-FFF2-40B4-BE49-F238E27FC236}">
                <a16:creationId xmlns:a16="http://schemas.microsoft.com/office/drawing/2014/main" id="{00000000-0008-0000-1300-000020E817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3" name="$J$4">
            <a:extLst>
              <a:ext uri="{FF2B5EF4-FFF2-40B4-BE49-F238E27FC236}">
                <a16:creationId xmlns:a16="http://schemas.microsoft.com/office/drawing/2014/main" id="{00000000-0008-0000-1300-000021E817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4" name="$J$4">
            <a:extLst>
              <a:ext uri="{FF2B5EF4-FFF2-40B4-BE49-F238E27FC236}">
                <a16:creationId xmlns:a16="http://schemas.microsoft.com/office/drawing/2014/main" id="{00000000-0008-0000-1300-000022E81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5" name="$J$4">
            <a:extLst>
              <a:ext uri="{FF2B5EF4-FFF2-40B4-BE49-F238E27FC236}">
                <a16:creationId xmlns:a16="http://schemas.microsoft.com/office/drawing/2014/main" id="{00000000-0008-0000-1300-000023E817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6" name="$J$4">
            <a:extLst>
              <a:ext uri="{FF2B5EF4-FFF2-40B4-BE49-F238E27FC236}">
                <a16:creationId xmlns:a16="http://schemas.microsoft.com/office/drawing/2014/main" id="{00000000-0008-0000-1300-000024E817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7" name="$J$4">
            <a:extLst>
              <a:ext uri="{FF2B5EF4-FFF2-40B4-BE49-F238E27FC236}">
                <a16:creationId xmlns:a16="http://schemas.microsoft.com/office/drawing/2014/main" id="{00000000-0008-0000-1300-000025E81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8" name="$J$4">
            <a:extLst>
              <a:ext uri="{FF2B5EF4-FFF2-40B4-BE49-F238E27FC236}">
                <a16:creationId xmlns:a16="http://schemas.microsoft.com/office/drawing/2014/main" id="{00000000-0008-0000-1300-000026E81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9" name="$J$4">
            <a:extLst>
              <a:ext uri="{FF2B5EF4-FFF2-40B4-BE49-F238E27FC236}">
                <a16:creationId xmlns:a16="http://schemas.microsoft.com/office/drawing/2014/main" id="{00000000-0008-0000-1300-000027E81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0" name="$J$4">
            <a:extLst>
              <a:ext uri="{FF2B5EF4-FFF2-40B4-BE49-F238E27FC236}">
                <a16:creationId xmlns:a16="http://schemas.microsoft.com/office/drawing/2014/main" id="{00000000-0008-0000-1300-000028E81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1" name="$J$4">
            <a:extLst>
              <a:ext uri="{FF2B5EF4-FFF2-40B4-BE49-F238E27FC236}">
                <a16:creationId xmlns:a16="http://schemas.microsoft.com/office/drawing/2014/main" id="{00000000-0008-0000-1300-000029E81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2" name="$J$4">
            <a:extLst>
              <a:ext uri="{FF2B5EF4-FFF2-40B4-BE49-F238E27FC236}">
                <a16:creationId xmlns:a16="http://schemas.microsoft.com/office/drawing/2014/main" id="{00000000-0008-0000-1300-00002AE81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3" name="$J$4">
            <a:extLst>
              <a:ext uri="{FF2B5EF4-FFF2-40B4-BE49-F238E27FC236}">
                <a16:creationId xmlns:a16="http://schemas.microsoft.com/office/drawing/2014/main" id="{00000000-0008-0000-1300-00002BE817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4" name="$J$4">
            <a:extLst>
              <a:ext uri="{FF2B5EF4-FFF2-40B4-BE49-F238E27FC236}">
                <a16:creationId xmlns:a16="http://schemas.microsoft.com/office/drawing/2014/main" id="{00000000-0008-0000-1300-00002CE817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5" name="$J$4">
            <a:extLst>
              <a:ext uri="{FF2B5EF4-FFF2-40B4-BE49-F238E27FC236}">
                <a16:creationId xmlns:a16="http://schemas.microsoft.com/office/drawing/2014/main" id="{00000000-0008-0000-1300-00002DE81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6" name="$J$4">
            <a:extLst>
              <a:ext uri="{FF2B5EF4-FFF2-40B4-BE49-F238E27FC236}">
                <a16:creationId xmlns:a16="http://schemas.microsoft.com/office/drawing/2014/main" id="{00000000-0008-0000-1300-00002EE817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7" name="$J$4">
            <a:extLst>
              <a:ext uri="{FF2B5EF4-FFF2-40B4-BE49-F238E27FC236}">
                <a16:creationId xmlns:a16="http://schemas.microsoft.com/office/drawing/2014/main" id="{00000000-0008-0000-1300-00002FE817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8" name="$J$4">
            <a:extLst>
              <a:ext uri="{FF2B5EF4-FFF2-40B4-BE49-F238E27FC236}">
                <a16:creationId xmlns:a16="http://schemas.microsoft.com/office/drawing/2014/main" id="{00000000-0008-0000-1300-000030E817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9" name="$J$4">
            <a:extLst>
              <a:ext uri="{FF2B5EF4-FFF2-40B4-BE49-F238E27FC236}">
                <a16:creationId xmlns:a16="http://schemas.microsoft.com/office/drawing/2014/main" id="{00000000-0008-0000-1300-000031E81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0" name="$J$4">
            <a:extLst>
              <a:ext uri="{FF2B5EF4-FFF2-40B4-BE49-F238E27FC236}">
                <a16:creationId xmlns:a16="http://schemas.microsoft.com/office/drawing/2014/main" id="{00000000-0008-0000-1300-000032E81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1" name="$J$4">
            <a:extLst>
              <a:ext uri="{FF2B5EF4-FFF2-40B4-BE49-F238E27FC236}">
                <a16:creationId xmlns:a16="http://schemas.microsoft.com/office/drawing/2014/main" id="{00000000-0008-0000-1300-000033E81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2" name="$J$4">
            <a:extLst>
              <a:ext uri="{FF2B5EF4-FFF2-40B4-BE49-F238E27FC236}">
                <a16:creationId xmlns:a16="http://schemas.microsoft.com/office/drawing/2014/main" id="{00000000-0008-0000-1300-000034E81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3" name="$J$4">
            <a:extLst>
              <a:ext uri="{FF2B5EF4-FFF2-40B4-BE49-F238E27FC236}">
                <a16:creationId xmlns:a16="http://schemas.microsoft.com/office/drawing/2014/main" id="{00000000-0008-0000-1300-000035E817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4" name="$J$4">
            <a:extLst>
              <a:ext uri="{FF2B5EF4-FFF2-40B4-BE49-F238E27FC236}">
                <a16:creationId xmlns:a16="http://schemas.microsoft.com/office/drawing/2014/main" id="{00000000-0008-0000-1300-000036E81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5" name="$J$4">
            <a:extLst>
              <a:ext uri="{FF2B5EF4-FFF2-40B4-BE49-F238E27FC236}">
                <a16:creationId xmlns:a16="http://schemas.microsoft.com/office/drawing/2014/main" id="{00000000-0008-0000-1300-000037E817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6" name="$J$4">
            <a:extLst>
              <a:ext uri="{FF2B5EF4-FFF2-40B4-BE49-F238E27FC236}">
                <a16:creationId xmlns:a16="http://schemas.microsoft.com/office/drawing/2014/main" id="{00000000-0008-0000-1300-000038E817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7" name="$J$4">
            <a:extLst>
              <a:ext uri="{FF2B5EF4-FFF2-40B4-BE49-F238E27FC236}">
                <a16:creationId xmlns:a16="http://schemas.microsoft.com/office/drawing/2014/main" id="{00000000-0008-0000-1300-000039E81700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8" name="$J$4">
            <a:extLst>
              <a:ext uri="{FF2B5EF4-FFF2-40B4-BE49-F238E27FC236}">
                <a16:creationId xmlns:a16="http://schemas.microsoft.com/office/drawing/2014/main" id="{00000000-0008-0000-1300-00003AE817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9" name="$J$4">
            <a:extLst>
              <a:ext uri="{FF2B5EF4-FFF2-40B4-BE49-F238E27FC236}">
                <a16:creationId xmlns:a16="http://schemas.microsoft.com/office/drawing/2014/main" id="{00000000-0008-0000-1300-00003BE817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0" name="$J$4">
            <a:extLst>
              <a:ext uri="{FF2B5EF4-FFF2-40B4-BE49-F238E27FC236}">
                <a16:creationId xmlns:a16="http://schemas.microsoft.com/office/drawing/2014/main" id="{00000000-0008-0000-1300-00003CE81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1" name="$J$4">
            <a:extLst>
              <a:ext uri="{FF2B5EF4-FFF2-40B4-BE49-F238E27FC236}">
                <a16:creationId xmlns:a16="http://schemas.microsoft.com/office/drawing/2014/main" id="{00000000-0008-0000-1300-00003DE817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2" name="$J$4">
            <a:extLst>
              <a:ext uri="{FF2B5EF4-FFF2-40B4-BE49-F238E27FC236}">
                <a16:creationId xmlns:a16="http://schemas.microsoft.com/office/drawing/2014/main" id="{00000000-0008-0000-1300-00003EE817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3" name="$J$4">
            <a:extLst>
              <a:ext uri="{FF2B5EF4-FFF2-40B4-BE49-F238E27FC236}">
                <a16:creationId xmlns:a16="http://schemas.microsoft.com/office/drawing/2014/main" id="{00000000-0008-0000-1300-00003FE81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4" name="$J$4">
            <a:extLst>
              <a:ext uri="{FF2B5EF4-FFF2-40B4-BE49-F238E27FC236}">
                <a16:creationId xmlns:a16="http://schemas.microsoft.com/office/drawing/2014/main" id="{00000000-0008-0000-1300-000040E817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5" name="$J$4">
            <a:extLst>
              <a:ext uri="{FF2B5EF4-FFF2-40B4-BE49-F238E27FC236}">
                <a16:creationId xmlns:a16="http://schemas.microsoft.com/office/drawing/2014/main" id="{00000000-0008-0000-1300-000041E81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6" name="$J$4">
            <a:extLst>
              <a:ext uri="{FF2B5EF4-FFF2-40B4-BE49-F238E27FC236}">
                <a16:creationId xmlns:a16="http://schemas.microsoft.com/office/drawing/2014/main" id="{00000000-0008-0000-1300-000042E81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7" name="$J$4">
            <a:extLst>
              <a:ext uri="{FF2B5EF4-FFF2-40B4-BE49-F238E27FC236}">
                <a16:creationId xmlns:a16="http://schemas.microsoft.com/office/drawing/2014/main" id="{00000000-0008-0000-1300-000043E81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8" name="$J$4">
            <a:extLst>
              <a:ext uri="{FF2B5EF4-FFF2-40B4-BE49-F238E27FC236}">
                <a16:creationId xmlns:a16="http://schemas.microsoft.com/office/drawing/2014/main" id="{00000000-0008-0000-1300-000044E81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9" name="$J$4">
            <a:extLst>
              <a:ext uri="{FF2B5EF4-FFF2-40B4-BE49-F238E27FC236}">
                <a16:creationId xmlns:a16="http://schemas.microsoft.com/office/drawing/2014/main" id="{00000000-0008-0000-1300-000045E81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0" name="$J$4">
            <a:extLst>
              <a:ext uri="{FF2B5EF4-FFF2-40B4-BE49-F238E27FC236}">
                <a16:creationId xmlns:a16="http://schemas.microsoft.com/office/drawing/2014/main" id="{00000000-0008-0000-1300-000046E817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1" name="$J$4">
            <a:extLst>
              <a:ext uri="{FF2B5EF4-FFF2-40B4-BE49-F238E27FC236}">
                <a16:creationId xmlns:a16="http://schemas.microsoft.com/office/drawing/2014/main" id="{00000000-0008-0000-1300-000047E817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2" name="$J$4">
            <a:extLst>
              <a:ext uri="{FF2B5EF4-FFF2-40B4-BE49-F238E27FC236}">
                <a16:creationId xmlns:a16="http://schemas.microsoft.com/office/drawing/2014/main" id="{00000000-0008-0000-1300-000048E817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3" name="$J$4">
            <a:extLst>
              <a:ext uri="{FF2B5EF4-FFF2-40B4-BE49-F238E27FC236}">
                <a16:creationId xmlns:a16="http://schemas.microsoft.com/office/drawing/2014/main" id="{00000000-0008-0000-1300-000049E817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4" name="$J$4">
            <a:extLst>
              <a:ext uri="{FF2B5EF4-FFF2-40B4-BE49-F238E27FC236}">
                <a16:creationId xmlns:a16="http://schemas.microsoft.com/office/drawing/2014/main" id="{00000000-0008-0000-1300-00004AE81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5" name="$J$4">
            <a:extLst>
              <a:ext uri="{FF2B5EF4-FFF2-40B4-BE49-F238E27FC236}">
                <a16:creationId xmlns:a16="http://schemas.microsoft.com/office/drawing/2014/main" id="{00000000-0008-0000-1300-00004BE817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6" name="$J$4">
            <a:extLst>
              <a:ext uri="{FF2B5EF4-FFF2-40B4-BE49-F238E27FC236}">
                <a16:creationId xmlns:a16="http://schemas.microsoft.com/office/drawing/2014/main" id="{00000000-0008-0000-1300-00004CE817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7" name="$J$4">
            <a:extLst>
              <a:ext uri="{FF2B5EF4-FFF2-40B4-BE49-F238E27FC236}">
                <a16:creationId xmlns:a16="http://schemas.microsoft.com/office/drawing/2014/main" id="{00000000-0008-0000-1300-00004DE8170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8" name="$J$4">
            <a:extLst>
              <a:ext uri="{FF2B5EF4-FFF2-40B4-BE49-F238E27FC236}">
                <a16:creationId xmlns:a16="http://schemas.microsoft.com/office/drawing/2014/main" id="{00000000-0008-0000-1300-00004EE81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9" name="$J$4">
            <a:extLst>
              <a:ext uri="{FF2B5EF4-FFF2-40B4-BE49-F238E27FC236}">
                <a16:creationId xmlns:a16="http://schemas.microsoft.com/office/drawing/2014/main" id="{00000000-0008-0000-1300-00004FE817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0" name="$J$4">
            <a:extLst>
              <a:ext uri="{FF2B5EF4-FFF2-40B4-BE49-F238E27FC236}">
                <a16:creationId xmlns:a16="http://schemas.microsoft.com/office/drawing/2014/main" id="{00000000-0008-0000-1300-000050E817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1" name="$J$4">
            <a:extLst>
              <a:ext uri="{FF2B5EF4-FFF2-40B4-BE49-F238E27FC236}">
                <a16:creationId xmlns:a16="http://schemas.microsoft.com/office/drawing/2014/main" id="{00000000-0008-0000-1300-000051E81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2" name="$J$4">
            <a:extLst>
              <a:ext uri="{FF2B5EF4-FFF2-40B4-BE49-F238E27FC236}">
                <a16:creationId xmlns:a16="http://schemas.microsoft.com/office/drawing/2014/main" id="{00000000-0008-0000-1300-000052E817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3" name="$J$4">
            <a:extLst>
              <a:ext uri="{FF2B5EF4-FFF2-40B4-BE49-F238E27FC236}">
                <a16:creationId xmlns:a16="http://schemas.microsoft.com/office/drawing/2014/main" id="{00000000-0008-0000-1300-000053E81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4" name="$J$4">
            <a:extLst>
              <a:ext uri="{FF2B5EF4-FFF2-40B4-BE49-F238E27FC236}">
                <a16:creationId xmlns:a16="http://schemas.microsoft.com/office/drawing/2014/main" id="{00000000-0008-0000-1300-000054E81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5" name="$J$4">
            <a:extLst>
              <a:ext uri="{FF2B5EF4-FFF2-40B4-BE49-F238E27FC236}">
                <a16:creationId xmlns:a16="http://schemas.microsoft.com/office/drawing/2014/main" id="{00000000-0008-0000-1300-000055E81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6" name="$J$4">
            <a:extLst>
              <a:ext uri="{FF2B5EF4-FFF2-40B4-BE49-F238E27FC236}">
                <a16:creationId xmlns:a16="http://schemas.microsoft.com/office/drawing/2014/main" id="{00000000-0008-0000-1300-000056E81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7" name="$J$4">
            <a:extLst>
              <a:ext uri="{FF2B5EF4-FFF2-40B4-BE49-F238E27FC236}">
                <a16:creationId xmlns:a16="http://schemas.microsoft.com/office/drawing/2014/main" id="{00000000-0008-0000-1300-000057E81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8" name="$J$4">
            <a:extLst>
              <a:ext uri="{FF2B5EF4-FFF2-40B4-BE49-F238E27FC236}">
                <a16:creationId xmlns:a16="http://schemas.microsoft.com/office/drawing/2014/main" id="{00000000-0008-0000-1300-000058E817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9" name="$J$4">
            <a:extLst>
              <a:ext uri="{FF2B5EF4-FFF2-40B4-BE49-F238E27FC236}">
                <a16:creationId xmlns:a16="http://schemas.microsoft.com/office/drawing/2014/main" id="{00000000-0008-0000-1300-000059E81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0" name="$J$4">
            <a:extLst>
              <a:ext uri="{FF2B5EF4-FFF2-40B4-BE49-F238E27FC236}">
                <a16:creationId xmlns:a16="http://schemas.microsoft.com/office/drawing/2014/main" id="{00000000-0008-0000-1300-00005AE81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1" name="$J$4">
            <a:extLst>
              <a:ext uri="{FF2B5EF4-FFF2-40B4-BE49-F238E27FC236}">
                <a16:creationId xmlns:a16="http://schemas.microsoft.com/office/drawing/2014/main" id="{00000000-0008-0000-1300-00005BE81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2" name="$J$4">
            <a:extLst>
              <a:ext uri="{FF2B5EF4-FFF2-40B4-BE49-F238E27FC236}">
                <a16:creationId xmlns:a16="http://schemas.microsoft.com/office/drawing/2014/main" id="{00000000-0008-0000-1300-00005CE81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3" name="$J$4">
            <a:extLst>
              <a:ext uri="{FF2B5EF4-FFF2-40B4-BE49-F238E27FC236}">
                <a16:creationId xmlns:a16="http://schemas.microsoft.com/office/drawing/2014/main" id="{00000000-0008-0000-1300-00005DE817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4" name="$J$4">
            <a:extLst>
              <a:ext uri="{FF2B5EF4-FFF2-40B4-BE49-F238E27FC236}">
                <a16:creationId xmlns:a16="http://schemas.microsoft.com/office/drawing/2014/main" id="{00000000-0008-0000-1300-00005EE81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5" name="$J$4">
            <a:extLst>
              <a:ext uri="{FF2B5EF4-FFF2-40B4-BE49-F238E27FC236}">
                <a16:creationId xmlns:a16="http://schemas.microsoft.com/office/drawing/2014/main" id="{00000000-0008-0000-1300-00005FE81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6" name="$J$4">
            <a:extLst>
              <a:ext uri="{FF2B5EF4-FFF2-40B4-BE49-F238E27FC236}">
                <a16:creationId xmlns:a16="http://schemas.microsoft.com/office/drawing/2014/main" id="{00000000-0008-0000-1300-000060E817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7" name="$J$4">
            <a:extLst>
              <a:ext uri="{FF2B5EF4-FFF2-40B4-BE49-F238E27FC236}">
                <a16:creationId xmlns:a16="http://schemas.microsoft.com/office/drawing/2014/main" id="{00000000-0008-0000-1300-000061E817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8" name="$J$4">
            <a:extLst>
              <a:ext uri="{FF2B5EF4-FFF2-40B4-BE49-F238E27FC236}">
                <a16:creationId xmlns:a16="http://schemas.microsoft.com/office/drawing/2014/main" id="{00000000-0008-0000-1300-000062E817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9" name="$J$4">
            <a:extLst>
              <a:ext uri="{FF2B5EF4-FFF2-40B4-BE49-F238E27FC236}">
                <a16:creationId xmlns:a16="http://schemas.microsoft.com/office/drawing/2014/main" id="{00000000-0008-0000-1300-000063E817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0" name="$J$4">
            <a:extLst>
              <a:ext uri="{FF2B5EF4-FFF2-40B4-BE49-F238E27FC236}">
                <a16:creationId xmlns:a16="http://schemas.microsoft.com/office/drawing/2014/main" id="{00000000-0008-0000-1300-000064E81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1" name="$J$4">
            <a:extLst>
              <a:ext uri="{FF2B5EF4-FFF2-40B4-BE49-F238E27FC236}">
                <a16:creationId xmlns:a16="http://schemas.microsoft.com/office/drawing/2014/main" id="{00000000-0008-0000-1300-000065E817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2" name="$J$4">
            <a:extLst>
              <a:ext uri="{FF2B5EF4-FFF2-40B4-BE49-F238E27FC236}">
                <a16:creationId xmlns:a16="http://schemas.microsoft.com/office/drawing/2014/main" id="{00000000-0008-0000-1300-000066E817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3" name="$J$4">
            <a:extLst>
              <a:ext uri="{FF2B5EF4-FFF2-40B4-BE49-F238E27FC236}">
                <a16:creationId xmlns:a16="http://schemas.microsoft.com/office/drawing/2014/main" id="{00000000-0008-0000-1300-000067E81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4" name="$J$4">
            <a:extLst>
              <a:ext uri="{FF2B5EF4-FFF2-40B4-BE49-F238E27FC236}">
                <a16:creationId xmlns:a16="http://schemas.microsoft.com/office/drawing/2014/main" id="{00000000-0008-0000-1300-000068E81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5" name="$J$4">
            <a:extLst>
              <a:ext uri="{FF2B5EF4-FFF2-40B4-BE49-F238E27FC236}">
                <a16:creationId xmlns:a16="http://schemas.microsoft.com/office/drawing/2014/main" id="{00000000-0008-0000-1300-000069E81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6" name="$J$4">
            <a:extLst>
              <a:ext uri="{FF2B5EF4-FFF2-40B4-BE49-F238E27FC236}">
                <a16:creationId xmlns:a16="http://schemas.microsoft.com/office/drawing/2014/main" id="{00000000-0008-0000-1300-00006AE817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7" name="$J$4">
            <a:extLst>
              <a:ext uri="{FF2B5EF4-FFF2-40B4-BE49-F238E27FC236}">
                <a16:creationId xmlns:a16="http://schemas.microsoft.com/office/drawing/2014/main" id="{00000000-0008-0000-1300-00006BE817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8" name="$J$4">
            <a:extLst>
              <a:ext uri="{FF2B5EF4-FFF2-40B4-BE49-F238E27FC236}">
                <a16:creationId xmlns:a16="http://schemas.microsoft.com/office/drawing/2014/main" id="{00000000-0008-0000-1300-00006CE81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9" name="$J$4">
            <a:extLst>
              <a:ext uri="{FF2B5EF4-FFF2-40B4-BE49-F238E27FC236}">
                <a16:creationId xmlns:a16="http://schemas.microsoft.com/office/drawing/2014/main" id="{00000000-0008-0000-1300-00006DE817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0" name="$J$4">
            <a:extLst>
              <a:ext uri="{FF2B5EF4-FFF2-40B4-BE49-F238E27FC236}">
                <a16:creationId xmlns:a16="http://schemas.microsoft.com/office/drawing/2014/main" id="{00000000-0008-0000-1300-00006EE817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1" name="$J$4">
            <a:extLst>
              <a:ext uri="{FF2B5EF4-FFF2-40B4-BE49-F238E27FC236}">
                <a16:creationId xmlns:a16="http://schemas.microsoft.com/office/drawing/2014/main" id="{00000000-0008-0000-1300-00006FE81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2" name="$J$4">
            <a:extLst>
              <a:ext uri="{FF2B5EF4-FFF2-40B4-BE49-F238E27FC236}">
                <a16:creationId xmlns:a16="http://schemas.microsoft.com/office/drawing/2014/main" id="{00000000-0008-0000-1300-000070E81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3" name="$J$4">
            <a:extLst>
              <a:ext uri="{FF2B5EF4-FFF2-40B4-BE49-F238E27FC236}">
                <a16:creationId xmlns:a16="http://schemas.microsoft.com/office/drawing/2014/main" id="{00000000-0008-0000-1300-000071E817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4" name="$J$4">
            <a:extLst>
              <a:ext uri="{FF2B5EF4-FFF2-40B4-BE49-F238E27FC236}">
                <a16:creationId xmlns:a16="http://schemas.microsoft.com/office/drawing/2014/main" id="{00000000-0008-0000-1300-000072E81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5" name="$J$4">
            <a:extLst>
              <a:ext uri="{FF2B5EF4-FFF2-40B4-BE49-F238E27FC236}">
                <a16:creationId xmlns:a16="http://schemas.microsoft.com/office/drawing/2014/main" id="{00000000-0008-0000-1300-000073E817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6" name="$J$4">
            <a:extLst>
              <a:ext uri="{FF2B5EF4-FFF2-40B4-BE49-F238E27FC236}">
                <a16:creationId xmlns:a16="http://schemas.microsoft.com/office/drawing/2014/main" id="{00000000-0008-0000-1300-000074E817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7" name="$J$4">
            <a:extLst>
              <a:ext uri="{FF2B5EF4-FFF2-40B4-BE49-F238E27FC236}">
                <a16:creationId xmlns:a16="http://schemas.microsoft.com/office/drawing/2014/main" id="{00000000-0008-0000-1300-000075E817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8" name="$J$4">
            <a:extLst>
              <a:ext uri="{FF2B5EF4-FFF2-40B4-BE49-F238E27FC236}">
                <a16:creationId xmlns:a16="http://schemas.microsoft.com/office/drawing/2014/main" id="{00000000-0008-0000-1300-000076E81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9" name="$J$4">
            <a:extLst>
              <a:ext uri="{FF2B5EF4-FFF2-40B4-BE49-F238E27FC236}">
                <a16:creationId xmlns:a16="http://schemas.microsoft.com/office/drawing/2014/main" id="{00000000-0008-0000-1300-000077E81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85725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1563661" name="Button 13" hidden="1">
              <a:extLst>
                <a:ext uri="{63B3BB69-23CF-44E3-9099-C40C66FF867C}">
                  <a14:compatExt spid="_x0000_s1563661"/>
                </a:ext>
                <a:ext uri="{FF2B5EF4-FFF2-40B4-BE49-F238E27FC236}">
                  <a16:creationId xmlns:a16="http://schemas.microsoft.com/office/drawing/2014/main" id="{00000000-0008-0000-1400-00000D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Check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142875</xdr:rowOff>
        </xdr:from>
        <xdr:to>
          <xdr:col>16</xdr:col>
          <xdr:colOff>285750</xdr:colOff>
          <xdr:row>26</xdr:row>
          <xdr:rowOff>295275</xdr:rowOff>
        </xdr:to>
        <xdr:sp macro="" textlink="">
          <xdr:nvSpPr>
            <xdr:cNvPr id="1563664" name="Button 16" hidden="1">
              <a:extLst>
                <a:ext uri="{63B3BB69-23CF-44E3-9099-C40C66FF867C}">
                  <a14:compatExt spid="_x0000_s1563664"/>
                </a:ext>
                <a:ext uri="{FF2B5EF4-FFF2-40B4-BE49-F238E27FC236}">
                  <a16:creationId xmlns:a16="http://schemas.microsoft.com/office/drawing/2014/main" id="{00000000-0008-0000-1400-000010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Expense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107156</xdr:colOff>
      <xdr:row>0</xdr:row>
      <xdr:rowOff>142875</xdr:rowOff>
    </xdr:from>
    <xdr:to>
      <xdr:col>14</xdr:col>
      <xdr:colOff>1260017</xdr:colOff>
      <xdr:row>1</xdr:row>
      <xdr:rowOff>215605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pSpPr/>
      </xdr:nvGrpSpPr>
      <xdr:grpSpPr>
        <a:xfrm>
          <a:off x="6560344" y="142875"/>
          <a:ext cx="1283829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pSpPr/>
          </xdr:nvGrpSpPr>
          <xdr:grpSpPr>
            <a:xfrm>
              <a:off x="5737491" y="4302322"/>
              <a:ext cx="247384" cy="972883"/>
              <a:chOff x="5365750" y="2134741"/>
              <a:chExt cx="275040" cy="731358"/>
            </a:xfrm>
          </xdr:grpSpPr>
          <xdr:sp macro="" textlink="">
            <xdr:nvSpPr>
              <xdr:cNvPr id="3918849" name="Check Box 1" hidden="1">
                <a:extLst>
                  <a:ext uri="{63B3BB69-23CF-44E3-9099-C40C66FF867C}">
                    <a14:compatExt spid="_x0000_s3918849"/>
                  </a:ext>
                  <a:ext uri="{FF2B5EF4-FFF2-40B4-BE49-F238E27FC236}">
                    <a16:creationId xmlns:a16="http://schemas.microsoft.com/office/drawing/2014/main" id="{00000000-0008-0000-1500-000001CC3B00}"/>
                  </a:ext>
                </a:extLst>
              </xdr:cNvPr>
              <xdr:cNvSpPr/>
            </xdr:nvSpPr>
            <xdr:spPr bwMode="auto">
              <a:xfrm>
                <a:off x="5368804" y="2134741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0" name="Check Box 2" hidden="1">
                <a:extLst>
                  <a:ext uri="{63B3BB69-23CF-44E3-9099-C40C66FF867C}">
                    <a14:compatExt spid="_x0000_s3918850"/>
                  </a:ext>
                  <a:ext uri="{FF2B5EF4-FFF2-40B4-BE49-F238E27FC236}">
                    <a16:creationId xmlns:a16="http://schemas.microsoft.com/office/drawing/2014/main" id="{00000000-0008-0000-1500-000002CC3B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1" name="Check Box 3" hidden="1">
                <a:extLst>
                  <a:ext uri="{63B3BB69-23CF-44E3-9099-C40C66FF867C}">
                    <a14:compatExt spid="_x0000_s3918851"/>
                  </a:ext>
                  <a:ext uri="{FF2B5EF4-FFF2-40B4-BE49-F238E27FC236}">
                    <a16:creationId xmlns:a16="http://schemas.microsoft.com/office/drawing/2014/main" id="{00000000-0008-0000-1500-000003CC3B00}"/>
                  </a:ext>
                </a:extLst>
              </xdr:cNvPr>
              <xdr:cNvSpPr/>
            </xdr:nvSpPr>
            <xdr:spPr bwMode="auto">
              <a:xfrm>
                <a:off x="5365750" y="2665017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78423</xdr:colOff>
      <xdr:row>2</xdr:row>
      <xdr:rowOff>47626</xdr:rowOff>
    </xdr:from>
    <xdr:to>
      <xdr:col>3</xdr:col>
      <xdr:colOff>61983</xdr:colOff>
      <xdr:row>4</xdr:row>
      <xdr:rowOff>273843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448" y="790576"/>
          <a:ext cx="1107510" cy="835817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5779339" y="190975"/>
          <a:ext cx="205801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3918852" name="Button 4" hidden="1">
              <a:extLst>
                <a:ext uri="{63B3BB69-23CF-44E3-9099-C40C66FF867C}">
                  <a14:compatExt spid="_x0000_s3918852"/>
                </a:ext>
                <a:ext uri="{FF2B5EF4-FFF2-40B4-BE49-F238E27FC236}">
                  <a16:creationId xmlns:a16="http://schemas.microsoft.com/office/drawing/2014/main" id="{00000000-0008-0000-1500-000004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3918853" name="Button 5" hidden="1">
              <a:extLst>
                <a:ext uri="{63B3BB69-23CF-44E3-9099-C40C66FF867C}">
                  <a14:compatExt spid="_x0000_s3918853"/>
                </a:ext>
                <a:ext uri="{FF2B5EF4-FFF2-40B4-BE49-F238E27FC236}">
                  <a16:creationId xmlns:a16="http://schemas.microsoft.com/office/drawing/2014/main" id="{00000000-0008-0000-1500-000005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3918854" name="Button 6" hidden="1">
              <a:extLst>
                <a:ext uri="{63B3BB69-23CF-44E3-9099-C40C66FF867C}">
                  <a14:compatExt spid="_x0000_s3918854"/>
                </a:ext>
                <a:ext uri="{FF2B5EF4-FFF2-40B4-BE49-F238E27FC236}">
                  <a16:creationId xmlns:a16="http://schemas.microsoft.com/office/drawing/2014/main" id="{00000000-0008-0000-1500-000006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3918855" name="Button 7" hidden="1">
              <a:extLst>
                <a:ext uri="{63B3BB69-23CF-44E3-9099-C40C66FF867C}">
                  <a14:compatExt spid="_x0000_s3918855"/>
                </a:ext>
                <a:ext uri="{FF2B5EF4-FFF2-40B4-BE49-F238E27FC236}">
                  <a16:creationId xmlns:a16="http://schemas.microsoft.com/office/drawing/2014/main" id="{00000000-0008-0000-1500-000007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750094</xdr:colOff>
      <xdr:row>2</xdr:row>
      <xdr:rowOff>95251</xdr:rowOff>
    </xdr:from>
    <xdr:to>
      <xdr:col>10</xdr:col>
      <xdr:colOff>83345</xdr:colOff>
      <xdr:row>5</xdr:row>
      <xdr:rowOff>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3679032" y="1119189"/>
          <a:ext cx="3857626" cy="964406"/>
          <a:chOff x="3786188" y="762000"/>
          <a:chExt cx="3869532" cy="964406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RECEIVE PAYMENT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3918856" name="Button 8" hidden="1">
              <a:extLst>
                <a:ext uri="{63B3BB69-23CF-44E3-9099-C40C66FF867C}">
                  <a14:compatExt spid="_x0000_s3918856"/>
                </a:ext>
                <a:ext uri="{FF2B5EF4-FFF2-40B4-BE49-F238E27FC236}">
                  <a16:creationId xmlns:a16="http://schemas.microsoft.com/office/drawing/2014/main" id="{00000000-0008-0000-1500-000008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3918857" name="Button 9" hidden="1">
              <a:extLst>
                <a:ext uri="{63B3BB69-23CF-44E3-9099-C40C66FF867C}">
                  <a14:compatExt spid="_x0000_s3918857"/>
                </a:ext>
                <a:ext uri="{FF2B5EF4-FFF2-40B4-BE49-F238E27FC236}">
                  <a16:creationId xmlns:a16="http://schemas.microsoft.com/office/drawing/2014/main" id="{00000000-0008-0000-1500-000009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47626</xdr:colOff>
      <xdr:row>0</xdr:row>
      <xdr:rowOff>166687</xdr:rowOff>
    </xdr:from>
    <xdr:to>
      <xdr:col>14</xdr:col>
      <xdr:colOff>200361</xdr:colOff>
      <xdr:row>0</xdr:row>
      <xdr:rowOff>668042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8060532" y="166687"/>
          <a:ext cx="1283829" cy="501355"/>
          <a:chOff x="19188906" y="645582"/>
          <a:chExt cx="1163973" cy="499371"/>
        </a:xfrm>
      </xdr:grpSpPr>
      <xdr:sp macro="[0]!goToHome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8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9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57150</xdr:rowOff>
    </xdr:from>
    <xdr:to>
      <xdr:col>3</xdr:col>
      <xdr:colOff>293229</xdr:colOff>
      <xdr:row>2</xdr:row>
      <xdr:rowOff>558505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323850" y="5715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B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</xdr:row>
      <xdr:rowOff>148167</xdr:rowOff>
    </xdr:from>
    <xdr:to>
      <xdr:col>10</xdr:col>
      <xdr:colOff>260421</xdr:colOff>
      <xdr:row>2</xdr:row>
      <xdr:rowOff>120356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30584" y="51858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D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1F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2</xdr:row>
      <xdr:rowOff>10584</xdr:rowOff>
    </xdr:from>
    <xdr:to>
      <xdr:col>9</xdr:col>
      <xdr:colOff>1191754</xdr:colOff>
      <xdr:row>3</xdr:row>
      <xdr:rowOff>437855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8794750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2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2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300-0000169436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5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5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5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6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5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5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5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6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6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6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6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5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5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5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3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6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6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6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631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7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7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7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179916</xdr:colOff>
      <xdr:row>3</xdr:row>
      <xdr:rowOff>95251</xdr:rowOff>
    </xdr:from>
    <xdr:to>
      <xdr:col>8</xdr:col>
      <xdr:colOff>708095</xdr:colOff>
      <xdr:row>4</xdr:row>
      <xdr:rowOff>279106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9313333" y="1047751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84666</xdr:colOff>
      <xdr:row>3</xdr:row>
      <xdr:rowOff>105834</xdr:rowOff>
    </xdr:from>
    <xdr:to>
      <xdr:col>12</xdr:col>
      <xdr:colOff>872066</xdr:colOff>
      <xdr:row>4</xdr:row>
      <xdr:rowOff>289689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GrpSpPr/>
      </xdr:nvGrpSpPr>
      <xdr:grpSpPr>
        <a:xfrm>
          <a:off x="10720916" y="1058334"/>
          <a:ext cx="2628900" cy="501355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7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7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B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344222</xdr:colOff>
      <xdr:row>2</xdr:row>
      <xdr:rowOff>92340</xdr:rowOff>
    </xdr:from>
    <xdr:to>
      <xdr:col>16</xdr:col>
      <xdr:colOff>164904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GrpSpPr/>
      </xdr:nvGrpSpPr>
      <xdr:grpSpPr>
        <a:xfrm>
          <a:off x="17453503" y="747184"/>
          <a:ext cx="1166089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A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A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16</xdr:col>
      <xdr:colOff>332315</xdr:colOff>
      <xdr:row>2</xdr:row>
      <xdr:rowOff>71436</xdr:rowOff>
    </xdr:from>
    <xdr:to>
      <xdr:col>16</xdr:col>
      <xdr:colOff>1686781</xdr:colOff>
      <xdr:row>3</xdr:row>
      <xdr:rowOff>293591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2A00-000017000000}"/>
            </a:ext>
          </a:extLst>
        </xdr:cNvPr>
        <xdr:cNvGrpSpPr/>
      </xdr:nvGrpSpPr>
      <xdr:grpSpPr>
        <a:xfrm>
          <a:off x="18787003" y="726280"/>
          <a:ext cx="1354466" cy="507905"/>
          <a:chOff x="13474644" y="95248"/>
          <a:chExt cx="1400705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5" name="Button 19" hidden="1">
                <a:extLst>
                  <a:ext uri="{63B3BB69-23CF-44E3-9099-C40C66FF867C}">
                    <a14:compatExt spid="_x0000_s4519955"/>
                  </a:ext>
                  <a:ext uri="{FF2B5EF4-FFF2-40B4-BE49-F238E27FC236}">
                    <a16:creationId xmlns:a16="http://schemas.microsoft.com/office/drawing/2014/main" id="{00000000-0008-0000-2B00-000013F84400}"/>
                  </a:ext>
                </a:extLst>
              </xdr:cNvPr>
              <xdr:cNvSpPr/>
            </xdr:nvSpPr>
            <xdr:spPr bwMode="auto">
              <a:xfrm>
                <a:off x="13474644" y="95248"/>
                <a:ext cx="1400705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2A00-000011000000}"/>
              </a:ext>
            </a:extLst>
          </xdr:cNvPr>
          <xdr:cNvSpPr/>
        </xdr:nvSpPr>
        <xdr:spPr>
          <a:xfrm>
            <a:off x="13543566" y="388735"/>
            <a:ext cx="449333" cy="62889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238126</xdr:colOff>
      <xdr:row>4</xdr:row>
      <xdr:rowOff>74083</xdr:rowOff>
    </xdr:from>
    <xdr:to>
      <xdr:col>9</xdr:col>
      <xdr:colOff>1730375</xdr:colOff>
      <xdr:row>6</xdr:row>
      <xdr:rowOff>146813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12038543" y="952500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201083</xdr:colOff>
      <xdr:row>5</xdr:row>
      <xdr:rowOff>10583</xdr:rowOff>
    </xdr:from>
    <xdr:to>
      <xdr:col>11</xdr:col>
      <xdr:colOff>1361087</xdr:colOff>
      <xdr:row>6</xdr:row>
      <xdr:rowOff>183854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14643364" y="879739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178592</xdr:rowOff>
    </xdr:from>
    <xdr:to>
      <xdr:col>5</xdr:col>
      <xdr:colOff>613834</xdr:colOff>
      <xdr:row>3</xdr:row>
      <xdr:rowOff>679947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583406" y="928686"/>
          <a:ext cx="1268678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3</xdr:row>
      <xdr:rowOff>66675</xdr:rowOff>
    </xdr:from>
    <xdr:to>
      <xdr:col>4</xdr:col>
      <xdr:colOff>714374</xdr:colOff>
      <xdr:row>4</xdr:row>
      <xdr:rowOff>234655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507205" y="66675"/>
          <a:ext cx="2576513" cy="584699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266033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1850761" y="96251"/>
          <a:ext cx="1407316" cy="472869"/>
          <a:chOff x="17913803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3803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75407</xdr:colOff>
      <xdr:row>0</xdr:row>
      <xdr:rowOff>105833</xdr:rowOff>
    </xdr:from>
    <xdr:to>
      <xdr:col>3</xdr:col>
      <xdr:colOff>892968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pSpPr/>
      </xdr:nvGrpSpPr>
      <xdr:grpSpPr>
        <a:xfrm>
          <a:off x="373063" y="105833"/>
          <a:ext cx="1460499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1041136</xdr:colOff>
      <xdr:row>0</xdr:row>
      <xdr:rowOff>96251</xdr:rowOff>
    </xdr:from>
    <xdr:to>
      <xdr:col>5</xdr:col>
      <xdr:colOff>341046</xdr:colOff>
      <xdr:row>0</xdr:row>
      <xdr:rowOff>569120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GrpSpPr/>
      </xdr:nvGrpSpPr>
      <xdr:grpSpPr>
        <a:xfrm>
          <a:off x="1981730" y="96251"/>
          <a:ext cx="1407316" cy="472869"/>
          <a:chOff x="17913803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90945" name="Button 1" hidden="1">
                <a:extLst>
                  <a:ext uri="{63B3BB69-23CF-44E3-9099-C40C66FF867C}">
                    <a14:compatExt spid="_x0000_s4690945"/>
                  </a:ext>
                  <a:ext uri="{FF2B5EF4-FFF2-40B4-BE49-F238E27FC236}">
                    <a16:creationId xmlns:a16="http://schemas.microsoft.com/office/drawing/2014/main" id="{00000000-0008-0000-3200-000001944700}"/>
                  </a:ext>
                </a:extLst>
              </xdr:cNvPr>
              <xdr:cNvSpPr/>
            </xdr:nvSpPr>
            <xdr:spPr bwMode="auto">
              <a:xfrm>
                <a:off x="17913803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3200-000006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8">
          <cell r="AD8">
            <v>1</v>
          </cell>
        </row>
        <row r="9">
          <cell r="AD9">
            <v>1</v>
          </cell>
        </row>
        <row r="10">
          <cell r="AD10">
            <v>1</v>
          </cell>
        </row>
        <row r="11">
          <cell r="AD11">
            <v>1</v>
          </cell>
        </row>
        <row r="12">
          <cell r="AD12">
            <v>1</v>
          </cell>
        </row>
      </sheetData>
      <sheetData sheetId="11" refreshError="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</sheetData>
      <sheetData sheetId="13" refreshError="1"/>
      <sheetData sheetId="14">
        <row r="8">
          <cell r="C8">
            <v>81</v>
          </cell>
          <cell r="F8">
            <v>1</v>
          </cell>
          <cell r="G8">
            <v>1</v>
          </cell>
          <cell r="J8">
            <v>0</v>
          </cell>
          <cell r="K8">
            <v>180</v>
          </cell>
          <cell r="L8">
            <v>600</v>
          </cell>
          <cell r="M8">
            <v>0</v>
          </cell>
          <cell r="N8">
            <v>420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</v>
          </cell>
          <cell r="F9">
            <v>1</v>
          </cell>
          <cell r="G9">
            <v>1</v>
          </cell>
          <cell r="J9">
            <v>18</v>
          </cell>
          <cell r="K9">
            <v>10</v>
          </cell>
          <cell r="L9">
            <v>2</v>
          </cell>
          <cell r="M9">
            <v>0</v>
          </cell>
          <cell r="N9">
            <v>10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2</v>
          </cell>
          <cell r="F10">
            <v>1</v>
          </cell>
          <cell r="G10">
            <v>1</v>
          </cell>
          <cell r="J10">
            <v>18</v>
          </cell>
          <cell r="K10">
            <v>10</v>
          </cell>
          <cell r="L10">
            <v>2</v>
          </cell>
          <cell r="M10">
            <v>0</v>
          </cell>
          <cell r="N10">
            <v>10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3</v>
          </cell>
          <cell r="F11">
            <v>1</v>
          </cell>
          <cell r="G11">
            <v>1</v>
          </cell>
          <cell r="J11">
            <v>18</v>
          </cell>
          <cell r="K11">
            <v>10</v>
          </cell>
          <cell r="L11">
            <v>2</v>
          </cell>
          <cell r="M11">
            <v>0</v>
          </cell>
          <cell r="N11">
            <v>10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4</v>
          </cell>
          <cell r="F12">
            <v>1</v>
          </cell>
          <cell r="G12">
            <v>1</v>
          </cell>
          <cell r="J12">
            <v>18</v>
          </cell>
          <cell r="K12">
            <v>10</v>
          </cell>
          <cell r="L12">
            <v>2</v>
          </cell>
          <cell r="M12">
            <v>0</v>
          </cell>
          <cell r="N12">
            <v>10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5</v>
          </cell>
          <cell r="F13">
            <v>1</v>
          </cell>
          <cell r="G13">
            <v>1</v>
          </cell>
          <cell r="J13">
            <v>18</v>
          </cell>
          <cell r="K13">
            <v>10</v>
          </cell>
          <cell r="L13">
            <v>2</v>
          </cell>
          <cell r="M13">
            <v>0</v>
          </cell>
          <cell r="N13">
            <v>10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6</v>
          </cell>
          <cell r="F14">
            <v>1</v>
          </cell>
          <cell r="G14">
            <v>1</v>
          </cell>
          <cell r="J14">
            <v>8</v>
          </cell>
          <cell r="K14">
            <v>0</v>
          </cell>
          <cell r="L14">
            <v>2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7</v>
          </cell>
          <cell r="F15">
            <v>1</v>
          </cell>
          <cell r="G15">
            <v>1</v>
          </cell>
          <cell r="J15">
            <v>8</v>
          </cell>
          <cell r="K15">
            <v>0</v>
          </cell>
          <cell r="L15">
            <v>2</v>
          </cell>
          <cell r="M15">
            <v>0</v>
          </cell>
          <cell r="N15">
            <v>10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8</v>
          </cell>
          <cell r="F16">
            <v>1</v>
          </cell>
          <cell r="G16">
            <v>1</v>
          </cell>
          <cell r="J16">
            <v>8</v>
          </cell>
          <cell r="K16">
            <v>0</v>
          </cell>
          <cell r="L16">
            <v>2</v>
          </cell>
          <cell r="M16">
            <v>0</v>
          </cell>
          <cell r="N16">
            <v>10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9</v>
          </cell>
          <cell r="F17">
            <v>1</v>
          </cell>
          <cell r="G17">
            <v>1</v>
          </cell>
          <cell r="J17">
            <v>8</v>
          </cell>
          <cell r="K17">
            <v>0</v>
          </cell>
          <cell r="L17">
            <v>2</v>
          </cell>
          <cell r="M17">
            <v>0</v>
          </cell>
          <cell r="N17">
            <v>10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10</v>
          </cell>
          <cell r="F18">
            <v>1</v>
          </cell>
          <cell r="G18">
            <v>1</v>
          </cell>
          <cell r="J18">
            <v>8</v>
          </cell>
          <cell r="K18">
            <v>0</v>
          </cell>
          <cell r="L18">
            <v>2</v>
          </cell>
          <cell r="M18">
            <v>0</v>
          </cell>
          <cell r="N18">
            <v>10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</sheetData>
      <sheetData sheetId="15">
        <row r="8">
          <cell r="C8">
            <v>81</v>
          </cell>
          <cell r="F8">
            <v>1</v>
          </cell>
          <cell r="G8">
            <v>1</v>
          </cell>
          <cell r="H8">
            <v>46213</v>
          </cell>
          <cell r="I8">
            <v>60</v>
          </cell>
          <cell r="J8">
            <v>60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81</v>
          </cell>
          <cell r="F9">
            <v>1</v>
          </cell>
          <cell r="G9">
            <v>1</v>
          </cell>
          <cell r="H9">
            <v>46214</v>
          </cell>
          <cell r="I9">
            <v>0</v>
          </cell>
          <cell r="J9">
            <v>0</v>
          </cell>
          <cell r="K9">
            <v>0</v>
          </cell>
          <cell r="L9">
            <v>120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81</v>
          </cell>
          <cell r="F10">
            <v>1</v>
          </cell>
          <cell r="G10">
            <v>1</v>
          </cell>
          <cell r="H10">
            <v>46215</v>
          </cell>
          <cell r="I10">
            <v>120</v>
          </cell>
          <cell r="J10">
            <v>540</v>
          </cell>
          <cell r="K10">
            <v>0</v>
          </cell>
          <cell r="L10">
            <v>300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</v>
          </cell>
          <cell r="F11">
            <v>1</v>
          </cell>
          <cell r="G11">
            <v>1</v>
          </cell>
          <cell r="H11">
            <v>46216</v>
          </cell>
          <cell r="I11">
            <v>10</v>
          </cell>
          <cell r="J11">
            <v>2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2</v>
          </cell>
          <cell r="F12">
            <v>1</v>
          </cell>
          <cell r="G12">
            <v>1</v>
          </cell>
          <cell r="H12">
            <v>46216</v>
          </cell>
          <cell r="I12">
            <v>10</v>
          </cell>
          <cell r="J12">
            <v>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3</v>
          </cell>
          <cell r="F13">
            <v>1</v>
          </cell>
          <cell r="G13">
            <v>1</v>
          </cell>
          <cell r="H13">
            <v>46216</v>
          </cell>
          <cell r="I13">
            <v>10</v>
          </cell>
          <cell r="J13">
            <v>2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4</v>
          </cell>
          <cell r="F14">
            <v>1</v>
          </cell>
          <cell r="G14">
            <v>1</v>
          </cell>
          <cell r="H14">
            <v>46216</v>
          </cell>
          <cell r="I14">
            <v>10</v>
          </cell>
          <cell r="J14">
            <v>2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5</v>
          </cell>
          <cell r="F15">
            <v>1</v>
          </cell>
          <cell r="G15">
            <v>1</v>
          </cell>
          <cell r="H15">
            <v>46216</v>
          </cell>
          <cell r="I15">
            <v>10</v>
          </cell>
          <cell r="J15">
            <v>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1</v>
          </cell>
          <cell r="F16">
            <v>1</v>
          </cell>
          <cell r="G16">
            <v>1</v>
          </cell>
          <cell r="H16">
            <v>46216</v>
          </cell>
          <cell r="I16">
            <v>0</v>
          </cell>
          <cell r="J16">
            <v>0</v>
          </cell>
          <cell r="K16">
            <v>0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2</v>
          </cell>
          <cell r="F17">
            <v>1</v>
          </cell>
          <cell r="G17">
            <v>1</v>
          </cell>
          <cell r="H17">
            <v>46216</v>
          </cell>
          <cell r="I17">
            <v>0</v>
          </cell>
          <cell r="J17">
            <v>0</v>
          </cell>
          <cell r="K17">
            <v>0</v>
          </cell>
          <cell r="L17">
            <v>10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3</v>
          </cell>
          <cell r="F18">
            <v>1</v>
          </cell>
          <cell r="G18">
            <v>1</v>
          </cell>
          <cell r="H18">
            <v>46216</v>
          </cell>
          <cell r="I18">
            <v>0</v>
          </cell>
          <cell r="J18">
            <v>0</v>
          </cell>
          <cell r="K18">
            <v>0</v>
          </cell>
          <cell r="L18">
            <v>10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4</v>
          </cell>
          <cell r="F19">
            <v>1</v>
          </cell>
          <cell r="G19">
            <v>1</v>
          </cell>
          <cell r="H19">
            <v>46216</v>
          </cell>
          <cell r="I19">
            <v>0</v>
          </cell>
          <cell r="J19">
            <v>0</v>
          </cell>
          <cell r="K19">
            <v>0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5</v>
          </cell>
          <cell r="F20">
            <v>1</v>
          </cell>
          <cell r="G20">
            <v>1</v>
          </cell>
          <cell r="H20">
            <v>46216</v>
          </cell>
          <cell r="I20">
            <v>0</v>
          </cell>
          <cell r="J20">
            <v>0</v>
          </cell>
          <cell r="K20">
            <v>0</v>
          </cell>
          <cell r="L20">
            <v>10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6</v>
          </cell>
          <cell r="F21">
            <v>1</v>
          </cell>
          <cell r="G21">
            <v>1</v>
          </cell>
          <cell r="H21">
            <v>46216</v>
          </cell>
          <cell r="I21">
            <v>0</v>
          </cell>
          <cell r="J21">
            <v>2</v>
          </cell>
          <cell r="K21">
            <v>0</v>
          </cell>
          <cell r="L21">
            <v>10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7</v>
          </cell>
          <cell r="F22">
            <v>1</v>
          </cell>
          <cell r="G22">
            <v>1</v>
          </cell>
          <cell r="H22">
            <v>46216</v>
          </cell>
          <cell r="I22">
            <v>0</v>
          </cell>
          <cell r="J22">
            <v>2</v>
          </cell>
          <cell r="K22">
            <v>0</v>
          </cell>
          <cell r="L22">
            <v>10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8</v>
          </cell>
          <cell r="F23">
            <v>1</v>
          </cell>
          <cell r="G23">
            <v>1</v>
          </cell>
          <cell r="H23">
            <v>46216</v>
          </cell>
          <cell r="I23">
            <v>0</v>
          </cell>
          <cell r="J23">
            <v>2</v>
          </cell>
          <cell r="K23">
            <v>0</v>
          </cell>
          <cell r="L23">
            <v>10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9</v>
          </cell>
          <cell r="F24">
            <v>1</v>
          </cell>
          <cell r="G24">
            <v>1</v>
          </cell>
          <cell r="H24">
            <v>46216</v>
          </cell>
          <cell r="I24">
            <v>0</v>
          </cell>
          <cell r="J24">
            <v>2</v>
          </cell>
          <cell r="K24">
            <v>0</v>
          </cell>
          <cell r="L24">
            <v>10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10</v>
          </cell>
          <cell r="F25">
            <v>1</v>
          </cell>
          <cell r="G25">
            <v>1</v>
          </cell>
          <cell r="H25">
            <v>46216</v>
          </cell>
          <cell r="I25">
            <v>0</v>
          </cell>
          <cell r="J25">
            <v>2</v>
          </cell>
          <cell r="K25">
            <v>0</v>
          </cell>
          <cell r="L25">
            <v>10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</sheetData>
      <sheetData sheetId="16" refreshError="1"/>
      <sheetData sheetId="17">
        <row r="8">
          <cell r="C8">
            <v>81</v>
          </cell>
          <cell r="I8">
            <v>180</v>
          </cell>
          <cell r="J8">
            <v>600</v>
          </cell>
          <cell r="K8">
            <v>0</v>
          </cell>
          <cell r="N8">
            <v>420</v>
          </cell>
        </row>
        <row r="9">
          <cell r="C9">
            <v>1</v>
          </cell>
          <cell r="I9">
            <v>10</v>
          </cell>
          <cell r="J9">
            <v>2</v>
          </cell>
          <cell r="K9">
            <v>0</v>
          </cell>
          <cell r="N9">
            <v>10</v>
          </cell>
        </row>
        <row r="10">
          <cell r="C10">
            <v>2</v>
          </cell>
          <cell r="I10">
            <v>10</v>
          </cell>
          <cell r="J10">
            <v>2</v>
          </cell>
          <cell r="K10">
            <v>0</v>
          </cell>
          <cell r="N10">
            <v>10</v>
          </cell>
        </row>
        <row r="11">
          <cell r="C11">
            <v>3</v>
          </cell>
          <cell r="I11">
            <v>10</v>
          </cell>
          <cell r="J11">
            <v>2</v>
          </cell>
          <cell r="K11">
            <v>0</v>
          </cell>
          <cell r="N11">
            <v>10</v>
          </cell>
        </row>
        <row r="12">
          <cell r="C12">
            <v>4</v>
          </cell>
          <cell r="I12">
            <v>10</v>
          </cell>
          <cell r="J12">
            <v>2</v>
          </cell>
          <cell r="K12">
            <v>0</v>
          </cell>
          <cell r="N12">
            <v>10</v>
          </cell>
        </row>
        <row r="13">
          <cell r="C13">
            <v>5</v>
          </cell>
          <cell r="I13">
            <v>10</v>
          </cell>
          <cell r="J13">
            <v>2</v>
          </cell>
          <cell r="K13">
            <v>0</v>
          </cell>
          <cell r="N13">
            <v>10</v>
          </cell>
        </row>
        <row r="14">
          <cell r="C14">
            <v>6</v>
          </cell>
          <cell r="I14">
            <v>0</v>
          </cell>
          <cell r="J14">
            <v>2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7</v>
          </cell>
          <cell r="I15">
            <v>0</v>
          </cell>
          <cell r="J15">
            <v>2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8</v>
          </cell>
          <cell r="I16">
            <v>0</v>
          </cell>
          <cell r="J16">
            <v>2</v>
          </cell>
          <cell r="K16">
            <v>0</v>
          </cell>
          <cell r="L16">
            <v>0</v>
          </cell>
          <cell r="M16">
            <v>0</v>
          </cell>
          <cell r="N16">
            <v>10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9</v>
          </cell>
          <cell r="I17">
            <v>0</v>
          </cell>
          <cell r="J17">
            <v>2</v>
          </cell>
          <cell r="K17">
            <v>0</v>
          </cell>
          <cell r="L17">
            <v>0</v>
          </cell>
          <cell r="M17">
            <v>0</v>
          </cell>
          <cell r="N17">
            <v>10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10</v>
          </cell>
          <cell r="I18">
            <v>0</v>
          </cell>
          <cell r="J18">
            <v>2</v>
          </cell>
          <cell r="K18">
            <v>0</v>
          </cell>
          <cell r="L18">
            <v>0</v>
          </cell>
          <cell r="M18">
            <v>0</v>
          </cell>
          <cell r="N18">
            <v>10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</sheetData>
      <sheetData sheetId="18">
        <row r="8">
          <cell r="C8">
            <v>81</v>
          </cell>
          <cell r="F8">
            <v>1</v>
          </cell>
          <cell r="I8">
            <v>46213</v>
          </cell>
          <cell r="J8">
            <v>60</v>
          </cell>
          <cell r="K8">
            <v>60</v>
          </cell>
        </row>
        <row r="9">
          <cell r="C9">
            <v>81</v>
          </cell>
          <cell r="F9">
            <v>1</v>
          </cell>
          <cell r="I9">
            <v>46214</v>
          </cell>
          <cell r="J9">
            <v>0</v>
          </cell>
          <cell r="K9">
            <v>0</v>
          </cell>
          <cell r="L9">
            <v>0</v>
          </cell>
          <cell r="M9">
            <v>120</v>
          </cell>
        </row>
        <row r="10">
          <cell r="C10">
            <v>81</v>
          </cell>
          <cell r="F10">
            <v>1</v>
          </cell>
          <cell r="I10">
            <v>46215</v>
          </cell>
          <cell r="J10">
            <v>120</v>
          </cell>
          <cell r="K10">
            <v>540</v>
          </cell>
          <cell r="L10">
            <v>0</v>
          </cell>
          <cell r="M10">
            <v>300</v>
          </cell>
        </row>
        <row r="11">
          <cell r="C11">
            <v>1</v>
          </cell>
          <cell r="F11">
            <v>1</v>
          </cell>
          <cell r="I11">
            <v>46216</v>
          </cell>
          <cell r="J11">
            <v>10</v>
          </cell>
          <cell r="K11">
            <v>2</v>
          </cell>
        </row>
        <row r="12">
          <cell r="C12">
            <v>2</v>
          </cell>
          <cell r="F12">
            <v>1</v>
          </cell>
          <cell r="I12">
            <v>46216</v>
          </cell>
          <cell r="J12">
            <v>10</v>
          </cell>
          <cell r="K12">
            <v>2</v>
          </cell>
        </row>
        <row r="13">
          <cell r="C13">
            <v>3</v>
          </cell>
          <cell r="F13">
            <v>1</v>
          </cell>
          <cell r="I13">
            <v>46216</v>
          </cell>
          <cell r="J13">
            <v>10</v>
          </cell>
          <cell r="K13">
            <v>2</v>
          </cell>
        </row>
        <row r="14">
          <cell r="C14">
            <v>4</v>
          </cell>
          <cell r="F14">
            <v>1</v>
          </cell>
          <cell r="I14">
            <v>46216</v>
          </cell>
          <cell r="J14">
            <v>10</v>
          </cell>
          <cell r="K14">
            <v>2</v>
          </cell>
        </row>
        <row r="15">
          <cell r="C15">
            <v>5</v>
          </cell>
          <cell r="F15">
            <v>1</v>
          </cell>
          <cell r="I15">
            <v>46216</v>
          </cell>
          <cell r="J15">
            <v>10</v>
          </cell>
          <cell r="K15">
            <v>2</v>
          </cell>
        </row>
        <row r="16">
          <cell r="C16">
            <v>1</v>
          </cell>
          <cell r="F16">
            <v>1</v>
          </cell>
          <cell r="I16">
            <v>46216</v>
          </cell>
          <cell r="J16">
            <v>0</v>
          </cell>
          <cell r="K16">
            <v>0</v>
          </cell>
          <cell r="L16">
            <v>0</v>
          </cell>
          <cell r="M16">
            <v>10</v>
          </cell>
        </row>
        <row r="17">
          <cell r="C17">
            <v>2</v>
          </cell>
          <cell r="F17">
            <v>1</v>
          </cell>
          <cell r="I17">
            <v>46216</v>
          </cell>
          <cell r="J17">
            <v>0</v>
          </cell>
          <cell r="K17">
            <v>0</v>
          </cell>
          <cell r="L17">
            <v>0</v>
          </cell>
          <cell r="M17">
            <v>10</v>
          </cell>
        </row>
        <row r="18">
          <cell r="C18">
            <v>3</v>
          </cell>
          <cell r="F18">
            <v>1</v>
          </cell>
          <cell r="I18">
            <v>46216</v>
          </cell>
          <cell r="J18">
            <v>0</v>
          </cell>
          <cell r="K18">
            <v>0</v>
          </cell>
          <cell r="L18">
            <v>0</v>
          </cell>
          <cell r="M18">
            <v>10</v>
          </cell>
        </row>
        <row r="19">
          <cell r="C19">
            <v>4</v>
          </cell>
          <cell r="F19">
            <v>1</v>
          </cell>
          <cell r="I19">
            <v>46216</v>
          </cell>
          <cell r="J19">
            <v>0</v>
          </cell>
          <cell r="K19">
            <v>0</v>
          </cell>
          <cell r="L19">
            <v>0</v>
          </cell>
          <cell r="M19">
            <v>10</v>
          </cell>
        </row>
        <row r="20">
          <cell r="C20">
            <v>5</v>
          </cell>
          <cell r="F20">
            <v>1</v>
          </cell>
          <cell r="I20">
            <v>46216</v>
          </cell>
          <cell r="J20">
            <v>0</v>
          </cell>
          <cell r="K20">
            <v>0</v>
          </cell>
          <cell r="L20">
            <v>0</v>
          </cell>
          <cell r="M20">
            <v>10</v>
          </cell>
        </row>
        <row r="21">
          <cell r="C21">
            <v>6</v>
          </cell>
          <cell r="F21">
            <v>1</v>
          </cell>
          <cell r="I21">
            <v>46216</v>
          </cell>
          <cell r="J21">
            <v>0</v>
          </cell>
          <cell r="K21">
            <v>2</v>
          </cell>
          <cell r="L21">
            <v>0</v>
          </cell>
          <cell r="M21">
            <v>10</v>
          </cell>
        </row>
        <row r="22">
          <cell r="C22">
            <v>7</v>
          </cell>
          <cell r="F22">
            <v>1</v>
          </cell>
          <cell r="I22">
            <v>46216</v>
          </cell>
          <cell r="J22">
            <v>0</v>
          </cell>
          <cell r="K22">
            <v>2</v>
          </cell>
          <cell r="L22">
            <v>0</v>
          </cell>
          <cell r="M22">
            <v>10</v>
          </cell>
        </row>
        <row r="23">
          <cell r="C23">
            <v>8</v>
          </cell>
          <cell r="F23">
            <v>1</v>
          </cell>
          <cell r="I23">
            <v>46216</v>
          </cell>
          <cell r="J23">
            <v>0</v>
          </cell>
          <cell r="K23">
            <v>2</v>
          </cell>
          <cell r="L23">
            <v>0</v>
          </cell>
          <cell r="M23">
            <v>10</v>
          </cell>
        </row>
        <row r="24">
          <cell r="C24">
            <v>9</v>
          </cell>
          <cell r="F24">
            <v>1</v>
          </cell>
          <cell r="I24">
            <v>46216</v>
          </cell>
          <cell r="J24">
            <v>0</v>
          </cell>
          <cell r="K24">
            <v>2</v>
          </cell>
          <cell r="L24">
            <v>0</v>
          </cell>
          <cell r="M24">
            <v>10</v>
          </cell>
        </row>
        <row r="25">
          <cell r="C25">
            <v>10</v>
          </cell>
          <cell r="F25">
            <v>1</v>
          </cell>
          <cell r="I25">
            <v>46216</v>
          </cell>
          <cell r="J25">
            <v>0</v>
          </cell>
          <cell r="K25">
            <v>2</v>
          </cell>
          <cell r="L25">
            <v>0</v>
          </cell>
          <cell r="M25">
            <v>10</v>
          </cell>
        </row>
      </sheetData>
      <sheetData sheetId="19"/>
      <sheetData sheetId="20"/>
      <sheetData sheetId="21" refreshError="1"/>
      <sheetData sheetId="22" refreshError="1"/>
      <sheetData sheetId="23" refreshError="1"/>
      <sheetData sheetId="24">
        <row r="8">
          <cell r="AM8">
            <v>1</v>
          </cell>
        </row>
        <row r="9">
          <cell r="AM9">
            <v>1</v>
          </cell>
        </row>
        <row r="10">
          <cell r="AM10">
            <v>1</v>
          </cell>
        </row>
        <row r="11">
          <cell r="AM11">
            <v>1</v>
          </cell>
        </row>
        <row r="12">
          <cell r="AM12">
            <v>1</v>
          </cell>
        </row>
        <row r="13">
          <cell r="AM13">
            <v>1</v>
          </cell>
        </row>
        <row r="14">
          <cell r="AM14">
            <v>1</v>
          </cell>
        </row>
        <row r="15">
          <cell r="AM15">
            <v>1</v>
          </cell>
        </row>
      </sheetData>
      <sheetData sheetId="25" refreshError="1"/>
      <sheetData sheetId="26" refreshError="1"/>
      <sheetData sheetId="2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C1:E7" tableType="queryTable" totalsRowShown="0">
  <autoFilter ref="C1:E7" xr:uid="{78363533-BC96-4816-A1DF-C1286DF676CB}"/>
  <tableColumns count="3">
    <tableColumn id="1" xr3:uid="{3F61AD41-DD41-4AD2-8843-B48AFD0D4F15}" uniqueName="1" name="Column1" queryTableFieldId="1"/>
    <tableColumn id="2" xr3:uid="{E8087DC9-43D1-4DF1-8A04-15BE8A3B787F}" uniqueName="2" name="Column2" queryTableFieldId="2"/>
    <tableColumn id="3" xr3:uid="{319E4133-8891-4706-9EC8-447AA6C24CE2}" uniqueName="3" name="Column3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7.xml"/><Relationship Id="rId4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38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4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4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vmlDrawing" Target="../drawings/vmlDrawing19.vml"/><Relationship Id="rId9" Type="http://schemas.openxmlformats.org/officeDocument/2006/relationships/ctrlProp" Target="../ctrlProps/ctrlProp4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7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omments" Target="../comments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0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0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5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78</v>
      </c>
      <c r="B1" t="s">
        <v>79</v>
      </c>
      <c r="C1" t="s">
        <v>80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zoomScale="80" zoomScaleNormal="80" zoomScaleSheetLayoutView="120" workbookViewId="0">
      <pane ySplit="5" topLeftCell="A6" activePane="bottomLeft" state="frozen"/>
      <selection pane="bottomLeft" activeCell="I13" sqref="I13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3" max="13" width="22.5703125" customWidth="1"/>
  </cols>
  <sheetData>
    <row r="1" spans="3:12" ht="10.5" customHeight="1">
      <c r="C1" s="259"/>
      <c r="D1" s="259"/>
      <c r="E1" s="259"/>
      <c r="F1" s="259"/>
      <c r="G1" s="259"/>
      <c r="H1" s="259"/>
      <c r="I1" s="259"/>
      <c r="J1" s="423"/>
      <c r="K1" s="259"/>
      <c r="L1" s="259"/>
    </row>
    <row r="2" spans="3:12" ht="48.75" customHeight="1" thickBot="1">
      <c r="C2" s="903" t="s">
        <v>2811</v>
      </c>
      <c r="D2" s="903"/>
      <c r="E2" s="903"/>
      <c r="F2" s="903"/>
      <c r="G2" s="903"/>
      <c r="H2" s="903"/>
      <c r="I2" s="903"/>
    </row>
    <row r="3" spans="3:12" ht="9.75" hidden="1" customHeight="1">
      <c r="C3" s="257"/>
      <c r="D3" s="257"/>
      <c r="E3" s="257"/>
      <c r="F3" s="257"/>
      <c r="G3" s="257"/>
      <c r="H3" s="257"/>
      <c r="I3" s="257"/>
      <c r="J3" s="424"/>
      <c r="K3" s="257"/>
      <c r="L3" s="257"/>
    </row>
    <row r="4" spans="3:12" s="261" customFormat="1" ht="31.5" customHeight="1">
      <c r="C4" s="1100" t="s">
        <v>2810</v>
      </c>
      <c r="D4" s="1101" t="s">
        <v>245</v>
      </c>
      <c r="E4" s="1101" t="s">
        <v>246</v>
      </c>
      <c r="F4" s="1101" t="s">
        <v>242</v>
      </c>
      <c r="G4" s="1101" t="s">
        <v>243</v>
      </c>
      <c r="H4" s="1101" t="s">
        <v>244</v>
      </c>
      <c r="I4" s="1102" t="s">
        <v>2809</v>
      </c>
      <c r="J4" s="1102" t="s">
        <v>3557</v>
      </c>
      <c r="K4" s="656"/>
      <c r="L4" s="260"/>
    </row>
    <row r="5" spans="3:12" ht="21" customHeight="1" thickBot="1">
      <c r="C5" s="1103" t="s">
        <v>238</v>
      </c>
      <c r="D5" s="1104" t="s">
        <v>248</v>
      </c>
      <c r="E5" s="1104" t="s">
        <v>239</v>
      </c>
      <c r="F5" s="1104" t="s">
        <v>240</v>
      </c>
      <c r="G5" s="1104" t="s">
        <v>241</v>
      </c>
      <c r="H5" s="1104" t="s">
        <v>247</v>
      </c>
      <c r="I5" s="1105" t="s">
        <v>249</v>
      </c>
      <c r="J5" s="1105" t="s">
        <v>3633</v>
      </c>
      <c r="K5" s="657"/>
    </row>
    <row r="6" spans="3:12" ht="30" customHeight="1">
      <c r="C6" s="1009"/>
      <c r="D6" s="1010"/>
      <c r="E6" s="1010"/>
      <c r="F6" s="1011"/>
      <c r="G6" s="1011"/>
      <c r="H6" s="1012"/>
      <c r="I6" s="1013"/>
    </row>
    <row r="7" spans="3:12" ht="30" customHeight="1">
      <c r="C7" s="1014"/>
      <c r="D7" s="1015"/>
      <c r="E7" s="1015"/>
      <c r="F7" s="1016"/>
      <c r="G7" s="1016"/>
      <c r="H7" s="1017"/>
      <c r="I7" s="1018"/>
      <c r="J7" s="353"/>
    </row>
    <row r="8" spans="3:12" ht="30" customHeight="1">
      <c r="C8" s="1014"/>
      <c r="D8" s="1015"/>
      <c r="E8" s="1015"/>
      <c r="F8" s="1016"/>
      <c r="G8" s="1016"/>
      <c r="H8" s="1017"/>
      <c r="I8" s="1018"/>
      <c r="J8" s="353"/>
    </row>
    <row r="9" spans="3:12" ht="30" customHeight="1">
      <c r="C9" s="1014"/>
      <c r="D9" s="1015"/>
      <c r="E9" s="1015"/>
      <c r="F9" s="1016"/>
      <c r="G9" s="1019"/>
      <c r="H9" s="1017"/>
      <c r="I9" s="1018"/>
      <c r="J9" s="353"/>
    </row>
    <row r="10" spans="3:12" ht="30" customHeight="1">
      <c r="C10" s="1014"/>
      <c r="D10" s="1015"/>
      <c r="E10" s="1015"/>
      <c r="F10" s="1016"/>
      <c r="G10" s="1016"/>
      <c r="H10" s="1017"/>
      <c r="I10" s="1018"/>
      <c r="J10" s="353"/>
      <c r="K10" s="353"/>
    </row>
    <row r="11" spans="3:12" ht="30" customHeight="1">
      <c r="C11" s="1014"/>
      <c r="D11" s="1015"/>
      <c r="E11" s="1015"/>
      <c r="F11" s="1016"/>
      <c r="G11" s="1016"/>
      <c r="H11" s="1017"/>
      <c r="I11" s="1018"/>
      <c r="J11" s="353"/>
    </row>
    <row r="12" spans="3:12" ht="30" customHeight="1">
      <c r="C12" s="1020"/>
      <c r="D12" s="1015"/>
      <c r="E12" s="1015"/>
      <c r="F12" s="1016"/>
      <c r="G12" s="1016"/>
      <c r="H12" s="1017"/>
      <c r="I12" s="1018"/>
      <c r="J12" s="353"/>
    </row>
    <row r="13" spans="3:12" ht="36" customHeight="1">
      <c r="C13" s="1021"/>
      <c r="D13" s="1022"/>
      <c r="E13" s="1015"/>
      <c r="F13" s="1016"/>
      <c r="G13" s="1016"/>
      <c r="H13" s="1017"/>
      <c r="I13" s="1018"/>
      <c r="J13" s="353"/>
    </row>
    <row r="14" spans="3:12" ht="30" customHeight="1">
      <c r="C14" s="1014"/>
      <c r="D14" s="1015"/>
      <c r="E14" s="1015"/>
      <c r="F14" s="1016"/>
      <c r="G14" s="1016"/>
      <c r="H14" s="1017"/>
      <c r="I14" s="1018"/>
      <c r="J14" s="353"/>
    </row>
    <row r="15" spans="3:12" ht="28.5" customHeight="1">
      <c r="C15" s="1014"/>
      <c r="D15" s="1015"/>
      <c r="E15" s="1015"/>
      <c r="F15" s="1016"/>
      <c r="G15" s="1016"/>
      <c r="H15" s="1017"/>
      <c r="I15" s="1018"/>
      <c r="J15" s="353"/>
    </row>
    <row r="16" spans="3:12" ht="30" customHeight="1">
      <c r="C16" s="1014"/>
      <c r="D16" s="1015"/>
      <c r="E16" s="1015"/>
      <c r="F16" s="1016"/>
      <c r="G16" s="1016"/>
      <c r="H16" s="1017"/>
      <c r="I16" s="1018"/>
      <c r="J16" s="353"/>
    </row>
    <row r="17" spans="3:10" ht="30" customHeight="1">
      <c r="C17" s="1014"/>
      <c r="D17" s="1015"/>
      <c r="E17" s="1015"/>
      <c r="F17" s="1023"/>
      <c r="G17" s="1016"/>
      <c r="H17" s="1017"/>
      <c r="I17" s="1018"/>
      <c r="J17" s="353"/>
    </row>
    <row r="18" spans="3:10" ht="30" customHeight="1">
      <c r="C18" s="1014"/>
      <c r="D18" s="1015"/>
      <c r="E18" s="1015"/>
      <c r="F18" s="1023"/>
      <c r="G18" s="1016"/>
      <c r="H18" s="1017"/>
      <c r="I18" s="1018"/>
      <c r="J18" s="353"/>
    </row>
    <row r="19" spans="3:10" ht="30" customHeight="1">
      <c r="C19" s="1014"/>
      <c r="D19" s="1015"/>
      <c r="E19" s="1015"/>
      <c r="F19" s="1016"/>
      <c r="H19" s="1017"/>
      <c r="I19" s="1018"/>
      <c r="J19" s="353"/>
    </row>
    <row r="20" spans="3:10" ht="30" customHeight="1">
      <c r="C20" s="1014"/>
      <c r="D20" s="1015"/>
      <c r="E20" s="1015"/>
      <c r="F20" s="1016"/>
      <c r="G20" s="1016"/>
      <c r="H20" s="1017"/>
      <c r="I20" s="1018"/>
      <c r="J20" s="353"/>
    </row>
    <row r="21" spans="3:10" ht="17.25" customHeight="1">
      <c r="C21" s="1014"/>
      <c r="D21" s="1015"/>
      <c r="E21" s="1015"/>
      <c r="F21" s="1016"/>
      <c r="G21" s="1016"/>
      <c r="H21" s="1017"/>
      <c r="I21" s="1024"/>
      <c r="J21" s="353"/>
    </row>
    <row r="22" spans="3:10" ht="30" customHeight="1">
      <c r="C22" s="1014"/>
      <c r="D22" s="1015"/>
      <c r="E22" s="1015"/>
      <c r="F22" s="1016"/>
      <c r="G22" s="1016"/>
      <c r="H22" s="1017"/>
      <c r="I22" s="1018"/>
      <c r="J22" s="353"/>
    </row>
    <row r="23" spans="3:10" ht="30" customHeight="1">
      <c r="C23" s="1015"/>
      <c r="D23" s="1015"/>
      <c r="E23" s="1015"/>
      <c r="F23" s="1016"/>
      <c r="G23" s="1016"/>
      <c r="H23" s="1017"/>
      <c r="I23" s="1290"/>
    </row>
    <row r="24" spans="3:10" ht="30" customHeight="1">
      <c r="C24" s="252"/>
      <c r="D24" s="252"/>
      <c r="E24" s="252"/>
      <c r="F24" s="251"/>
      <c r="G24" s="251"/>
      <c r="H24" s="6"/>
      <c r="I24" s="5"/>
      <c r="J24" s="353"/>
    </row>
    <row r="25" spans="3:10" ht="30" customHeight="1">
      <c r="C25" s="252"/>
      <c r="D25" s="252"/>
      <c r="E25" s="252"/>
      <c r="F25" s="251"/>
      <c r="G25" s="251"/>
      <c r="H25" s="6"/>
      <c r="I25" s="5"/>
      <c r="J25" s="353"/>
    </row>
    <row r="26" spans="3:10" ht="30" customHeight="1">
      <c r="C26" s="252"/>
      <c r="D26" s="252"/>
      <c r="E26" s="252"/>
      <c r="F26" s="251"/>
      <c r="G26" s="251"/>
      <c r="H26" s="6"/>
      <c r="I26" s="5"/>
      <c r="J26" s="353"/>
    </row>
    <row r="27" spans="3:10" ht="30" customHeight="1">
      <c r="C27" s="252"/>
      <c r="D27" s="252"/>
      <c r="E27" s="252"/>
      <c r="F27" s="251"/>
      <c r="G27" s="251"/>
      <c r="H27" s="6"/>
      <c r="I27" s="5"/>
      <c r="J27" s="353"/>
    </row>
    <row r="28" spans="3:10" ht="30" customHeight="1">
      <c r="C28" s="252"/>
      <c r="D28" s="252"/>
      <c r="E28" s="252"/>
      <c r="F28" s="251"/>
      <c r="G28" s="251"/>
      <c r="H28" s="6"/>
      <c r="I28" s="5"/>
      <c r="J28" s="353"/>
    </row>
    <row r="29" spans="3:10" ht="30" customHeight="1">
      <c r="C29" s="258"/>
      <c r="D29" s="258"/>
      <c r="E29" s="258"/>
      <c r="F29" s="251"/>
      <c r="G29" s="251"/>
      <c r="H29" s="6"/>
      <c r="I29" s="5"/>
      <c r="J29" s="353"/>
    </row>
    <row r="30" spans="3:10" ht="30" customHeight="1">
      <c r="C30" s="252"/>
      <c r="D30" s="252"/>
      <c r="E30" s="252"/>
      <c r="F30" s="251"/>
      <c r="G30" s="251"/>
      <c r="H30" s="6"/>
      <c r="I30" s="5"/>
      <c r="J30" s="353"/>
    </row>
    <row r="31" spans="3:10" ht="30" customHeight="1">
      <c r="C31" s="252"/>
      <c r="D31" s="252"/>
      <c r="E31" s="252"/>
      <c r="F31" s="251"/>
      <c r="G31" s="251"/>
      <c r="H31" s="6"/>
      <c r="I31" s="5"/>
      <c r="J31" s="353"/>
    </row>
    <row r="32" spans="3:10" ht="30" customHeight="1">
      <c r="C32" s="252"/>
      <c r="D32" s="252"/>
      <c r="E32" s="252"/>
      <c r="F32" s="251"/>
      <c r="G32" s="251"/>
      <c r="H32" s="6"/>
      <c r="I32" s="5"/>
      <c r="J32" s="353"/>
    </row>
    <row r="33" spans="3:10" ht="30" customHeight="1">
      <c r="C33" s="252"/>
      <c r="D33" s="252"/>
      <c r="E33" s="252"/>
      <c r="F33" s="251"/>
      <c r="G33" s="251"/>
      <c r="H33" s="6"/>
      <c r="I33" s="5"/>
      <c r="J33" s="353"/>
    </row>
    <row r="34" spans="3:10" ht="30" customHeight="1">
      <c r="C34" s="252"/>
      <c r="D34" s="252"/>
      <c r="E34" s="252"/>
      <c r="F34" s="251"/>
      <c r="G34" s="251"/>
      <c r="H34" s="6"/>
      <c r="I34" s="5"/>
      <c r="J34" s="353"/>
    </row>
    <row r="35" spans="3:10" ht="30" customHeight="1">
      <c r="C35" s="252"/>
      <c r="D35" s="252"/>
      <c r="E35" s="252"/>
      <c r="F35" s="251"/>
      <c r="G35" s="251"/>
      <c r="H35" s="6"/>
      <c r="I35" s="5"/>
      <c r="J35" s="353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O50"/>
  <sheetViews>
    <sheetView showGridLines="0" tabSelected="1" topLeftCell="F3" zoomScale="80" zoomScaleNormal="80" workbookViewId="0">
      <pane ySplit="9" topLeftCell="A12" activePane="bottomLeft" state="frozen"/>
      <selection pane="bottomLeft" activeCell="O13" sqref="O13"/>
    </sheetView>
  </sheetViews>
  <sheetFormatPr defaultRowHeight="24.95" customHeight="1"/>
  <cols>
    <col min="1" max="1" width="2.85546875" style="445" customWidth="1"/>
    <col min="2" max="2" width="3.85546875" style="445" customWidth="1"/>
    <col min="3" max="3" width="10.140625" style="445" bestFit="1" customWidth="1"/>
    <col min="4" max="4" width="27.140625" style="654" bestFit="1" customWidth="1"/>
    <col min="5" max="5" width="24.7109375" style="654" customWidth="1"/>
    <col min="6" max="6" width="41.85546875" style="445" customWidth="1"/>
    <col min="7" max="7" width="28.42578125" style="445" customWidth="1"/>
    <col min="8" max="8" width="22.28515625" style="445" customWidth="1"/>
    <col min="9" max="9" width="27.140625" style="445" bestFit="1" customWidth="1"/>
    <col min="10" max="10" width="27" style="1338" bestFit="1" customWidth="1"/>
    <col min="11" max="11" width="18.85546875" style="1338" customWidth="1"/>
    <col min="12" max="12" width="123.7109375" style="445" bestFit="1" customWidth="1"/>
    <col min="13" max="13" width="28" style="445" customWidth="1"/>
    <col min="14" max="14" width="5" style="445" customWidth="1"/>
    <col min="15" max="15" width="76.42578125" style="445" bestFit="1" customWidth="1"/>
    <col min="16" max="16384" width="9.140625" style="445"/>
  </cols>
  <sheetData>
    <row r="1" spans="3:15" customFormat="1" ht="24.75" hidden="1" customHeight="1">
      <c r="D1" s="121"/>
      <c r="E1" s="121"/>
      <c r="F1" s="251"/>
      <c r="J1" s="139"/>
      <c r="K1" s="139"/>
    </row>
    <row r="2" spans="3:15" customFormat="1" ht="6" hidden="1" customHeight="1">
      <c r="D2" s="121"/>
      <c r="E2" s="121"/>
      <c r="F2" s="251"/>
      <c r="J2" s="139"/>
      <c r="K2" s="139"/>
    </row>
    <row r="3" spans="3:15" customFormat="1" ht="15.75">
      <c r="D3" s="121"/>
      <c r="E3" s="121"/>
      <c r="F3" s="445"/>
      <c r="G3" s="204"/>
      <c r="H3" s="204"/>
      <c r="I3" s="204"/>
      <c r="J3" s="251"/>
      <c r="K3" s="251"/>
      <c r="L3" s="251"/>
    </row>
    <row r="4" spans="3:15" customFormat="1" ht="49.5">
      <c r="C4" s="1341" t="s">
        <v>3534</v>
      </c>
      <c r="D4" s="849"/>
      <c r="E4" s="849"/>
      <c r="F4" s="1196"/>
      <c r="G4" s="1342"/>
      <c r="H4" s="1342"/>
      <c r="I4" s="1342"/>
      <c r="J4" s="1342"/>
      <c r="K4" s="1342"/>
      <c r="L4" s="1342"/>
      <c r="M4" s="851"/>
    </row>
    <row r="5" spans="3:15" customFormat="1" ht="6.75" hidden="1" customHeight="1">
      <c r="D5" s="121"/>
      <c r="E5" s="121"/>
      <c r="J5" s="139"/>
      <c r="K5" s="139"/>
    </row>
    <row r="6" spans="3:15" customFormat="1" ht="9" hidden="1" customHeight="1">
      <c r="D6" s="121"/>
      <c r="E6" s="121"/>
      <c r="J6" s="139"/>
      <c r="K6" s="139"/>
    </row>
    <row r="7" spans="3:15" customFormat="1" ht="31.5" customHeight="1">
      <c r="C7" s="1343" t="s">
        <v>9</v>
      </c>
      <c r="D7" s="1343" t="s">
        <v>3521</v>
      </c>
      <c r="E7" s="1343" t="s">
        <v>3467</v>
      </c>
      <c r="F7" s="1343" t="s">
        <v>3468</v>
      </c>
      <c r="G7" s="1343" t="s">
        <v>3469</v>
      </c>
      <c r="H7" s="1343" t="s">
        <v>3508</v>
      </c>
      <c r="I7" s="1343" t="s">
        <v>3509</v>
      </c>
      <c r="J7" s="1343" t="s">
        <v>3510</v>
      </c>
      <c r="K7" s="1343" t="s">
        <v>3525</v>
      </c>
      <c r="L7" s="1343" t="s">
        <v>3466</v>
      </c>
      <c r="M7" s="1343" t="s">
        <v>3524</v>
      </c>
      <c r="O7" s="251" t="s">
        <v>3527</v>
      </c>
    </row>
    <row r="8" spans="3:15" s="204" customFormat="1" ht="24.95" customHeight="1">
      <c r="C8" s="428">
        <v>1</v>
      </c>
      <c r="D8" s="437" t="s">
        <v>3470</v>
      </c>
      <c r="E8" s="437" t="s">
        <v>3531</v>
      </c>
      <c r="F8" s="437" t="s">
        <v>3527</v>
      </c>
      <c r="G8" s="428" t="s">
        <v>3523</v>
      </c>
      <c r="H8" s="437" t="s">
        <v>3470</v>
      </c>
      <c r="I8" s="437"/>
      <c r="J8" s="437"/>
      <c r="K8" s="437"/>
      <c r="L8" s="437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2123" t="str">
        <f>IF(AND(E8="",J8=""),"",HYPERLINK(database_path,IF(J8="",E8,J8)))</f>
        <v>database file</v>
      </c>
      <c r="O8" s="251" t="s">
        <v>2158</v>
      </c>
    </row>
    <row r="9" spans="3:15" s="204" customFormat="1" ht="24.95" customHeight="1">
      <c r="C9" s="428">
        <v>2</v>
      </c>
      <c r="D9" s="437" t="s">
        <v>3470</v>
      </c>
      <c r="E9" s="437" t="s">
        <v>3528</v>
      </c>
      <c r="F9" s="437" t="s">
        <v>3527</v>
      </c>
      <c r="G9" s="428" t="s">
        <v>3523</v>
      </c>
      <c r="H9" s="437" t="s">
        <v>3470</v>
      </c>
      <c r="I9" s="437" t="s">
        <v>3532</v>
      </c>
      <c r="J9" s="437"/>
      <c r="K9" s="437"/>
      <c r="L9" s="437" t="str">
        <f t="shared" ref="L9:L46" si="0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2123" t="str">
        <f>IF(AND(E9="",J9=""),"",HYPERLINK(database_path,IF(J9="",E9,J9)))</f>
        <v>database backup</v>
      </c>
      <c r="O9" s="251"/>
    </row>
    <row r="10" spans="3:15" s="204" customFormat="1" ht="24.95" customHeight="1">
      <c r="C10" s="428">
        <v>3</v>
      </c>
      <c r="D10" s="437" t="s">
        <v>3471</v>
      </c>
      <c r="E10" s="437" t="s">
        <v>3530</v>
      </c>
      <c r="F10" s="437" t="s">
        <v>3527</v>
      </c>
      <c r="G10" s="428" t="s">
        <v>3523</v>
      </c>
      <c r="H10" s="437"/>
      <c r="I10" s="437"/>
      <c r="J10" s="437"/>
      <c r="K10" s="437"/>
      <c r="L10" s="437" t="str">
        <f>IF(F10="","",F10)&amp;IF(G10="","",G10&amp;"\")&amp;IF(H10="","",H10&amp;"\")&amp;IF(I10="","",I10&amp;"\")&amp;IF(J10="","",J10&amp;"\")&amp;IF(K10="","",K10&amp;"\")</f>
        <v>D:\OneDrive\YBA ADVISORY\B-Clients and Services\C024-KOK SNUOL\ks_system\</v>
      </c>
      <c r="M10" s="2123" t="str">
        <f>IF(AND(E10="",J10=""),"",HYPERLINK(database_path,IF(J10="",E10,J10)))</f>
        <v>system file</v>
      </c>
      <c r="O10" s="251"/>
    </row>
    <row r="11" spans="3:15" s="204" customFormat="1" ht="24.95" customHeight="1">
      <c r="C11" s="428">
        <v>4</v>
      </c>
      <c r="D11" s="437" t="s">
        <v>3471</v>
      </c>
      <c r="E11" s="437" t="s">
        <v>3529</v>
      </c>
      <c r="F11" s="437" t="s">
        <v>3527</v>
      </c>
      <c r="G11" s="428" t="s">
        <v>3523</v>
      </c>
      <c r="H11" s="437" t="s">
        <v>3533</v>
      </c>
      <c r="I11" s="437"/>
      <c r="J11" s="437"/>
      <c r="K11" s="437"/>
      <c r="L11" s="437" t="str">
        <f t="shared" si="0"/>
        <v>D:\OneDrive\YBA ADVISORY\B-Clients and Services\C024-KOK SNUOL\ks_system\system_backup\</v>
      </c>
      <c r="M11" s="2123" t="str">
        <f>IF(AND(E11="",J11=""),"",HYPERLINK(database_path,IF(J11="",E11,J11)))</f>
        <v>system backup</v>
      </c>
    </row>
    <row r="12" spans="3:15" s="255" customFormat="1" ht="24.95" customHeight="1">
      <c r="C12" s="428">
        <v>5</v>
      </c>
      <c r="D12" s="437" t="s">
        <v>3511</v>
      </c>
      <c r="E12" s="437" t="s">
        <v>3472</v>
      </c>
      <c r="F12" s="437" t="s">
        <v>3527</v>
      </c>
      <c r="G12" s="428" t="s">
        <v>3523</v>
      </c>
      <c r="H12" s="437" t="s">
        <v>3507</v>
      </c>
      <c r="I12" s="437" t="s">
        <v>3511</v>
      </c>
      <c r="J12" s="1337" t="s">
        <v>3472</v>
      </c>
      <c r="K12" s="1337"/>
      <c r="L12" s="437" t="str">
        <f t="shared" si="0"/>
        <v>D:\OneDrive\YBA ADVISORY\B-Clients and Services\C024-KOK SNUOL\ks_system\report\inventory\inventory_adjustment\</v>
      </c>
      <c r="M12" s="2123" t="str">
        <f>IF(AND(E12="",J12=""),"",HYPERLINK(database_path,IF(J12="",E12,J12)))</f>
        <v>inventory_adjustment</v>
      </c>
    </row>
    <row r="13" spans="3:15" s="255" customFormat="1" ht="24.95" customHeight="1">
      <c r="C13" s="428">
        <v>6</v>
      </c>
      <c r="D13" s="437" t="s">
        <v>238</v>
      </c>
      <c r="E13" s="437" t="s">
        <v>3473</v>
      </c>
      <c r="F13" s="437" t="s">
        <v>3527</v>
      </c>
      <c r="G13" s="428" t="s">
        <v>3523</v>
      </c>
      <c r="H13" s="437" t="s">
        <v>3507</v>
      </c>
      <c r="I13" s="437" t="s">
        <v>238</v>
      </c>
      <c r="J13" s="1337" t="s">
        <v>3473</v>
      </c>
      <c r="K13" s="1337"/>
      <c r="L13" s="437" t="str">
        <f t="shared" si="0"/>
        <v>D:\OneDrive\YBA ADVISORY\B-Clients and Services\C024-KOK SNUOL\ks_system\report\Inventory\product\</v>
      </c>
      <c r="M13" s="2123" t="str">
        <f>IF(AND(E13="",J13=""),"",HYPERLINK(database_path,IF(J13="",E13,J13)))</f>
        <v>product</v>
      </c>
    </row>
    <row r="14" spans="3:15" s="255" customFormat="1" ht="24.95" customHeight="1">
      <c r="C14" s="428">
        <v>7</v>
      </c>
      <c r="D14" s="437" t="s">
        <v>238</v>
      </c>
      <c r="E14" s="437" t="s">
        <v>3474</v>
      </c>
      <c r="F14" s="437" t="s">
        <v>3527</v>
      </c>
      <c r="G14" s="428" t="s">
        <v>3523</v>
      </c>
      <c r="H14" s="437" t="s">
        <v>3507</v>
      </c>
      <c r="I14" s="437" t="s">
        <v>238</v>
      </c>
      <c r="J14" s="1337" t="s">
        <v>3474</v>
      </c>
      <c r="K14" s="1337"/>
      <c r="L14" s="437" t="str">
        <f t="shared" si="0"/>
        <v>D:\OneDrive\YBA ADVISORY\B-Clients and Services\C024-KOK SNUOL\ks_system\report\Inventory\transfer_order\</v>
      </c>
      <c r="M14" s="2123" t="str">
        <f>IF(AND(E14="",J14=""),"",HYPERLINK(database_path,IF(J14="",E14,J14)))</f>
        <v>transfer_order</v>
      </c>
    </row>
    <row r="15" spans="3:15" s="255" customFormat="1" ht="24.95" customHeight="1">
      <c r="C15" s="428">
        <v>8</v>
      </c>
      <c r="D15" s="437" t="s">
        <v>3512</v>
      </c>
      <c r="E15" s="437" t="s">
        <v>3475</v>
      </c>
      <c r="F15" s="437" t="s">
        <v>3527</v>
      </c>
      <c r="G15" s="428" t="s">
        <v>3523</v>
      </c>
      <c r="H15" s="437" t="s">
        <v>3507</v>
      </c>
      <c r="I15" s="437" t="s">
        <v>3512</v>
      </c>
      <c r="J15" s="1337" t="s">
        <v>3475</v>
      </c>
      <c r="K15" s="1337"/>
      <c r="L15" s="437" t="str">
        <f t="shared" si="0"/>
        <v>D:\OneDrive\YBA ADVISORY\B-Clients and Services\C024-KOK SNUOL\ks_system\report\purchase\purchase_bill\</v>
      </c>
      <c r="M15" s="2123" t="str">
        <f>IF(AND(E15="",J15=""),"",HYPERLINK(database_path,IF(J15="",E15,J15)))</f>
        <v>purchase_bill</v>
      </c>
    </row>
    <row r="16" spans="3:15" s="255" customFormat="1" ht="24.95" customHeight="1">
      <c r="C16" s="428">
        <v>9</v>
      </c>
      <c r="D16" s="437" t="s">
        <v>3512</v>
      </c>
      <c r="E16" s="437" t="s">
        <v>3476</v>
      </c>
      <c r="F16" s="437" t="s">
        <v>3527</v>
      </c>
      <c r="G16" s="428" t="s">
        <v>3523</v>
      </c>
      <c r="H16" s="437" t="s">
        <v>3507</v>
      </c>
      <c r="I16" s="437" t="s">
        <v>3512</v>
      </c>
      <c r="J16" s="1337" t="s">
        <v>3476</v>
      </c>
      <c r="K16" s="1337"/>
      <c r="L16" s="437" t="str">
        <f t="shared" si="0"/>
        <v>D:\OneDrive\YBA ADVISORY\B-Clients and Services\C024-KOK SNUOL\ks_system\report\purchase\purchase_request\</v>
      </c>
      <c r="M16" s="2123" t="str">
        <f>IF(AND(E16="",J16=""),"",HYPERLINK(database_path,IF(J16="",E16,J16)))</f>
        <v>purchase_request</v>
      </c>
    </row>
    <row r="17" spans="3:13" s="255" customFormat="1" ht="24.95" customHeight="1">
      <c r="C17" s="428">
        <v>10</v>
      </c>
      <c r="D17" s="437" t="s">
        <v>3512</v>
      </c>
      <c r="E17" s="437" t="s">
        <v>3477</v>
      </c>
      <c r="F17" s="437" t="s">
        <v>3527</v>
      </c>
      <c r="G17" s="428" t="s">
        <v>3523</v>
      </c>
      <c r="H17" s="437" t="s">
        <v>3507</v>
      </c>
      <c r="I17" s="437" t="s">
        <v>3512</v>
      </c>
      <c r="J17" s="1337" t="s">
        <v>3477</v>
      </c>
      <c r="K17" s="1337"/>
      <c r="L17" s="437" t="str">
        <f t="shared" si="0"/>
        <v>D:\OneDrive\YBA ADVISORY\B-Clients and Services\C024-KOK SNUOL\ks_system\report\purchase\other_expense\</v>
      </c>
      <c r="M17" s="2123" t="str">
        <f>IF(AND(E17="",J17=""),"",HYPERLINK(database_path,IF(J17="",E17,J17)))</f>
        <v>other_expense</v>
      </c>
    </row>
    <row r="18" spans="3:13" s="255" customFormat="1" ht="24.95" customHeight="1">
      <c r="C18" s="428">
        <v>11</v>
      </c>
      <c r="D18" s="437" t="s">
        <v>3512</v>
      </c>
      <c r="E18" s="437" t="s">
        <v>3478</v>
      </c>
      <c r="F18" s="437" t="s">
        <v>3527</v>
      </c>
      <c r="G18" s="428" t="s">
        <v>3523</v>
      </c>
      <c r="H18" s="437" t="s">
        <v>3507</v>
      </c>
      <c r="I18" s="437" t="s">
        <v>3512</v>
      </c>
      <c r="J18" s="1337" t="s">
        <v>3478</v>
      </c>
      <c r="K18" s="1337"/>
      <c r="L18" s="437" t="str">
        <f t="shared" si="0"/>
        <v>D:\OneDrive\YBA ADVISORY\B-Clients and Services\C024-KOK SNUOL\ks_system\report\purchase\vendor\</v>
      </c>
      <c r="M18" s="2123" t="str">
        <f>IF(AND(E18="",J18=""),"",HYPERLINK(database_path,IF(J18="",E18,J18)))</f>
        <v>vendor</v>
      </c>
    </row>
    <row r="19" spans="3:13" s="255" customFormat="1" ht="24.95" customHeight="1">
      <c r="C19" s="428">
        <v>12</v>
      </c>
      <c r="D19" s="437" t="s">
        <v>3513</v>
      </c>
      <c r="E19" s="437" t="s">
        <v>3479</v>
      </c>
      <c r="F19" s="437" t="s">
        <v>3527</v>
      </c>
      <c r="G19" s="428" t="s">
        <v>3523</v>
      </c>
      <c r="H19" s="437" t="s">
        <v>3507</v>
      </c>
      <c r="I19" s="437" t="s">
        <v>3513</v>
      </c>
      <c r="J19" s="1337" t="s">
        <v>3479</v>
      </c>
      <c r="K19" s="1337"/>
      <c r="L19" s="437" t="str">
        <f t="shared" si="0"/>
        <v>D:\OneDrive\YBA ADVISORY\B-Clients and Services\C024-KOK SNUOL\ks_system\report\sales\customer\</v>
      </c>
      <c r="M19" s="2123" t="str">
        <f>IF(AND(E19="",J19=""),"",HYPERLINK(database_path,IF(J19="",E19,J19)))</f>
        <v>customer</v>
      </c>
    </row>
    <row r="20" spans="3:13" s="255" customFormat="1" ht="24.95" customHeight="1">
      <c r="C20" s="428">
        <v>13</v>
      </c>
      <c r="D20" s="437" t="s">
        <v>3513</v>
      </c>
      <c r="E20" s="437" t="s">
        <v>3480</v>
      </c>
      <c r="F20" s="437" t="s">
        <v>3527</v>
      </c>
      <c r="G20" s="428" t="s">
        <v>3523</v>
      </c>
      <c r="H20" s="437" t="s">
        <v>3507</v>
      </c>
      <c r="I20" s="437" t="s">
        <v>3513</v>
      </c>
      <c r="J20" s="1337" t="s">
        <v>3480</v>
      </c>
      <c r="K20" s="1337"/>
      <c r="L20" s="437" t="str">
        <f t="shared" si="0"/>
        <v>D:\OneDrive\YBA ADVISORY\B-Clients and Services\C024-KOK SNUOL\ks_system\report\sales\quotation\</v>
      </c>
      <c r="M20" s="2123" t="str">
        <f>IF(AND(E20="",J20=""),"",HYPERLINK(database_path,IF(J20="",E20,J20)))</f>
        <v>quotation</v>
      </c>
    </row>
    <row r="21" spans="3:13" s="255" customFormat="1" ht="24.95" customHeight="1">
      <c r="C21" s="428">
        <v>14</v>
      </c>
      <c r="D21" s="437" t="s">
        <v>3513</v>
      </c>
      <c r="E21" s="437" t="s">
        <v>3481</v>
      </c>
      <c r="F21" s="437" t="s">
        <v>3527</v>
      </c>
      <c r="G21" s="428" t="s">
        <v>3523</v>
      </c>
      <c r="H21" s="437" t="s">
        <v>3507</v>
      </c>
      <c r="I21" s="437" t="s">
        <v>3513</v>
      </c>
      <c r="J21" s="1337" t="s">
        <v>3481</v>
      </c>
      <c r="K21" s="1337"/>
      <c r="L21" s="437" t="str">
        <f t="shared" si="0"/>
        <v>D:\OneDrive\YBA ADVISORY\B-Clients and Services\C024-KOK SNUOL\ks_system\report\sales\sales_order\</v>
      </c>
      <c r="M21" s="2123" t="str">
        <f>IF(AND(E21="",J21=""),"",HYPERLINK(database_path,IF(J21="",E21,J21)))</f>
        <v>sales_order</v>
      </c>
    </row>
    <row r="22" spans="3:13" s="255" customFormat="1" ht="24.95" customHeight="1">
      <c r="C22" s="428">
        <v>15</v>
      </c>
      <c r="D22" s="437" t="s">
        <v>3513</v>
      </c>
      <c r="E22" s="437" t="s">
        <v>3482</v>
      </c>
      <c r="F22" s="437" t="s">
        <v>3527</v>
      </c>
      <c r="G22" s="428" t="s">
        <v>3523</v>
      </c>
      <c r="H22" s="437" t="s">
        <v>3507</v>
      </c>
      <c r="I22" s="437" t="s">
        <v>3513</v>
      </c>
      <c r="J22" s="1337" t="s">
        <v>3482</v>
      </c>
      <c r="K22" s="1337"/>
      <c r="L22" s="437" t="str">
        <f t="shared" si="0"/>
        <v>D:\OneDrive\YBA ADVISORY\B-Clients and Services\C024-KOK SNUOL\ks_system\report\sales\sales_invoice\</v>
      </c>
      <c r="M22" s="2123" t="str">
        <f>IF(AND(E22="",J22=""),"",HYPERLINK(database_path,IF(J22="",E22,J22)))</f>
        <v>sales_invoice</v>
      </c>
    </row>
    <row r="23" spans="3:13" s="255" customFormat="1" ht="24.95" customHeight="1">
      <c r="C23" s="428">
        <v>16</v>
      </c>
      <c r="D23" s="437" t="s">
        <v>3513</v>
      </c>
      <c r="E23" s="437" t="s">
        <v>3483</v>
      </c>
      <c r="F23" s="437" t="s">
        <v>3527</v>
      </c>
      <c r="G23" s="428" t="s">
        <v>3523</v>
      </c>
      <c r="H23" s="437" t="s">
        <v>3507</v>
      </c>
      <c r="I23" s="437" t="s">
        <v>3513</v>
      </c>
      <c r="J23" s="1337" t="s">
        <v>3483</v>
      </c>
      <c r="K23" s="1337"/>
      <c r="L23" s="437" t="str">
        <f t="shared" si="0"/>
        <v>D:\OneDrive\YBA ADVISORY\B-Clients and Services\C024-KOK SNUOL\ks_system\report\sales\pos\</v>
      </c>
      <c r="M23" s="2123" t="str">
        <f>IF(AND(E23="",J23=""),"",HYPERLINK(database_path,IF(J23="",E23,J23)))</f>
        <v>pos</v>
      </c>
    </row>
    <row r="24" spans="3:13" s="255" customFormat="1" ht="24.95" customHeight="1">
      <c r="C24" s="428">
        <v>17</v>
      </c>
      <c r="D24" s="437" t="s">
        <v>3513</v>
      </c>
      <c r="E24" s="1328" t="s">
        <v>3484</v>
      </c>
      <c r="F24" s="437" t="s">
        <v>3527</v>
      </c>
      <c r="G24" s="428" t="s">
        <v>3523</v>
      </c>
      <c r="H24" s="437" t="s">
        <v>3507</v>
      </c>
      <c r="I24" s="437" t="s">
        <v>3513</v>
      </c>
      <c r="J24" s="1337" t="s">
        <v>3484</v>
      </c>
      <c r="K24" s="1337"/>
      <c r="L24" s="437" t="str">
        <f t="shared" si="0"/>
        <v>D:\OneDrive\YBA ADVISORY\B-Clients and Services\C024-KOK SNUOL\ks_system\report\sales\other_income\</v>
      </c>
      <c r="M24" s="2123" t="str">
        <f>IF(AND(E24="",J24=""),"",HYPERLINK(database_path,IF(J24="",E24,J24)))</f>
        <v>other_income</v>
      </c>
    </row>
    <row r="25" spans="3:13" s="255" customFormat="1" ht="24.95" customHeight="1">
      <c r="C25" s="428">
        <v>18</v>
      </c>
      <c r="D25" s="437" t="s">
        <v>3514</v>
      </c>
      <c r="E25" s="437" t="s">
        <v>3485</v>
      </c>
      <c r="F25" s="437" t="s">
        <v>3527</v>
      </c>
      <c r="G25" s="428" t="s">
        <v>3523</v>
      </c>
      <c r="H25" s="437" t="s">
        <v>3507</v>
      </c>
      <c r="I25" s="437" t="s">
        <v>3514</v>
      </c>
      <c r="J25" s="1337" t="s">
        <v>3485</v>
      </c>
      <c r="K25" s="1337"/>
      <c r="L25" s="437" t="str">
        <f t="shared" si="0"/>
        <v>D:\OneDrive\YBA ADVISORY\B-Clients and Services\C024-KOK SNUOL\ks_system\report\setting\employee_and_salary\</v>
      </c>
      <c r="M25" s="2123" t="str">
        <f>IF(AND(E25="",J25=""),"",HYPERLINK(database_path,IF(J25="",E25,J25)))</f>
        <v>employee_and_salary</v>
      </c>
    </row>
    <row r="26" spans="3:13" s="255" customFormat="1" ht="24.95" customHeight="1">
      <c r="C26" s="428">
        <v>19</v>
      </c>
      <c r="D26" s="437" t="s">
        <v>3514</v>
      </c>
      <c r="E26" s="437" t="s">
        <v>3486</v>
      </c>
      <c r="F26" s="437" t="s">
        <v>3527</v>
      </c>
      <c r="G26" s="428" t="s">
        <v>3523</v>
      </c>
      <c r="H26" s="437" t="s">
        <v>3507</v>
      </c>
      <c r="I26" s="437" t="s">
        <v>3514</v>
      </c>
      <c r="J26" s="1337" t="s">
        <v>3486</v>
      </c>
      <c r="K26" s="1337"/>
      <c r="L26" s="437" t="str">
        <f t="shared" si="0"/>
        <v>D:\OneDrive\YBA ADVISORY\B-Clients and Services\C024-KOK SNUOL\ks_system\report\setting\chart_account\</v>
      </c>
      <c r="M26" s="2123" t="str">
        <f>IF(AND(E26="",J26=""),"",HYPERLINK(database_path,IF(J26="",E26,J26)))</f>
        <v>chart_account</v>
      </c>
    </row>
    <row r="27" spans="3:13" ht="24.95" customHeight="1">
      <c r="C27" s="428">
        <v>20</v>
      </c>
      <c r="D27" s="437" t="s">
        <v>3520</v>
      </c>
      <c r="E27" s="437" t="s">
        <v>3487</v>
      </c>
      <c r="F27" s="437" t="s">
        <v>3527</v>
      </c>
      <c r="G27" s="428" t="s">
        <v>3523</v>
      </c>
      <c r="H27" s="437" t="s">
        <v>3507</v>
      </c>
      <c r="I27" s="437" t="s">
        <v>3520</v>
      </c>
      <c r="J27" s="1337" t="s">
        <v>3487</v>
      </c>
      <c r="K27" s="1337"/>
      <c r="L27" s="437" t="str">
        <f t="shared" si="0"/>
        <v>D:\OneDrive\YBA ADVISORY\B-Clients and Services\C024-KOK SNUOL\ks_system\report\report_customer_balance\customer_balance\</v>
      </c>
      <c r="M27" s="2123" t="str">
        <f>IF(AND(E27="",J27=""),"",HYPERLINK(database_path,IF(J27="",E27,J27)))</f>
        <v>customer_balance</v>
      </c>
    </row>
    <row r="28" spans="3:13" ht="24.95" customHeight="1">
      <c r="C28" s="428">
        <v>21</v>
      </c>
      <c r="D28" s="437" t="s">
        <v>3520</v>
      </c>
      <c r="E28" s="437" t="s">
        <v>3488</v>
      </c>
      <c r="F28" s="437" t="s">
        <v>3527</v>
      </c>
      <c r="G28" s="428" t="s">
        <v>3523</v>
      </c>
      <c r="H28" s="437" t="s">
        <v>3507</v>
      </c>
      <c r="I28" s="437" t="s">
        <v>3520</v>
      </c>
      <c r="J28" s="1337" t="s">
        <v>3488</v>
      </c>
      <c r="K28" s="1337"/>
      <c r="L28" s="437" t="str">
        <f t="shared" si="0"/>
        <v>D:\OneDrive\YBA ADVISORY\B-Clients and Services\C024-KOK SNUOL\ks_system\report\report_customer_balance\open_invoice\</v>
      </c>
      <c r="M28" s="2123" t="str">
        <f>IF(AND(E28="",J28=""),"",HYPERLINK(database_path,IF(J28="",E28,J28)))</f>
        <v>open_invoice</v>
      </c>
    </row>
    <row r="29" spans="3:13" ht="24.95" customHeight="1">
      <c r="C29" s="428">
        <v>22</v>
      </c>
      <c r="D29" s="437" t="s">
        <v>3520</v>
      </c>
      <c r="E29" s="437" t="s">
        <v>3489</v>
      </c>
      <c r="F29" s="437" t="s">
        <v>3527</v>
      </c>
      <c r="G29" s="428" t="s">
        <v>3523</v>
      </c>
      <c r="H29" s="437" t="s">
        <v>3507</v>
      </c>
      <c r="I29" s="437" t="s">
        <v>3520</v>
      </c>
      <c r="J29" s="1337" t="s">
        <v>3489</v>
      </c>
      <c r="K29" s="1337"/>
      <c r="L29" s="437" t="str">
        <f t="shared" si="0"/>
        <v>D:\OneDrive\YBA ADVISORY\B-Clients and Services\C024-KOK SNUOL\ks_system\report\report_customer_balance\customer_statement\</v>
      </c>
      <c r="M29" s="2123" t="str">
        <f>IF(AND(E29="",J29=""),"",HYPERLINK(database_path,IF(J29="",E29,J29)))</f>
        <v>customer_statement</v>
      </c>
    </row>
    <row r="30" spans="3:13" ht="24.95" customHeight="1">
      <c r="C30" s="428">
        <v>23</v>
      </c>
      <c r="D30" s="437" t="s">
        <v>3519</v>
      </c>
      <c r="E30" s="437" t="s">
        <v>3490</v>
      </c>
      <c r="F30" s="437" t="s">
        <v>3527</v>
      </c>
      <c r="G30" s="428" t="s">
        <v>3523</v>
      </c>
      <c r="H30" s="437" t="s">
        <v>3507</v>
      </c>
      <c r="I30" s="437" t="s">
        <v>3519</v>
      </c>
      <c r="J30" s="1337" t="s">
        <v>3490</v>
      </c>
      <c r="K30" s="1337"/>
      <c r="L30" s="437" t="str">
        <f t="shared" si="0"/>
        <v>D:\OneDrive\YBA ADVISORY\B-Clients and Services\C024-KOK SNUOL\ks_system\report\report_vendor_balance\vendor_balance\</v>
      </c>
      <c r="M30" s="2123" t="str">
        <f>IF(AND(E30="",J30=""),"",HYPERLINK(database_path,IF(J30="",E30,J30)))</f>
        <v>vendor_balance</v>
      </c>
    </row>
    <row r="31" spans="3:13" ht="24.95" customHeight="1">
      <c r="C31" s="428">
        <v>24</v>
      </c>
      <c r="D31" s="437" t="s">
        <v>3519</v>
      </c>
      <c r="E31" s="437" t="s">
        <v>3491</v>
      </c>
      <c r="F31" s="437" t="s">
        <v>3527</v>
      </c>
      <c r="G31" s="428" t="s">
        <v>3523</v>
      </c>
      <c r="H31" s="437" t="s">
        <v>3507</v>
      </c>
      <c r="I31" s="437" t="s">
        <v>3519</v>
      </c>
      <c r="J31" s="1337" t="s">
        <v>3491</v>
      </c>
      <c r="K31" s="1337"/>
      <c r="L31" s="437" t="str">
        <f t="shared" si="0"/>
        <v>D:\OneDrive\YBA ADVISORY\B-Clients and Services\C024-KOK SNUOL\ks_system\report\report_vendor_balance\open_bill\</v>
      </c>
      <c r="M31" s="2123" t="str">
        <f>IF(AND(E31="",J31=""),"",HYPERLINK(database_path,IF(J31="",E31,J31)))</f>
        <v>open_bill</v>
      </c>
    </row>
    <row r="32" spans="3:13" ht="24.95" customHeight="1">
      <c r="C32" s="428">
        <v>25</v>
      </c>
      <c r="D32" s="437" t="s">
        <v>3519</v>
      </c>
      <c r="E32" s="437" t="s">
        <v>3492</v>
      </c>
      <c r="F32" s="437" t="s">
        <v>3527</v>
      </c>
      <c r="G32" s="428" t="s">
        <v>3523</v>
      </c>
      <c r="H32" s="437" t="s">
        <v>3507</v>
      </c>
      <c r="I32" s="437" t="s">
        <v>3519</v>
      </c>
      <c r="J32" s="1337" t="s">
        <v>3492</v>
      </c>
      <c r="K32" s="1337"/>
      <c r="L32" s="437" t="str">
        <f t="shared" si="0"/>
        <v>D:\OneDrive\YBA ADVISORY\B-Clients and Services\C024-KOK SNUOL\ks_system\report\report_vendor_balance\vendor_statement\</v>
      </c>
      <c r="M32" s="2123" t="str">
        <f>IF(AND(E32="",J32=""),"",HYPERLINK(database_path,IF(J32="",E32,J32)))</f>
        <v>vendor_statement</v>
      </c>
    </row>
    <row r="33" spans="3:13" ht="24.95" customHeight="1">
      <c r="C33" s="428">
        <v>26</v>
      </c>
      <c r="D33" s="437" t="s">
        <v>3516</v>
      </c>
      <c r="E33" s="437" t="s">
        <v>3503</v>
      </c>
      <c r="F33" s="437" t="s">
        <v>3527</v>
      </c>
      <c r="G33" s="428" t="s">
        <v>3523</v>
      </c>
      <c r="H33" s="437" t="s">
        <v>3507</v>
      </c>
      <c r="I33" s="437" t="s">
        <v>3516</v>
      </c>
      <c r="J33" s="1337" t="s">
        <v>3503</v>
      </c>
      <c r="K33" s="1337"/>
      <c r="L33" s="437" t="str">
        <f t="shared" si="0"/>
        <v>D:\OneDrive\YBA ADVISORY\B-Clients and Services\C024-KOK SNUOL\ks_system\report\report_purchase\purchase_by_invoice\</v>
      </c>
      <c r="M33" s="2123" t="str">
        <f>IF(AND(E33="",J33=""),"",HYPERLINK(database_path,IF(J33="",E33,J33)))</f>
        <v>purchase_by_invoice</v>
      </c>
    </row>
    <row r="34" spans="3:13" ht="24.95" customHeight="1">
      <c r="C34" s="428">
        <v>27</v>
      </c>
      <c r="D34" s="437" t="s">
        <v>3516</v>
      </c>
      <c r="E34" s="437" t="s">
        <v>3504</v>
      </c>
      <c r="F34" s="437" t="s">
        <v>3527</v>
      </c>
      <c r="G34" s="428" t="s">
        <v>3523</v>
      </c>
      <c r="H34" s="437" t="s">
        <v>3507</v>
      </c>
      <c r="I34" s="437" t="s">
        <v>3516</v>
      </c>
      <c r="J34" s="1337" t="s">
        <v>3504</v>
      </c>
      <c r="K34" s="1337"/>
      <c r="L34" s="437" t="str">
        <f t="shared" si="0"/>
        <v>D:\OneDrive\YBA ADVISORY\B-Clients and Services\C024-KOK SNUOL\ks_system\report\report_purchase\purchase_by_item\</v>
      </c>
      <c r="M34" s="2123" t="str">
        <f>IF(AND(E34="",J34=""),"",HYPERLINK(database_path,IF(J34="",E34,J34)))</f>
        <v>purchase_by_item</v>
      </c>
    </row>
    <row r="35" spans="3:13" ht="24.95" customHeight="1">
      <c r="C35" s="428">
        <v>28</v>
      </c>
      <c r="D35" s="437" t="s">
        <v>3516</v>
      </c>
      <c r="E35" s="437" t="s">
        <v>3505</v>
      </c>
      <c r="F35" s="437" t="s">
        <v>3527</v>
      </c>
      <c r="G35" s="428" t="s">
        <v>3523</v>
      </c>
      <c r="H35" s="437" t="s">
        <v>3507</v>
      </c>
      <c r="I35" s="437" t="s">
        <v>3516</v>
      </c>
      <c r="J35" s="1337" t="s">
        <v>3505</v>
      </c>
      <c r="K35" s="1337"/>
      <c r="L35" s="437" t="str">
        <f t="shared" si="0"/>
        <v>D:\OneDrive\YBA ADVISORY\B-Clients and Services\C024-KOK SNUOL\ks_system\report\report_purchase\pay_bills \</v>
      </c>
      <c r="M35" s="2123" t="str">
        <f>IF(AND(E35="",J35=""),"",HYPERLINK(database_path,IF(J35="",E35,J35)))</f>
        <v xml:space="preserve">pay_bills </v>
      </c>
    </row>
    <row r="36" spans="3:13" ht="24.95" customHeight="1">
      <c r="C36" s="428">
        <v>29</v>
      </c>
      <c r="D36" s="437" t="s">
        <v>3516</v>
      </c>
      <c r="E36" s="437" t="s">
        <v>3506</v>
      </c>
      <c r="F36" s="437" t="s">
        <v>3527</v>
      </c>
      <c r="G36" s="428" t="s">
        <v>3523</v>
      </c>
      <c r="H36" s="437" t="s">
        <v>3507</v>
      </c>
      <c r="I36" s="437" t="s">
        <v>3516</v>
      </c>
      <c r="J36" s="1337" t="s">
        <v>3506</v>
      </c>
      <c r="K36" s="1337"/>
      <c r="L36" s="437" t="str">
        <f t="shared" si="0"/>
        <v>D:\OneDrive\YBA ADVISORY\B-Clients and Services\C024-KOK SNUOL\ks_system\report\report_purchase\cash_expenses\</v>
      </c>
      <c r="M36" s="2123" t="str">
        <f>IF(AND(E36="",J36=""),"",HYPERLINK(database_path,IF(J36="",E36,J36)))</f>
        <v>cash_expenses</v>
      </c>
    </row>
    <row r="37" spans="3:13" ht="24.95" customHeight="1">
      <c r="C37" s="428">
        <v>30</v>
      </c>
      <c r="D37" s="437" t="s">
        <v>3515</v>
      </c>
      <c r="E37" s="437" t="s">
        <v>3493</v>
      </c>
      <c r="F37" s="437" t="s">
        <v>3527</v>
      </c>
      <c r="G37" s="428" t="s">
        <v>3523</v>
      </c>
      <c r="H37" s="437" t="s">
        <v>3507</v>
      </c>
      <c r="I37" s="437" t="s">
        <v>3515</v>
      </c>
      <c r="J37" s="1337" t="s">
        <v>3493</v>
      </c>
      <c r="K37" s="1337"/>
      <c r="L37" s="437" t="str">
        <f t="shared" si="0"/>
        <v>D:\OneDrive\YBA ADVISORY\B-Clients and Services\C024-KOK SNUOL\ks_system\report\report_sales\sales_by_item\</v>
      </c>
      <c r="M37" s="2123" t="str">
        <f>IF(AND(E37="",J37=""),"",HYPERLINK(database_path,IF(J37="",E37,J37)))</f>
        <v>sales_by_item</v>
      </c>
    </row>
    <row r="38" spans="3:13" ht="24.95" customHeight="1">
      <c r="C38" s="428">
        <v>31</v>
      </c>
      <c r="D38" s="437" t="s">
        <v>3515</v>
      </c>
      <c r="E38" s="437" t="s">
        <v>3494</v>
      </c>
      <c r="F38" s="437" t="s">
        <v>3527</v>
      </c>
      <c r="G38" s="428" t="s">
        <v>3523</v>
      </c>
      <c r="H38" s="437" t="s">
        <v>3507</v>
      </c>
      <c r="I38" s="437" t="s">
        <v>3515</v>
      </c>
      <c r="J38" s="1337" t="s">
        <v>3494</v>
      </c>
      <c r="K38" s="1337"/>
      <c r="L38" s="437" t="str">
        <f t="shared" si="0"/>
        <v>D:\OneDrive\YBA ADVISORY\B-Clients and Services\C024-KOK SNUOL\ks_system\report\report_sales\sales_by_item_customer\</v>
      </c>
      <c r="M38" s="2123" t="str">
        <f>IF(AND(E38="",J38=""),"",HYPERLINK(database_path,IF(J38="",E38,J38)))</f>
        <v>sales_by_item_customer</v>
      </c>
    </row>
    <row r="39" spans="3:13" ht="24.95" customHeight="1">
      <c r="C39" s="428">
        <v>32</v>
      </c>
      <c r="D39" s="437" t="s">
        <v>3515</v>
      </c>
      <c r="E39" s="437" t="s">
        <v>3495</v>
      </c>
      <c r="F39" s="437" t="s">
        <v>3527</v>
      </c>
      <c r="G39" s="428" t="s">
        <v>3523</v>
      </c>
      <c r="H39" s="437" t="s">
        <v>3507</v>
      </c>
      <c r="I39" s="437" t="s">
        <v>3515</v>
      </c>
      <c r="J39" s="1337" t="s">
        <v>3495</v>
      </c>
      <c r="K39" s="1337"/>
      <c r="L39" s="437" t="str">
        <f t="shared" si="0"/>
        <v>D:\OneDrive\YBA ADVISORY\B-Clients and Services\C024-KOK SNUOL\ks_system\report\report_sales\total_sale\</v>
      </c>
      <c r="M39" s="2123" t="str">
        <f>IF(AND(E39="",J39=""),"",HYPERLINK(database_path,IF(J39="",E39,J39)))</f>
        <v>total_sale</v>
      </c>
    </row>
    <row r="40" spans="3:13" ht="24.95" customHeight="1">
      <c r="C40" s="428">
        <v>33</v>
      </c>
      <c r="D40" s="437" t="s">
        <v>3517</v>
      </c>
      <c r="E40" s="437" t="s">
        <v>3496</v>
      </c>
      <c r="F40" s="437" t="s">
        <v>3527</v>
      </c>
      <c r="G40" s="428" t="s">
        <v>3523</v>
      </c>
      <c r="H40" s="437" t="s">
        <v>3507</v>
      </c>
      <c r="I40" s="437" t="s">
        <v>3517</v>
      </c>
      <c r="J40" s="1337" t="s">
        <v>3496</v>
      </c>
      <c r="K40" s="1337"/>
      <c r="L40" s="437" t="str">
        <f t="shared" si="0"/>
        <v>D:\OneDrive\YBA ADVISORY\B-Clients and Services\C024-KOK SNUOL\ks_system\report\report_inventory\gloable_inventory\</v>
      </c>
      <c r="M40" s="2123" t="str">
        <f>IF(AND(E40="",J40=""),"",HYPERLINK(database_path,IF(J40="",E40,J40)))</f>
        <v>gloable_inventory</v>
      </c>
    </row>
    <row r="41" spans="3:13" ht="24.95" customHeight="1">
      <c r="C41" s="428">
        <v>34</v>
      </c>
      <c r="D41" s="437" t="s">
        <v>3517</v>
      </c>
      <c r="E41" s="437" t="s">
        <v>3497</v>
      </c>
      <c r="F41" s="437" t="s">
        <v>3527</v>
      </c>
      <c r="G41" s="428" t="s">
        <v>3523</v>
      </c>
      <c r="H41" s="437" t="s">
        <v>3507</v>
      </c>
      <c r="I41" s="437" t="s">
        <v>3517</v>
      </c>
      <c r="J41" s="1337" t="s">
        <v>3497</v>
      </c>
      <c r="K41" s="1337"/>
      <c r="L41" s="437" t="str">
        <f t="shared" si="0"/>
        <v>D:\OneDrive\YBA ADVISORY\B-Clients and Services\C024-KOK SNUOL\ks_system\report\report_inventory\inventory_activity\</v>
      </c>
      <c r="M41" s="2123" t="str">
        <f>IF(AND(E41="",J41=""),"",HYPERLINK(database_path,IF(J41="",E41,J41)))</f>
        <v>inventory_activity</v>
      </c>
    </row>
    <row r="42" spans="3:13" ht="24.95" customHeight="1">
      <c r="C42" s="428">
        <v>35</v>
      </c>
      <c r="D42" s="437" t="s">
        <v>3517</v>
      </c>
      <c r="E42" s="437" t="s">
        <v>3498</v>
      </c>
      <c r="F42" s="437" t="s">
        <v>3527</v>
      </c>
      <c r="G42" s="428" t="s">
        <v>3523</v>
      </c>
      <c r="H42" s="437" t="s">
        <v>3507</v>
      </c>
      <c r="I42" s="437" t="s">
        <v>3517</v>
      </c>
      <c r="J42" s="1337" t="s">
        <v>3498</v>
      </c>
      <c r="K42" s="1337"/>
      <c r="L42" s="437" t="str">
        <f t="shared" si="0"/>
        <v>D:\OneDrive\YBA ADVISORY\B-Clients and Services\C024-KOK SNUOL\ks_system\report\report_inventory\inventory_valuation\</v>
      </c>
      <c r="M42" s="2123" t="str">
        <f>IF(AND(E42="",J42=""),"",HYPERLINK(database_path,IF(J42="",E42,J42)))</f>
        <v>inventory_valuation</v>
      </c>
    </row>
    <row r="43" spans="3:13" ht="24.95" customHeight="1">
      <c r="C43" s="428">
        <v>36</v>
      </c>
      <c r="D43" s="437" t="s">
        <v>3518</v>
      </c>
      <c r="E43" s="437" t="s">
        <v>3499</v>
      </c>
      <c r="F43" s="437" t="s">
        <v>3527</v>
      </c>
      <c r="G43" s="428" t="s">
        <v>3523</v>
      </c>
      <c r="H43" s="437" t="s">
        <v>3507</v>
      </c>
      <c r="I43" s="437" t="s">
        <v>3518</v>
      </c>
      <c r="J43" s="1337" t="s">
        <v>3499</v>
      </c>
      <c r="K43" s="1337"/>
      <c r="L43" s="437" t="str">
        <f t="shared" si="0"/>
        <v>D:\OneDrive\YBA ADVISORY\B-Clients and Services\C024-KOK SNUOL\ks_system\report\report_accounting\journal_entry\</v>
      </c>
      <c r="M43" s="2123" t="str">
        <f>IF(AND(E43="",J43=""),"",HYPERLINK(database_path,IF(J43="",E43,J43)))</f>
        <v>journal_entry</v>
      </c>
    </row>
    <row r="44" spans="3:13" ht="24.95" customHeight="1">
      <c r="C44" s="428">
        <v>37</v>
      </c>
      <c r="D44" s="437" t="s">
        <v>3518</v>
      </c>
      <c r="E44" s="437" t="s">
        <v>3500</v>
      </c>
      <c r="F44" s="437" t="s">
        <v>3527</v>
      </c>
      <c r="G44" s="428" t="s">
        <v>3523</v>
      </c>
      <c r="H44" s="437" t="s">
        <v>3507</v>
      </c>
      <c r="I44" s="437" t="s">
        <v>3518</v>
      </c>
      <c r="J44" s="1337" t="s">
        <v>3500</v>
      </c>
      <c r="K44" s="1337"/>
      <c r="L44" s="437" t="str">
        <f t="shared" si="0"/>
        <v>D:\OneDrive\YBA ADVISORY\B-Clients and Services\C024-KOK SNUOL\ks_system\report\report_accounting\general_ledger\</v>
      </c>
      <c r="M44" s="2123" t="str">
        <f>IF(AND(E44="",J44=""),"",HYPERLINK(database_path,IF(J44="",E44,J44)))</f>
        <v>general_ledger</v>
      </c>
    </row>
    <row r="45" spans="3:13" ht="24.95" customHeight="1">
      <c r="C45" s="428">
        <v>38</v>
      </c>
      <c r="D45" s="437" t="s">
        <v>3518</v>
      </c>
      <c r="E45" s="437" t="s">
        <v>3501</v>
      </c>
      <c r="F45" s="437" t="s">
        <v>3527</v>
      </c>
      <c r="G45" s="428" t="s">
        <v>3523</v>
      </c>
      <c r="H45" s="437" t="s">
        <v>3507</v>
      </c>
      <c r="I45" s="437" t="s">
        <v>3518</v>
      </c>
      <c r="J45" s="1337" t="s">
        <v>3501</v>
      </c>
      <c r="K45" s="1337"/>
      <c r="L45" s="437" t="str">
        <f t="shared" si="0"/>
        <v>D:\OneDrive\YBA ADVISORY\B-Clients and Services\C024-KOK SNUOL\ks_system\report\report_accounting\balance_sheet\</v>
      </c>
      <c r="M45" s="2123" t="str">
        <f>IF(AND(E45="",J45=""),"",HYPERLINK(database_path,IF(J45="",E45,J45)))</f>
        <v>balance_sheet</v>
      </c>
    </row>
    <row r="46" spans="3:13" ht="24.95" customHeight="1">
      <c r="C46" s="428">
        <v>39</v>
      </c>
      <c r="D46" s="437" t="s">
        <v>3518</v>
      </c>
      <c r="E46" s="437" t="s">
        <v>3502</v>
      </c>
      <c r="F46" s="437" t="s">
        <v>3527</v>
      </c>
      <c r="G46" s="428" t="s">
        <v>3523</v>
      </c>
      <c r="H46" s="437" t="s">
        <v>3507</v>
      </c>
      <c r="I46" s="437" t="s">
        <v>3518</v>
      </c>
      <c r="J46" s="1337" t="s">
        <v>3502</v>
      </c>
      <c r="K46" s="1337"/>
      <c r="L46" s="437" t="str">
        <f t="shared" si="0"/>
        <v>D:\OneDrive\YBA ADVISORY\B-Clients and Services\C024-KOK SNUOL\ks_system\report\report_accounting\profit_loss\</v>
      </c>
      <c r="M46" s="2123" t="str">
        <f>IF(AND(E46="",J46=""),"",HYPERLINK(database_path,IF(J46="",E46,J46)))</f>
        <v>profit_loss</v>
      </c>
    </row>
    <row r="47" spans="3:13" ht="24.95" customHeight="1">
      <c r="C47" s="428"/>
      <c r="D47" s="437"/>
      <c r="E47" s="437"/>
      <c r="F47" s="437"/>
      <c r="G47" s="428"/>
      <c r="H47" s="428"/>
      <c r="I47" s="437"/>
      <c r="J47" s="1337"/>
      <c r="K47" s="1337"/>
      <c r="L47" s="437" t="str">
        <f t="shared" ref="L47:L50" si="1">IF(F47="","",F47)&amp;IF(G47="","",G47&amp;"\")&amp;IF(H47="","",H47&amp;"\")&amp;IF(I47="","",I47&amp;"\")&amp;IF(J47="","",J47&amp;"\")&amp;IF(K47="","",K47&amp;"\")</f>
        <v/>
      </c>
      <c r="M47" s="2123" t="str">
        <f>IF(AND(E47="",J47=""),"",HYPERLINK(database_path,IF(J47="",E47,J47)))</f>
        <v/>
      </c>
    </row>
    <row r="48" spans="3:13" ht="24.95" customHeight="1">
      <c r="C48" s="428"/>
      <c r="D48" s="437"/>
      <c r="E48" s="437"/>
      <c r="F48" s="437"/>
      <c r="G48" s="428"/>
      <c r="H48" s="428"/>
      <c r="I48" s="437"/>
      <c r="J48" s="1337"/>
      <c r="K48" s="1337"/>
      <c r="L48" s="437" t="str">
        <f t="shared" si="1"/>
        <v/>
      </c>
      <c r="M48" s="2123" t="str">
        <f>IF(AND(E48="",J48=""),"",HYPERLINK(database_path,IF(J48="",E48,J48)))</f>
        <v/>
      </c>
    </row>
    <row r="49" spans="3:13" ht="24.95" customHeight="1">
      <c r="C49" s="428"/>
      <c r="D49" s="437"/>
      <c r="E49" s="437"/>
      <c r="F49" s="437"/>
      <c r="G49" s="428"/>
      <c r="H49" s="428"/>
      <c r="I49" s="437"/>
      <c r="J49" s="1337"/>
      <c r="K49" s="1337"/>
      <c r="L49" s="437" t="str">
        <f t="shared" si="1"/>
        <v/>
      </c>
      <c r="M49" s="2123" t="str">
        <f>IF(AND(E49="",J49=""),"",HYPERLINK(database_path,IF(J49="",E49,J49)))</f>
        <v/>
      </c>
    </row>
    <row r="50" spans="3:13" ht="24.95" customHeight="1">
      <c r="C50" s="428"/>
      <c r="D50" s="437"/>
      <c r="E50" s="437"/>
      <c r="F50" s="437"/>
      <c r="G50" s="428"/>
      <c r="H50" s="428"/>
      <c r="I50" s="437"/>
      <c r="J50" s="1337"/>
      <c r="K50" s="1337"/>
      <c r="L50" s="437" t="str">
        <f t="shared" si="1"/>
        <v/>
      </c>
      <c r="M50" s="2123" t="str">
        <f>IF(AND(E50="",J50=""),"",HYPERLINK(database_path,IF(J50="",E50,J50)))</f>
        <v/>
      </c>
    </row>
  </sheetData>
  <dataValidations count="1">
    <dataValidation type="list" allowBlank="1" showInputMessage="1" showErrorMessage="1" sqref="F8:F46" xr:uid="{37CD0C35-CE94-4512-B761-12E8BD5A4A45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8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891" t="s">
        <v>47</v>
      </c>
      <c r="D6" s="976" t="s">
        <v>237</v>
      </c>
      <c r="E6" s="976" t="s">
        <v>308</v>
      </c>
      <c r="F6" s="976" t="s">
        <v>224</v>
      </c>
    </row>
    <row r="7" spans="3:7" ht="18.75" customHeight="1">
      <c r="C7" s="1081" t="s">
        <v>1659</v>
      </c>
      <c r="D7" s="1082" t="s">
        <v>12</v>
      </c>
      <c r="E7" s="1082" t="s">
        <v>321</v>
      </c>
      <c r="F7" s="1082" t="s">
        <v>1743</v>
      </c>
    </row>
    <row r="8" spans="3:7" ht="23.25">
      <c r="C8" s="646">
        <v>1</v>
      </c>
      <c r="D8" s="399" t="s">
        <v>1762</v>
      </c>
      <c r="E8" s="382" t="s">
        <v>1763</v>
      </c>
      <c r="F8" s="646">
        <v>1</v>
      </c>
      <c r="G8" s="128" t="str">
        <f>IF(AND(C8&lt;&gt;"",D8&lt;&gt;""),TEXT(C8,"000")&amp;"."&amp;D8,"")</f>
        <v>001.Cash and Bank</v>
      </c>
    </row>
    <row r="9" spans="3:7" ht="23.25">
      <c r="C9" s="646">
        <v>2</v>
      </c>
      <c r="D9" s="399" t="s">
        <v>643</v>
      </c>
      <c r="E9" s="382" t="s">
        <v>1010</v>
      </c>
      <c r="F9" s="646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646">
        <v>3</v>
      </c>
      <c r="D10" s="399" t="s">
        <v>1764</v>
      </c>
      <c r="E10" s="382" t="s">
        <v>1765</v>
      </c>
      <c r="F10" s="646">
        <v>1</v>
      </c>
      <c r="G10" s="128" t="str">
        <f t="shared" si="0"/>
        <v>003.Other Current Asset</v>
      </c>
    </row>
    <row r="11" spans="3:7" ht="23.25">
      <c r="C11" s="646">
        <v>4</v>
      </c>
      <c r="D11" s="399" t="s">
        <v>1725</v>
      </c>
      <c r="E11" s="382" t="s">
        <v>1766</v>
      </c>
      <c r="F11" s="646">
        <v>1</v>
      </c>
      <c r="G11" s="128" t="str">
        <f t="shared" si="0"/>
        <v>004.Fixed Asset</v>
      </c>
    </row>
    <row r="12" spans="3:7" ht="23.25">
      <c r="C12" s="646">
        <v>5</v>
      </c>
      <c r="D12" s="399" t="s">
        <v>1767</v>
      </c>
      <c r="E12" s="382" t="s">
        <v>1768</v>
      </c>
      <c r="F12" s="646">
        <v>1</v>
      </c>
      <c r="G12" s="128" t="str">
        <f t="shared" si="0"/>
        <v>005.Other Asset</v>
      </c>
    </row>
    <row r="13" spans="3:7" ht="23.25">
      <c r="C13" s="646">
        <v>6</v>
      </c>
      <c r="D13" s="399" t="s">
        <v>639</v>
      </c>
      <c r="E13" s="382" t="s">
        <v>1769</v>
      </c>
      <c r="F13" s="646">
        <v>1</v>
      </c>
      <c r="G13" s="128" t="str">
        <f t="shared" si="0"/>
        <v>006.Accounts Payable</v>
      </c>
    </row>
    <row r="14" spans="3:7" ht="23.25">
      <c r="C14" s="646">
        <v>7</v>
      </c>
      <c r="D14" s="399" t="s">
        <v>1770</v>
      </c>
      <c r="E14" s="382" t="s">
        <v>1771</v>
      </c>
      <c r="F14" s="646">
        <v>1</v>
      </c>
      <c r="G14" s="128" t="str">
        <f t="shared" si="0"/>
        <v>007.Credit Card</v>
      </c>
    </row>
    <row r="15" spans="3:7" ht="23.25">
      <c r="C15" s="646">
        <v>8</v>
      </c>
      <c r="D15" s="399" t="s">
        <v>1772</v>
      </c>
      <c r="E15" s="382" t="s">
        <v>1773</v>
      </c>
      <c r="F15" s="646">
        <v>1</v>
      </c>
      <c r="G15" s="128" t="str">
        <f t="shared" si="0"/>
        <v>008.Other Current Liability</v>
      </c>
    </row>
    <row r="16" spans="3:7" ht="23.25">
      <c r="C16" s="646">
        <v>9</v>
      </c>
      <c r="D16" s="399" t="s">
        <v>1774</v>
      </c>
      <c r="E16" s="382" t="s">
        <v>1775</v>
      </c>
      <c r="F16" s="646">
        <v>1</v>
      </c>
      <c r="G16" s="128" t="str">
        <f t="shared" si="0"/>
        <v>009.Long Term Liability</v>
      </c>
    </row>
    <row r="17" spans="3:7" ht="23.25">
      <c r="C17" s="646">
        <v>10</v>
      </c>
      <c r="D17" s="399" t="s">
        <v>1776</v>
      </c>
      <c r="E17" s="382" t="s">
        <v>1777</v>
      </c>
      <c r="F17" s="646">
        <v>1</v>
      </c>
      <c r="G17" s="128" t="str">
        <f t="shared" si="0"/>
        <v>010.Equity</v>
      </c>
    </row>
    <row r="18" spans="3:7" ht="23.25">
      <c r="C18" s="646">
        <v>11</v>
      </c>
      <c r="D18" s="399" t="s">
        <v>1778</v>
      </c>
      <c r="E18" s="382" t="s">
        <v>1779</v>
      </c>
      <c r="F18" s="646">
        <v>1</v>
      </c>
      <c r="G18" s="128" t="str">
        <f t="shared" si="0"/>
        <v>011.Income</v>
      </c>
    </row>
    <row r="19" spans="3:7" ht="23.25">
      <c r="C19" s="646">
        <v>12</v>
      </c>
      <c r="D19" s="399" t="s">
        <v>1780</v>
      </c>
      <c r="E19" s="382" t="s">
        <v>1781</v>
      </c>
      <c r="F19" s="646">
        <v>1</v>
      </c>
      <c r="G19" s="128" t="str">
        <f t="shared" si="0"/>
        <v>012.Cost of Goods Sold</v>
      </c>
    </row>
    <row r="20" spans="3:7" ht="23.25">
      <c r="C20" s="646">
        <v>13</v>
      </c>
      <c r="D20" s="399" t="s">
        <v>1782</v>
      </c>
      <c r="E20" s="382" t="s">
        <v>1783</v>
      </c>
      <c r="F20" s="646">
        <v>1</v>
      </c>
      <c r="G20" s="128" t="str">
        <f t="shared" si="0"/>
        <v>013.Expense</v>
      </c>
    </row>
    <row r="21" spans="3:7" ht="23.25">
      <c r="C21" s="646">
        <v>14</v>
      </c>
      <c r="D21" s="399" t="s">
        <v>1784</v>
      </c>
      <c r="E21" s="382" t="s">
        <v>1785</v>
      </c>
      <c r="F21" s="646">
        <v>1</v>
      </c>
      <c r="G21" s="128" t="str">
        <f t="shared" si="0"/>
        <v>014.Other Income</v>
      </c>
    </row>
    <row r="22" spans="3:7" ht="23.25">
      <c r="C22" s="646">
        <v>15</v>
      </c>
      <c r="D22" s="399" t="s">
        <v>1786</v>
      </c>
      <c r="E22" s="382" t="s">
        <v>1787</v>
      </c>
      <c r="F22" s="646">
        <v>1</v>
      </c>
      <c r="G22" s="128" t="str">
        <f t="shared" si="0"/>
        <v>015.Other Expense</v>
      </c>
    </row>
  </sheetData>
  <phoneticPr fontId="3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9" activePane="bottomLeft" state="frozen"/>
      <selection pane="bottomLeft" activeCell="E26" sqref="E26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1006" t="s">
        <v>47</v>
      </c>
      <c r="D6" s="1006" t="s">
        <v>1878</v>
      </c>
      <c r="E6" s="1072" t="s">
        <v>237</v>
      </c>
      <c r="F6" s="1072" t="s">
        <v>308</v>
      </c>
      <c r="G6" s="1072" t="s">
        <v>1879</v>
      </c>
      <c r="H6" s="1072" t="s">
        <v>224</v>
      </c>
    </row>
    <row r="7" spans="3:9" ht="22.5" customHeight="1">
      <c r="C7" s="1081" t="s">
        <v>268</v>
      </c>
      <c r="D7" s="1081" t="s">
        <v>1874</v>
      </c>
      <c r="E7" s="1082" t="s">
        <v>12</v>
      </c>
      <c r="F7" s="1082" t="s">
        <v>116</v>
      </c>
      <c r="G7" s="1082" t="s">
        <v>1877</v>
      </c>
      <c r="H7" s="1082" t="s">
        <v>1743</v>
      </c>
    </row>
    <row r="8" spans="3:9" ht="23.25">
      <c r="C8" s="273" t="s">
        <v>49</v>
      </c>
      <c r="D8" s="273">
        <v>1</v>
      </c>
      <c r="E8" s="275" t="s">
        <v>1788</v>
      </c>
      <c r="F8" s="274" t="s">
        <v>1789</v>
      </c>
      <c r="G8" s="273">
        <v>0</v>
      </c>
      <c r="H8" s="273">
        <v>1</v>
      </c>
      <c r="I8" s="128" t="str">
        <f>IF(AND(C8&lt;&gt;"",E8&lt;&gt;""),TEXT(C8,"000")&amp;"."&amp;E8,"")</f>
        <v>001.Cash at Bank</v>
      </c>
    </row>
    <row r="9" spans="3:9" ht="23.25">
      <c r="C9" s="273" t="s">
        <v>52</v>
      </c>
      <c r="D9" s="273">
        <v>1</v>
      </c>
      <c r="E9" s="275" t="s">
        <v>1790</v>
      </c>
      <c r="F9" s="274" t="s">
        <v>1791</v>
      </c>
      <c r="G9" s="273">
        <v>0</v>
      </c>
      <c r="H9" s="273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273" t="s">
        <v>54</v>
      </c>
      <c r="D10" s="273">
        <v>2</v>
      </c>
      <c r="E10" s="275" t="s">
        <v>1792</v>
      </c>
      <c r="F10" s="274" t="s">
        <v>1010</v>
      </c>
      <c r="G10" s="273">
        <v>0</v>
      </c>
      <c r="H10" s="273">
        <v>1</v>
      </c>
      <c r="I10" s="128" t="str">
        <f t="shared" si="0"/>
        <v>003.Account Receivable</v>
      </c>
    </row>
    <row r="11" spans="3:9" ht="23.25">
      <c r="C11" s="273" t="s">
        <v>56</v>
      </c>
      <c r="D11" s="273">
        <v>2</v>
      </c>
      <c r="E11" s="275" t="s">
        <v>1793</v>
      </c>
      <c r="F11" s="274" t="s">
        <v>1794</v>
      </c>
      <c r="G11" s="273">
        <v>0</v>
      </c>
      <c r="H11" s="273">
        <v>1</v>
      </c>
      <c r="I11" s="128" t="str">
        <f t="shared" si="0"/>
        <v>004.Notes Receivable</v>
      </c>
    </row>
    <row r="12" spans="3:9" ht="23.25">
      <c r="C12" s="273" t="s">
        <v>57</v>
      </c>
      <c r="D12" s="273">
        <v>3</v>
      </c>
      <c r="E12" s="275" t="s">
        <v>1795</v>
      </c>
      <c r="F12" s="274" t="s">
        <v>1765</v>
      </c>
      <c r="G12" s="273">
        <v>0</v>
      </c>
      <c r="H12" s="273">
        <v>1</v>
      </c>
      <c r="I12" s="128" t="str">
        <f t="shared" si="0"/>
        <v>005.Other current assets</v>
      </c>
    </row>
    <row r="13" spans="3:9" ht="23.25">
      <c r="C13" s="273" t="s">
        <v>58</v>
      </c>
      <c r="D13" s="273">
        <v>3</v>
      </c>
      <c r="E13" s="275" t="s">
        <v>238</v>
      </c>
      <c r="F13" s="274" t="s">
        <v>1001</v>
      </c>
      <c r="G13" s="273">
        <v>0</v>
      </c>
      <c r="H13" s="273">
        <v>1</v>
      </c>
      <c r="I13" s="128" t="str">
        <f t="shared" si="0"/>
        <v>006.Inventory</v>
      </c>
    </row>
    <row r="14" spans="3:9" ht="23.25">
      <c r="C14" s="273" t="s">
        <v>1613</v>
      </c>
      <c r="D14" s="273">
        <v>3</v>
      </c>
      <c r="E14" s="275" t="s">
        <v>1796</v>
      </c>
      <c r="F14" s="274" t="s">
        <v>1797</v>
      </c>
      <c r="G14" s="273">
        <v>0</v>
      </c>
      <c r="H14" s="273">
        <v>1</v>
      </c>
      <c r="I14" s="128" t="str">
        <f t="shared" si="0"/>
        <v>007.Prepaid Expense</v>
      </c>
    </row>
    <row r="15" spans="3:9" ht="23.25">
      <c r="C15" s="273" t="s">
        <v>1614</v>
      </c>
      <c r="D15" s="273">
        <v>4</v>
      </c>
      <c r="E15" s="275" t="s">
        <v>1798</v>
      </c>
      <c r="F15" s="274" t="s">
        <v>1766</v>
      </c>
      <c r="G15" s="273">
        <v>0</v>
      </c>
      <c r="H15" s="273">
        <v>1</v>
      </c>
      <c r="I15" s="128" t="str">
        <f t="shared" si="0"/>
        <v>008.Fixed assets</v>
      </c>
    </row>
    <row r="16" spans="3:9" ht="23.25">
      <c r="C16" s="273" t="s">
        <v>1615</v>
      </c>
      <c r="D16" s="273">
        <v>5</v>
      </c>
      <c r="E16" s="275" t="s">
        <v>1799</v>
      </c>
      <c r="F16" s="274" t="s">
        <v>1768</v>
      </c>
      <c r="G16" s="273">
        <v>0</v>
      </c>
      <c r="H16" s="273">
        <v>1</v>
      </c>
      <c r="I16" s="128" t="str">
        <f t="shared" si="0"/>
        <v>009.Other asset</v>
      </c>
    </row>
    <row r="17" spans="3:9" ht="23.25">
      <c r="C17" s="273" t="s">
        <v>25</v>
      </c>
      <c r="D17" s="273">
        <v>6</v>
      </c>
      <c r="E17" s="275" t="s">
        <v>1800</v>
      </c>
      <c r="F17" s="274" t="s">
        <v>1801</v>
      </c>
      <c r="G17" s="273">
        <v>0</v>
      </c>
      <c r="H17" s="273">
        <v>1</v>
      </c>
      <c r="I17" s="128" t="str">
        <f t="shared" si="0"/>
        <v>010.Account payables</v>
      </c>
    </row>
    <row r="18" spans="3:9" ht="23.25">
      <c r="C18" s="273" t="s">
        <v>27</v>
      </c>
      <c r="D18" s="273">
        <v>8</v>
      </c>
      <c r="E18" s="275" t="s">
        <v>1802</v>
      </c>
      <c r="F18" s="274" t="s">
        <v>1773</v>
      </c>
      <c r="G18" s="273">
        <v>0</v>
      </c>
      <c r="H18" s="273">
        <v>1</v>
      </c>
      <c r="I18" s="128" t="str">
        <f t="shared" si="0"/>
        <v>011.Other Current Liabilities</v>
      </c>
    </row>
    <row r="19" spans="3:9" ht="23.25">
      <c r="C19" s="273" t="s">
        <v>36</v>
      </c>
      <c r="D19" s="273">
        <v>8</v>
      </c>
      <c r="E19" s="275" t="s">
        <v>1803</v>
      </c>
      <c r="F19" s="274" t="s">
        <v>1804</v>
      </c>
      <c r="G19" s="273">
        <v>0</v>
      </c>
      <c r="H19" s="273">
        <v>1</v>
      </c>
      <c r="I19" s="128" t="str">
        <f t="shared" si="0"/>
        <v>012.Current liaiblities</v>
      </c>
    </row>
    <row r="20" spans="3:9" ht="23.25">
      <c r="C20" s="273" t="s">
        <v>38</v>
      </c>
      <c r="D20" s="273">
        <v>9</v>
      </c>
      <c r="E20" s="275" t="s">
        <v>1805</v>
      </c>
      <c r="F20" s="274" t="s">
        <v>1775</v>
      </c>
      <c r="G20" s="273">
        <v>0</v>
      </c>
      <c r="H20" s="273">
        <v>1</v>
      </c>
      <c r="I20" s="128" t="str">
        <f t="shared" si="0"/>
        <v>013.Long-term liabilities</v>
      </c>
    </row>
    <row r="21" spans="3:9" ht="23.25">
      <c r="C21" s="273" t="s">
        <v>39</v>
      </c>
      <c r="D21" s="273">
        <v>10</v>
      </c>
      <c r="E21" s="275" t="s">
        <v>1806</v>
      </c>
      <c r="F21" s="274" t="s">
        <v>1807</v>
      </c>
      <c r="G21" s="273">
        <v>0</v>
      </c>
      <c r="H21" s="273">
        <v>1</v>
      </c>
      <c r="I21" s="128" t="str">
        <f t="shared" si="0"/>
        <v>014.Share Capital</v>
      </c>
    </row>
    <row r="22" spans="3:9" ht="23.25">
      <c r="C22" s="273" t="s">
        <v>40</v>
      </c>
      <c r="D22" s="273">
        <v>10</v>
      </c>
      <c r="E22" s="275" t="s">
        <v>1808</v>
      </c>
      <c r="F22" s="274" t="s">
        <v>1809</v>
      </c>
      <c r="G22" s="273">
        <v>0</v>
      </c>
      <c r="H22" s="273">
        <v>1</v>
      </c>
      <c r="I22" s="128" t="str">
        <f t="shared" si="0"/>
        <v>015.Retained Earning</v>
      </c>
    </row>
    <row r="23" spans="3:9" ht="23.25">
      <c r="C23" s="273" t="s">
        <v>41</v>
      </c>
      <c r="D23" s="273">
        <v>10</v>
      </c>
      <c r="E23" s="275" t="s">
        <v>1776</v>
      </c>
      <c r="F23" s="274" t="s">
        <v>1777</v>
      </c>
      <c r="G23" s="273">
        <v>0</v>
      </c>
      <c r="H23" s="273">
        <v>1</v>
      </c>
      <c r="I23" s="128" t="str">
        <f t="shared" si="0"/>
        <v>016.Equity</v>
      </c>
    </row>
    <row r="24" spans="3:9" ht="23.25">
      <c r="C24" s="273" t="s">
        <v>42</v>
      </c>
      <c r="D24" s="273">
        <v>11</v>
      </c>
      <c r="E24" s="275" t="s">
        <v>1778</v>
      </c>
      <c r="F24" s="274" t="s">
        <v>1810</v>
      </c>
      <c r="G24" s="273">
        <v>0</v>
      </c>
      <c r="H24" s="273">
        <v>1</v>
      </c>
      <c r="I24" s="128" t="str">
        <f t="shared" si="0"/>
        <v>017.Income</v>
      </c>
    </row>
    <row r="25" spans="3:9" ht="23.25">
      <c r="C25" s="273" t="s">
        <v>43</v>
      </c>
      <c r="D25" s="273">
        <v>11</v>
      </c>
      <c r="E25" s="275" t="s">
        <v>1811</v>
      </c>
      <c r="F25" s="274" t="s">
        <v>1812</v>
      </c>
      <c r="G25" s="273">
        <v>0</v>
      </c>
      <c r="H25" s="273">
        <v>1</v>
      </c>
      <c r="I25" s="128" t="str">
        <f t="shared" si="0"/>
        <v>018.Sale Discounts</v>
      </c>
    </row>
    <row r="26" spans="3:9" ht="23.25">
      <c r="C26" s="273" t="s">
        <v>44</v>
      </c>
      <c r="D26" s="273">
        <v>12</v>
      </c>
      <c r="E26" s="275" t="s">
        <v>1780</v>
      </c>
      <c r="F26" s="274" t="s">
        <v>1781</v>
      </c>
      <c r="G26" s="273">
        <v>0</v>
      </c>
      <c r="H26" s="273">
        <v>1</v>
      </c>
      <c r="I26" s="128" t="str">
        <f t="shared" si="0"/>
        <v>019.Cost of Goods Sold</v>
      </c>
    </row>
    <row r="27" spans="3:9" ht="23.25">
      <c r="C27" s="273" t="s">
        <v>45</v>
      </c>
      <c r="D27" s="273">
        <v>12</v>
      </c>
      <c r="E27" s="275" t="s">
        <v>1813</v>
      </c>
      <c r="F27" s="274" t="s">
        <v>1814</v>
      </c>
      <c r="G27" s="273">
        <v>0</v>
      </c>
      <c r="H27" s="273">
        <v>1</v>
      </c>
      <c r="I27" s="128" t="str">
        <f t="shared" si="0"/>
        <v>020.Cost of Sale</v>
      </c>
    </row>
    <row r="28" spans="3:9" ht="23.25">
      <c r="C28" s="273" t="s">
        <v>1894</v>
      </c>
      <c r="D28" s="273">
        <v>13</v>
      </c>
      <c r="E28" s="275" t="s">
        <v>1815</v>
      </c>
      <c r="F28" s="274" t="s">
        <v>1816</v>
      </c>
      <c r="G28" s="273">
        <v>0</v>
      </c>
      <c r="H28" s="273">
        <v>1</v>
      </c>
      <c r="I28" s="128" t="str">
        <f t="shared" si="0"/>
        <v>021.Operation Expenses</v>
      </c>
    </row>
    <row r="29" spans="3:9" ht="23.25">
      <c r="C29" s="273" t="s">
        <v>1895</v>
      </c>
      <c r="D29" s="273">
        <v>13</v>
      </c>
      <c r="E29" s="275" t="s">
        <v>1817</v>
      </c>
      <c r="F29" s="274" t="s">
        <v>1818</v>
      </c>
      <c r="G29" s="273">
        <v>0</v>
      </c>
      <c r="H29" s="273">
        <v>1</v>
      </c>
      <c r="I29" s="128" t="str">
        <f t="shared" si="0"/>
        <v>022.Utilities Expense</v>
      </c>
    </row>
    <row r="30" spans="3:9" ht="23.25">
      <c r="C30" s="273" t="s">
        <v>1896</v>
      </c>
      <c r="D30" s="273">
        <v>13</v>
      </c>
      <c r="E30" s="275" t="s">
        <v>1819</v>
      </c>
      <c r="F30" s="274" t="s">
        <v>1820</v>
      </c>
      <c r="G30" s="273">
        <v>0</v>
      </c>
      <c r="H30" s="273">
        <v>1</v>
      </c>
      <c r="I30" s="128" t="str">
        <f t="shared" si="0"/>
        <v>023.Repairs Expense</v>
      </c>
    </row>
    <row r="31" spans="3:9" ht="23.25">
      <c r="C31" s="273" t="s">
        <v>1897</v>
      </c>
      <c r="D31" s="273">
        <v>13</v>
      </c>
      <c r="E31" s="275" t="s">
        <v>1821</v>
      </c>
      <c r="F31" s="274" t="s">
        <v>1822</v>
      </c>
      <c r="G31" s="273">
        <v>0</v>
      </c>
      <c r="H31" s="273">
        <v>1</v>
      </c>
      <c r="I31" s="128" t="str">
        <f t="shared" si="0"/>
        <v>024.Purchase Discounts</v>
      </c>
    </row>
    <row r="32" spans="3:9" ht="23.25">
      <c r="C32" s="273" t="s">
        <v>55</v>
      </c>
      <c r="D32" s="273">
        <v>14</v>
      </c>
      <c r="E32" s="275" t="s">
        <v>1823</v>
      </c>
      <c r="F32" s="274" t="s">
        <v>1824</v>
      </c>
      <c r="G32" s="273">
        <v>0</v>
      </c>
      <c r="H32" s="273">
        <v>1</v>
      </c>
      <c r="I32" s="128" t="str">
        <f t="shared" si="0"/>
        <v>025.Other income</v>
      </c>
    </row>
    <row r="33" spans="3:9" ht="23.25">
      <c r="C33" s="273" t="s">
        <v>1898</v>
      </c>
      <c r="D33" s="273">
        <v>15</v>
      </c>
      <c r="E33" s="275" t="s">
        <v>1825</v>
      </c>
      <c r="F33" s="274" t="s">
        <v>1826</v>
      </c>
      <c r="G33" s="273">
        <v>0</v>
      </c>
      <c r="H33" s="273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P17" sqref="P17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938" t="s">
        <v>47</v>
      </c>
      <c r="D6" s="938" t="s">
        <v>1880</v>
      </c>
      <c r="E6" s="938" t="s">
        <v>1878</v>
      </c>
      <c r="F6" s="938" t="s">
        <v>1881</v>
      </c>
      <c r="G6" s="939" t="s">
        <v>1882</v>
      </c>
      <c r="H6" s="939" t="s">
        <v>1883</v>
      </c>
      <c r="I6" s="939" t="s">
        <v>1884</v>
      </c>
      <c r="J6" s="939" t="s">
        <v>71</v>
      </c>
      <c r="K6" s="939" t="s">
        <v>224</v>
      </c>
    </row>
    <row r="7" spans="3:12" ht="21.75" customHeight="1">
      <c r="C7" s="1081" t="s">
        <v>1659</v>
      </c>
      <c r="D7" s="1081" t="s">
        <v>1873</v>
      </c>
      <c r="E7" s="1081" t="s">
        <v>1874</v>
      </c>
      <c r="F7" s="1081" t="s">
        <v>1875</v>
      </c>
      <c r="G7" s="1082" t="s">
        <v>630</v>
      </c>
      <c r="H7" s="1082" t="s">
        <v>631</v>
      </c>
      <c r="I7" s="1082" t="s">
        <v>1876</v>
      </c>
      <c r="J7" s="1082" t="s">
        <v>87</v>
      </c>
      <c r="K7" s="1082" t="s">
        <v>1743</v>
      </c>
    </row>
    <row r="8" spans="3:12" ht="23.25">
      <c r="C8" s="646">
        <v>1</v>
      </c>
      <c r="D8" s="646">
        <f>F8*1</f>
        <v>1</v>
      </c>
      <c r="E8" s="646">
        <v>1</v>
      </c>
      <c r="F8" s="646">
        <v>1</v>
      </c>
      <c r="G8" s="646">
        <v>1110</v>
      </c>
      <c r="H8" s="399" t="s">
        <v>1762</v>
      </c>
      <c r="I8" s="382" t="s">
        <v>1763</v>
      </c>
      <c r="J8" s="399"/>
      <c r="K8" s="646">
        <v>1</v>
      </c>
      <c r="L8" s="128" t="str">
        <f>IF(AND(C8&lt;&gt;"",H8&lt;&gt;""),TEXT(C8,"000")&amp;"."&amp;H8,"")</f>
        <v>001.Cash and Bank</v>
      </c>
    </row>
    <row r="9" spans="3:12" ht="23.25">
      <c r="C9" s="646">
        <v>2</v>
      </c>
      <c r="D9" s="646">
        <f t="shared" ref="D9:D30" si="0">F9*1</f>
        <v>3</v>
      </c>
      <c r="E9" s="646">
        <v>2</v>
      </c>
      <c r="F9" s="646">
        <v>3</v>
      </c>
      <c r="G9" s="646">
        <v>1120</v>
      </c>
      <c r="H9" s="399" t="s">
        <v>643</v>
      </c>
      <c r="I9" s="382" t="s">
        <v>1010</v>
      </c>
      <c r="J9" s="399"/>
      <c r="K9" s="646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646">
        <v>3</v>
      </c>
      <c r="D10" s="646">
        <f t="shared" si="0"/>
        <v>6</v>
      </c>
      <c r="E10" s="646">
        <v>3</v>
      </c>
      <c r="F10" s="646">
        <v>6</v>
      </c>
      <c r="G10" s="646">
        <v>1130</v>
      </c>
      <c r="H10" s="399" t="s">
        <v>238</v>
      </c>
      <c r="I10" s="382" t="s">
        <v>1001</v>
      </c>
      <c r="J10" s="399"/>
      <c r="K10" s="646">
        <v>1</v>
      </c>
      <c r="L10" s="128" t="str">
        <f t="shared" si="1"/>
        <v>003.Inventory</v>
      </c>
    </row>
    <row r="11" spans="3:12" ht="23.25">
      <c r="C11" s="646">
        <v>4</v>
      </c>
      <c r="D11" s="646">
        <f t="shared" si="0"/>
        <v>8</v>
      </c>
      <c r="E11" s="646">
        <v>4</v>
      </c>
      <c r="F11" s="646">
        <v>8</v>
      </c>
      <c r="G11" s="646">
        <v>1210</v>
      </c>
      <c r="H11" s="399" t="s">
        <v>1827</v>
      </c>
      <c r="I11" s="382" t="s">
        <v>1828</v>
      </c>
      <c r="J11" s="399"/>
      <c r="K11" s="646">
        <v>1</v>
      </c>
      <c r="L11" s="128" t="str">
        <f t="shared" si="1"/>
        <v>004.Furniture and Fixtures</v>
      </c>
    </row>
    <row r="12" spans="3:12" ht="23.25">
      <c r="C12" s="646">
        <v>5</v>
      </c>
      <c r="D12" s="646">
        <f t="shared" si="0"/>
        <v>9</v>
      </c>
      <c r="E12" s="646">
        <v>5</v>
      </c>
      <c r="F12" s="646">
        <v>9</v>
      </c>
      <c r="G12" s="646">
        <v>1310</v>
      </c>
      <c r="H12" s="399" t="s">
        <v>1829</v>
      </c>
      <c r="I12" s="382" t="s">
        <v>1768</v>
      </c>
      <c r="J12" s="399"/>
      <c r="K12" s="646">
        <v>1</v>
      </c>
      <c r="L12" s="128" t="str">
        <f t="shared" si="1"/>
        <v>005.Other assets</v>
      </c>
    </row>
    <row r="13" spans="3:12" ht="23.25">
      <c r="C13" s="646">
        <v>6</v>
      </c>
      <c r="D13" s="646">
        <f t="shared" si="0"/>
        <v>10</v>
      </c>
      <c r="E13" s="646">
        <v>6</v>
      </c>
      <c r="F13" s="646">
        <v>10</v>
      </c>
      <c r="G13" s="646">
        <v>2120</v>
      </c>
      <c r="H13" s="399" t="s">
        <v>639</v>
      </c>
      <c r="I13" s="382" t="s">
        <v>1769</v>
      </c>
      <c r="J13" s="399"/>
      <c r="K13" s="646">
        <v>1</v>
      </c>
      <c r="L13" s="128" t="str">
        <f t="shared" si="1"/>
        <v>006.Accounts Payable</v>
      </c>
    </row>
    <row r="14" spans="3:12" ht="23.25">
      <c r="C14" s="646">
        <v>7</v>
      </c>
      <c r="D14" s="646">
        <f t="shared" si="0"/>
        <v>11</v>
      </c>
      <c r="E14" s="646">
        <v>8</v>
      </c>
      <c r="F14" s="646">
        <v>11</v>
      </c>
      <c r="G14" s="646">
        <v>2130</v>
      </c>
      <c r="H14" s="399" t="s">
        <v>1830</v>
      </c>
      <c r="I14" s="382" t="s">
        <v>1831</v>
      </c>
      <c r="J14" s="399"/>
      <c r="K14" s="646">
        <v>1</v>
      </c>
      <c r="L14" s="128" t="str">
        <f t="shared" si="1"/>
        <v>007.Liability</v>
      </c>
    </row>
    <row r="15" spans="3:12" ht="23.25">
      <c r="C15" s="646">
        <v>8</v>
      </c>
      <c r="D15" s="646">
        <f t="shared" si="0"/>
        <v>13</v>
      </c>
      <c r="E15" s="646">
        <v>9</v>
      </c>
      <c r="F15" s="646">
        <v>13</v>
      </c>
      <c r="G15" s="646">
        <v>2210</v>
      </c>
      <c r="H15" s="399" t="s">
        <v>1832</v>
      </c>
      <c r="I15" s="382" t="s">
        <v>1775</v>
      </c>
      <c r="J15" s="399"/>
      <c r="K15" s="646">
        <v>1</v>
      </c>
      <c r="L15" s="128" t="str">
        <f t="shared" si="1"/>
        <v>008.Long Term Liabilities</v>
      </c>
    </row>
    <row r="16" spans="3:12" ht="23.25">
      <c r="C16" s="646">
        <v>9</v>
      </c>
      <c r="D16" s="646">
        <f t="shared" si="0"/>
        <v>16</v>
      </c>
      <c r="E16" s="646">
        <v>10</v>
      </c>
      <c r="F16" s="646">
        <v>16</v>
      </c>
      <c r="G16" s="646">
        <v>3000</v>
      </c>
      <c r="H16" s="399" t="s">
        <v>1776</v>
      </c>
      <c r="I16" s="382" t="s">
        <v>1777</v>
      </c>
      <c r="J16" s="399"/>
      <c r="K16" s="646">
        <v>1</v>
      </c>
      <c r="L16" s="128" t="str">
        <f t="shared" si="1"/>
        <v>009.Equity</v>
      </c>
    </row>
    <row r="17" spans="3:12" ht="23.25">
      <c r="C17" s="646">
        <v>10</v>
      </c>
      <c r="D17" s="646">
        <f t="shared" si="0"/>
        <v>17</v>
      </c>
      <c r="E17" s="646">
        <v>11</v>
      </c>
      <c r="F17" s="646">
        <v>17</v>
      </c>
      <c r="G17" s="646">
        <v>4000</v>
      </c>
      <c r="H17" s="399" t="s">
        <v>1778</v>
      </c>
      <c r="I17" s="382" t="s">
        <v>1779</v>
      </c>
      <c r="J17" s="399"/>
      <c r="K17" s="646">
        <v>1</v>
      </c>
      <c r="L17" s="128" t="str">
        <f t="shared" si="1"/>
        <v>010.Income</v>
      </c>
    </row>
    <row r="18" spans="3:12" ht="23.25">
      <c r="C18" s="646">
        <v>11</v>
      </c>
      <c r="D18" s="646">
        <f t="shared" si="0"/>
        <v>19</v>
      </c>
      <c r="E18" s="646">
        <v>12</v>
      </c>
      <c r="F18" s="646">
        <v>19</v>
      </c>
      <c r="G18" s="646">
        <v>5000</v>
      </c>
      <c r="H18" s="399" t="s">
        <v>1780</v>
      </c>
      <c r="I18" s="382" t="s">
        <v>1781</v>
      </c>
      <c r="J18" s="399"/>
      <c r="K18" s="646">
        <v>1</v>
      </c>
      <c r="L18" s="128" t="str">
        <f t="shared" si="1"/>
        <v>011.Cost of Goods Sold</v>
      </c>
    </row>
    <row r="19" spans="3:12" ht="23.25">
      <c r="C19" s="646">
        <v>12</v>
      </c>
      <c r="D19" s="646">
        <f t="shared" si="0"/>
        <v>21</v>
      </c>
      <c r="E19" s="646">
        <v>13</v>
      </c>
      <c r="F19" s="646">
        <v>21</v>
      </c>
      <c r="G19" s="646">
        <v>6000</v>
      </c>
      <c r="H19" s="399" t="s">
        <v>1833</v>
      </c>
      <c r="I19" s="382" t="s">
        <v>1783</v>
      </c>
      <c r="J19" s="399"/>
      <c r="K19" s="646">
        <v>1</v>
      </c>
      <c r="L19" s="128" t="str">
        <f t="shared" si="1"/>
        <v>012.Expenses</v>
      </c>
    </row>
    <row r="20" spans="3:12" ht="23.25">
      <c r="C20" s="646">
        <v>13</v>
      </c>
      <c r="D20" s="646">
        <f t="shared" si="0"/>
        <v>25</v>
      </c>
      <c r="E20" s="646">
        <v>14</v>
      </c>
      <c r="F20" s="646">
        <v>25</v>
      </c>
      <c r="G20" s="646">
        <v>4900</v>
      </c>
      <c r="H20" s="399" t="s">
        <v>1784</v>
      </c>
      <c r="I20" s="382" t="s">
        <v>1785</v>
      </c>
      <c r="J20" s="399"/>
      <c r="K20" s="646">
        <v>1</v>
      </c>
      <c r="L20" s="128" t="str">
        <f t="shared" si="1"/>
        <v>013.Other Income</v>
      </c>
    </row>
    <row r="21" spans="3:12" ht="23.25">
      <c r="C21" s="646">
        <v>14</v>
      </c>
      <c r="D21" s="646">
        <f t="shared" si="0"/>
        <v>26</v>
      </c>
      <c r="E21" s="646">
        <v>15</v>
      </c>
      <c r="F21" s="646">
        <v>26</v>
      </c>
      <c r="G21" s="646">
        <v>6900</v>
      </c>
      <c r="H21" s="399" t="s">
        <v>1786</v>
      </c>
      <c r="I21" s="382" t="s">
        <v>1787</v>
      </c>
      <c r="J21" s="399"/>
      <c r="K21" s="646">
        <v>1</v>
      </c>
      <c r="L21" s="128" t="str">
        <f t="shared" si="1"/>
        <v>014.Other Expense</v>
      </c>
    </row>
    <row r="22" spans="3:12" ht="23.25">
      <c r="C22" s="646">
        <v>15</v>
      </c>
      <c r="D22" s="646">
        <f t="shared" si="0"/>
        <v>5</v>
      </c>
      <c r="E22" s="646">
        <v>3</v>
      </c>
      <c r="F22" s="646">
        <v>5</v>
      </c>
      <c r="G22" s="646">
        <v>1140</v>
      </c>
      <c r="H22" s="399" t="s">
        <v>634</v>
      </c>
      <c r="I22" s="382" t="s">
        <v>999</v>
      </c>
      <c r="J22" s="399"/>
      <c r="K22" s="646">
        <v>1</v>
      </c>
      <c r="L22" s="128" t="str">
        <f t="shared" si="1"/>
        <v>015.A/R Mirror</v>
      </c>
    </row>
    <row r="23" spans="3:12" ht="23.25">
      <c r="C23" s="646">
        <v>16</v>
      </c>
      <c r="D23" s="646">
        <f t="shared" si="0"/>
        <v>11</v>
      </c>
      <c r="E23" s="646">
        <v>8</v>
      </c>
      <c r="F23" s="646">
        <v>11</v>
      </c>
      <c r="G23" s="646">
        <v>2140</v>
      </c>
      <c r="H23" s="399" t="s">
        <v>635</v>
      </c>
      <c r="I23" s="382" t="s">
        <v>1000</v>
      </c>
      <c r="J23" s="399"/>
      <c r="K23" s="646">
        <v>1</v>
      </c>
      <c r="L23" s="128" t="str">
        <f t="shared" si="1"/>
        <v>016.A/P Mirror</v>
      </c>
    </row>
    <row r="24" spans="3:12" ht="23.25">
      <c r="C24" s="646">
        <v>17</v>
      </c>
      <c r="D24" s="646">
        <f t="shared" si="0"/>
        <v>5</v>
      </c>
      <c r="E24" s="646">
        <v>3</v>
      </c>
      <c r="F24" s="646">
        <v>5</v>
      </c>
      <c r="G24" s="646">
        <v>1150</v>
      </c>
      <c r="H24" s="399" t="s">
        <v>1834</v>
      </c>
      <c r="I24" s="382" t="s">
        <v>1835</v>
      </c>
      <c r="J24" s="399"/>
      <c r="K24" s="646">
        <v>1</v>
      </c>
      <c r="L24" s="128" t="str">
        <f t="shared" si="1"/>
        <v>017.VAT Input</v>
      </c>
    </row>
    <row r="25" spans="3:12" ht="23.25">
      <c r="C25" s="646">
        <v>18</v>
      </c>
      <c r="D25" s="646">
        <f t="shared" si="0"/>
        <v>11</v>
      </c>
      <c r="E25" s="646">
        <v>8</v>
      </c>
      <c r="F25" s="646">
        <v>11</v>
      </c>
      <c r="G25" s="646">
        <v>2150</v>
      </c>
      <c r="H25" s="399" t="s">
        <v>1836</v>
      </c>
      <c r="I25" s="382" t="s">
        <v>1837</v>
      </c>
      <c r="J25" s="399"/>
      <c r="K25" s="646">
        <v>1</v>
      </c>
      <c r="L25" s="128" t="str">
        <f t="shared" si="1"/>
        <v>018.VAT Output</v>
      </c>
    </row>
    <row r="26" spans="3:12" ht="23.25">
      <c r="C26" s="646">
        <v>19</v>
      </c>
      <c r="D26" s="646">
        <f t="shared" si="0"/>
        <v>17</v>
      </c>
      <c r="E26" s="646">
        <v>11</v>
      </c>
      <c r="F26" s="646">
        <v>17</v>
      </c>
      <c r="G26" s="646">
        <v>4999</v>
      </c>
      <c r="H26" s="399" t="s">
        <v>646</v>
      </c>
      <c r="I26" s="382" t="s">
        <v>1812</v>
      </c>
      <c r="J26" s="399"/>
      <c r="K26" s="646">
        <v>1</v>
      </c>
      <c r="L26" s="128" t="str">
        <f t="shared" si="1"/>
        <v>019.Sales Discount</v>
      </c>
    </row>
    <row r="27" spans="3:12" ht="23.25">
      <c r="C27" s="646">
        <v>20</v>
      </c>
      <c r="D27" s="646">
        <f t="shared" si="0"/>
        <v>19</v>
      </c>
      <c r="E27" s="646">
        <v>12</v>
      </c>
      <c r="F27" s="646">
        <v>19</v>
      </c>
      <c r="G27" s="646">
        <v>5999</v>
      </c>
      <c r="H27" s="399" t="s">
        <v>1838</v>
      </c>
      <c r="I27" s="382" t="s">
        <v>1822</v>
      </c>
      <c r="J27" s="399"/>
      <c r="K27" s="646">
        <v>1</v>
      </c>
      <c r="L27" s="128" t="str">
        <f t="shared" si="1"/>
        <v>020.Puchase Discount</v>
      </c>
    </row>
    <row r="28" spans="3:12" ht="23.25">
      <c r="C28" s="646">
        <v>21</v>
      </c>
      <c r="D28" s="646">
        <f t="shared" si="0"/>
        <v>17</v>
      </c>
      <c r="E28" s="646">
        <v>10</v>
      </c>
      <c r="F28" s="646">
        <v>17</v>
      </c>
      <c r="G28" s="646">
        <v>3999</v>
      </c>
      <c r="H28" s="399" t="s">
        <v>1839</v>
      </c>
      <c r="I28" s="382" t="s">
        <v>1840</v>
      </c>
      <c r="J28" s="399"/>
      <c r="K28" s="646">
        <v>4</v>
      </c>
      <c r="L28" s="128" t="str">
        <f t="shared" si="1"/>
        <v>021.Income Summary</v>
      </c>
    </row>
    <row r="29" spans="3:12" ht="23.25">
      <c r="C29" s="646">
        <v>22</v>
      </c>
      <c r="D29" s="646">
        <f t="shared" si="0"/>
        <v>16</v>
      </c>
      <c r="E29" s="646">
        <v>10</v>
      </c>
      <c r="F29" s="646">
        <v>16</v>
      </c>
      <c r="G29" s="646">
        <v>3200</v>
      </c>
      <c r="H29" s="399" t="s">
        <v>1808</v>
      </c>
      <c r="I29" s="382" t="s">
        <v>1809</v>
      </c>
      <c r="J29" s="399"/>
      <c r="K29" s="646">
        <v>4</v>
      </c>
      <c r="L29" s="128" t="str">
        <f t="shared" si="1"/>
        <v>022.Retained Earning</v>
      </c>
    </row>
    <row r="30" spans="3:12" ht="23.25">
      <c r="C30" s="646">
        <v>23</v>
      </c>
      <c r="D30" s="646">
        <f t="shared" si="0"/>
        <v>16</v>
      </c>
      <c r="E30" s="646">
        <v>10</v>
      </c>
      <c r="F30" s="646">
        <v>16</v>
      </c>
      <c r="G30" s="646">
        <v>3300</v>
      </c>
      <c r="H30" s="399" t="s">
        <v>1841</v>
      </c>
      <c r="I30" s="382" t="s">
        <v>1842</v>
      </c>
      <c r="J30" s="399"/>
      <c r="K30" s="646">
        <v>2</v>
      </c>
      <c r="L30" s="128" t="str">
        <f t="shared" si="1"/>
        <v>023.Dividends</v>
      </c>
    </row>
  </sheetData>
  <phoneticPr fontId="3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80" zoomScaleNormal="80" workbookViewId="0">
      <pane ySplit="7" topLeftCell="A8" activePane="bottomLeft" state="frozen"/>
      <selection pane="bottomLeft" activeCell="H20" sqref="H20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1048"/>
      <c r="M4" s="128" t="s">
        <v>1808</v>
      </c>
      <c r="N4" t="s">
        <v>1893</v>
      </c>
    </row>
    <row r="5" spans="3:15" ht="18" customHeight="1"/>
    <row r="6" spans="3:15" ht="26.25" customHeight="1">
      <c r="C6" s="1006" t="s">
        <v>47</v>
      </c>
      <c r="D6" s="1072" t="s">
        <v>1885</v>
      </c>
      <c r="E6" s="1072" t="s">
        <v>237</v>
      </c>
      <c r="F6" s="1072" t="s">
        <v>308</v>
      </c>
      <c r="G6" s="1006" t="s">
        <v>1886</v>
      </c>
      <c r="H6" s="1072" t="s">
        <v>1887</v>
      </c>
      <c r="I6" s="1072" t="s">
        <v>1888</v>
      </c>
      <c r="J6" s="1072" t="s">
        <v>1890</v>
      </c>
      <c r="K6" s="1072" t="s">
        <v>1889</v>
      </c>
      <c r="L6" s="1072" t="s">
        <v>224</v>
      </c>
    </row>
    <row r="7" spans="3:15" ht="24.75" customHeight="1">
      <c r="C7" s="901" t="s">
        <v>1659</v>
      </c>
      <c r="D7" s="1083" t="s">
        <v>1870</v>
      </c>
      <c r="E7" s="1083" t="s">
        <v>12</v>
      </c>
      <c r="F7" s="1083" t="s">
        <v>116</v>
      </c>
      <c r="G7" s="901" t="s">
        <v>1871</v>
      </c>
      <c r="H7" s="1083" t="s">
        <v>1869</v>
      </c>
      <c r="I7" s="1083" t="s">
        <v>426</v>
      </c>
      <c r="J7" s="1083" t="s">
        <v>1697</v>
      </c>
      <c r="K7" s="1083" t="s">
        <v>1872</v>
      </c>
      <c r="L7" s="1083" t="s">
        <v>182</v>
      </c>
    </row>
    <row r="8" spans="3:15" ht="23.25">
      <c r="C8" s="273">
        <v>1</v>
      </c>
      <c r="D8" s="273">
        <v>2</v>
      </c>
      <c r="E8" s="275" t="s">
        <v>636</v>
      </c>
      <c r="F8" s="274" t="s">
        <v>1844</v>
      </c>
      <c r="G8" s="273">
        <v>3</v>
      </c>
      <c r="H8" s="275" t="str">
        <f>IF(G8&lt;&gt;"",VLOOKUP(G8,ChartAccount!$C$8:$K$100,6,FALSE),"")</f>
        <v>Inventory</v>
      </c>
      <c r="I8" s="273">
        <v>1</v>
      </c>
      <c r="J8" s="273" t="s">
        <v>238</v>
      </c>
      <c r="K8" s="273">
        <v>1</v>
      </c>
      <c r="L8" s="273">
        <v>1</v>
      </c>
      <c r="M8" s="128" t="str">
        <f>IF(AND(C8&lt;&gt;"",E8&lt;&gt;""),TEXT(C8,"000")&amp;"."&amp;E8,"")</f>
        <v>001.Inventory Asset Account</v>
      </c>
      <c r="O8" s="153">
        <f>G8*1</f>
        <v>3</v>
      </c>
    </row>
    <row r="9" spans="3:15" ht="23.25">
      <c r="C9" s="273">
        <v>2</v>
      </c>
      <c r="D9" s="273">
        <v>2</v>
      </c>
      <c r="E9" s="275" t="s">
        <v>637</v>
      </c>
      <c r="F9" s="274" t="s">
        <v>1003</v>
      </c>
      <c r="G9" s="273">
        <v>11</v>
      </c>
      <c r="H9" s="275" t="str">
        <f>IF(G9&lt;&gt;"",VLOOKUP(G9,ChartAccount!$C$8:$K$100,6,FALSE),"")</f>
        <v>Cost of Goods Sold</v>
      </c>
      <c r="I9" s="273">
        <v>2</v>
      </c>
      <c r="J9" s="273" t="s">
        <v>238</v>
      </c>
      <c r="K9" s="273">
        <v>2</v>
      </c>
      <c r="L9" s="273">
        <v>1</v>
      </c>
      <c r="M9" s="128" t="str">
        <f t="shared" ref="M9:M31" si="0">IF(AND(C9&lt;&gt;"",E9&lt;&gt;""),TEXT(C9,"000")&amp;"."&amp;E9,"")</f>
        <v>002.COGS Account</v>
      </c>
      <c r="O9" s="153">
        <f t="shared" ref="O9:O31" si="1">G9*1</f>
        <v>11</v>
      </c>
    </row>
    <row r="10" spans="3:15" ht="23.25">
      <c r="C10" s="273">
        <v>3</v>
      </c>
      <c r="D10" s="273">
        <v>2</v>
      </c>
      <c r="E10" s="275" t="s">
        <v>638</v>
      </c>
      <c r="F10" s="274" t="s">
        <v>1845</v>
      </c>
      <c r="G10" s="273">
        <v>9</v>
      </c>
      <c r="H10" s="275" t="str">
        <f>IF(G10&lt;&gt;"",VLOOKUP(G10,ChartAccount!$C$8:$K$100,6,FALSE),"")</f>
        <v>Equity</v>
      </c>
      <c r="I10" s="273">
        <v>3</v>
      </c>
      <c r="J10" s="273" t="s">
        <v>238</v>
      </c>
      <c r="K10" s="273">
        <v>3</v>
      </c>
      <c r="L10" s="273">
        <v>1</v>
      </c>
      <c r="M10" s="128" t="str">
        <f t="shared" si="0"/>
        <v>003.Inventory Adjustment Account</v>
      </c>
      <c r="O10" s="153">
        <f t="shared" si="1"/>
        <v>9</v>
      </c>
    </row>
    <row r="11" spans="3:15" ht="23.25">
      <c r="C11" s="273">
        <v>4</v>
      </c>
      <c r="D11" s="273">
        <v>3</v>
      </c>
      <c r="E11" s="275" t="s">
        <v>639</v>
      </c>
      <c r="F11" s="274" t="s">
        <v>1769</v>
      </c>
      <c r="G11" s="273">
        <v>6</v>
      </c>
      <c r="H11" s="275" t="str">
        <f>IF(G11&lt;&gt;"",VLOOKUP(G11,ChartAccount!$C$8:$K$100,6,FALSE),"")</f>
        <v>Accounts Payable</v>
      </c>
      <c r="I11" s="273">
        <v>1</v>
      </c>
      <c r="J11" s="273" t="s">
        <v>423</v>
      </c>
      <c r="K11" s="273">
        <v>4</v>
      </c>
      <c r="L11" s="273">
        <v>1</v>
      </c>
      <c r="M11" s="128" t="str">
        <f t="shared" si="0"/>
        <v>004.Accounts Payable</v>
      </c>
      <c r="O11" s="153">
        <f t="shared" si="1"/>
        <v>6</v>
      </c>
    </row>
    <row r="12" spans="3:15" ht="23.25">
      <c r="C12" s="273">
        <v>5</v>
      </c>
      <c r="D12" s="273">
        <v>3</v>
      </c>
      <c r="E12" s="275" t="s">
        <v>640</v>
      </c>
      <c r="F12" s="274" t="s">
        <v>1846</v>
      </c>
      <c r="G12" s="273">
        <v>13</v>
      </c>
      <c r="H12" s="275" t="str">
        <f>IF(G12&lt;&gt;"",VLOOKUP(G12,ChartAccount!$C$8:$K$100,6,FALSE),"")</f>
        <v>Other Income</v>
      </c>
      <c r="I12" s="273">
        <v>2</v>
      </c>
      <c r="J12" s="273" t="s">
        <v>423</v>
      </c>
      <c r="K12" s="273">
        <v>5</v>
      </c>
      <c r="L12" s="273">
        <v>1</v>
      </c>
      <c r="M12" s="128" t="str">
        <f t="shared" si="0"/>
        <v>005.Purchase Discount</v>
      </c>
      <c r="O12" s="153">
        <f t="shared" si="1"/>
        <v>13</v>
      </c>
    </row>
    <row r="13" spans="3:15" ht="23.25">
      <c r="C13" s="273">
        <v>6</v>
      </c>
      <c r="D13" s="273">
        <v>3</v>
      </c>
      <c r="E13" s="275" t="s">
        <v>641</v>
      </c>
      <c r="F13" s="274" t="s">
        <v>1847</v>
      </c>
      <c r="G13" s="273">
        <v>1</v>
      </c>
      <c r="H13" s="275" t="str">
        <f>IF(G13&lt;&gt;"",VLOOKUP(G13,ChartAccount!$C$8:$K$100,6,FALSE),"")</f>
        <v>Cash and Bank</v>
      </c>
      <c r="I13" s="273">
        <v>3</v>
      </c>
      <c r="J13" s="273" t="s">
        <v>423</v>
      </c>
      <c r="K13" s="273">
        <v>6</v>
      </c>
      <c r="L13" s="273">
        <v>1</v>
      </c>
      <c r="M13" s="128" t="str">
        <f t="shared" si="0"/>
        <v>006.Cash Pay Bill</v>
      </c>
      <c r="O13" s="153">
        <f t="shared" si="1"/>
        <v>1</v>
      </c>
    </row>
    <row r="14" spans="3:15" ht="23.25">
      <c r="C14" s="273">
        <v>7</v>
      </c>
      <c r="D14" s="273">
        <v>3</v>
      </c>
      <c r="E14" s="275" t="s">
        <v>642</v>
      </c>
      <c r="F14" s="274" t="s">
        <v>1848</v>
      </c>
      <c r="G14" s="273">
        <v>13</v>
      </c>
      <c r="H14" s="275" t="str">
        <f>IF(G14&lt;&gt;"",VLOOKUP(G14,ChartAccount!$C$8:$K$100,6,FALSE),"")</f>
        <v>Other Income</v>
      </c>
      <c r="I14" s="273">
        <v>4</v>
      </c>
      <c r="J14" s="273" t="s">
        <v>423</v>
      </c>
      <c r="K14" s="273">
        <v>7</v>
      </c>
      <c r="L14" s="273">
        <v>1</v>
      </c>
      <c r="M14" s="128" t="str">
        <f t="shared" si="0"/>
        <v>007.Paybill Discount</v>
      </c>
      <c r="O14" s="153">
        <f t="shared" si="1"/>
        <v>13</v>
      </c>
    </row>
    <row r="15" spans="3:15" ht="23.25">
      <c r="C15" s="273">
        <v>8</v>
      </c>
      <c r="D15" s="273">
        <v>3</v>
      </c>
      <c r="E15" s="275" t="s">
        <v>425</v>
      </c>
      <c r="F15" s="274" t="s">
        <v>1849</v>
      </c>
      <c r="G15" s="273">
        <v>1</v>
      </c>
      <c r="H15" s="275" t="str">
        <f>IF(G15&lt;&gt;"",VLOOKUP(G15,ChartAccount!$C$8:$K$100,6,FALSE),"")</f>
        <v>Cash and Bank</v>
      </c>
      <c r="I15" s="273">
        <v>5</v>
      </c>
      <c r="J15" s="273" t="s">
        <v>423</v>
      </c>
      <c r="K15" s="273">
        <v>8</v>
      </c>
      <c r="L15" s="273">
        <v>1</v>
      </c>
      <c r="M15" s="128" t="str">
        <f t="shared" si="0"/>
        <v>008.Cash Expense</v>
      </c>
      <c r="O15" s="153">
        <f t="shared" si="1"/>
        <v>1</v>
      </c>
    </row>
    <row r="16" spans="3:15" ht="23.25">
      <c r="C16" s="273">
        <v>9</v>
      </c>
      <c r="D16" s="273">
        <v>3</v>
      </c>
      <c r="E16" s="275" t="s">
        <v>1856</v>
      </c>
      <c r="F16" s="274" t="s">
        <v>1857</v>
      </c>
      <c r="G16" s="273">
        <v>2</v>
      </c>
      <c r="H16" s="275" t="str">
        <f>IF(G16&lt;&gt;"",VLOOKUP(G16,ChartAccount!$C$8:$K$100,6,FALSE),"")</f>
        <v>Accounts Receivable</v>
      </c>
      <c r="I16" s="273">
        <v>6</v>
      </c>
      <c r="J16" s="273" t="s">
        <v>423</v>
      </c>
      <c r="K16" s="273">
        <v>9</v>
      </c>
      <c r="L16" s="273">
        <v>1</v>
      </c>
      <c r="M16" s="128" t="str">
        <f t="shared" si="0"/>
        <v>009.Account Receivable (Landed Cost)</v>
      </c>
      <c r="O16" s="153">
        <f t="shared" si="1"/>
        <v>2</v>
      </c>
    </row>
    <row r="17" spans="3:15" ht="23.25">
      <c r="C17" s="273">
        <v>10</v>
      </c>
      <c r="D17" s="273">
        <v>3</v>
      </c>
      <c r="E17" s="275" t="s">
        <v>1860</v>
      </c>
      <c r="F17" s="274" t="s">
        <v>1861</v>
      </c>
      <c r="G17" s="273">
        <v>1</v>
      </c>
      <c r="H17" s="275" t="str">
        <f>IF(G17&lt;&gt;"",VLOOKUP(G17,ChartAccount!$C$8:$K$100,6,FALSE),"")</f>
        <v>Cash and Bank</v>
      </c>
      <c r="I17" s="273">
        <v>7</v>
      </c>
      <c r="J17" s="273" t="s">
        <v>423</v>
      </c>
      <c r="K17" s="273">
        <v>10</v>
      </c>
      <c r="L17" s="273">
        <v>1</v>
      </c>
      <c r="M17" s="128" t="str">
        <f t="shared" si="0"/>
        <v>010.Miscellaneous Account</v>
      </c>
      <c r="O17" s="153">
        <f t="shared" si="1"/>
        <v>1</v>
      </c>
    </row>
    <row r="18" spans="3:15" ht="23.25">
      <c r="C18" s="273">
        <v>11</v>
      </c>
      <c r="D18" s="273">
        <v>3</v>
      </c>
      <c r="E18" s="275" t="s">
        <v>1862</v>
      </c>
      <c r="F18" s="274" t="s">
        <v>1863</v>
      </c>
      <c r="G18" s="273">
        <v>11</v>
      </c>
      <c r="H18" s="275" t="str">
        <f>IF(G18&lt;&gt;"",VLOOKUP(G18,ChartAccount!$C$8:$K$100,6,FALSE),"")</f>
        <v>Cost of Goods Sold</v>
      </c>
      <c r="I18" s="273">
        <v>8</v>
      </c>
      <c r="J18" s="273" t="s">
        <v>423</v>
      </c>
      <c r="K18" s="273">
        <v>11</v>
      </c>
      <c r="L18" s="273">
        <v>1</v>
      </c>
      <c r="M18" s="128" t="str">
        <f t="shared" si="0"/>
        <v>011.Landing Costs</v>
      </c>
      <c r="O18" s="153">
        <f t="shared" si="1"/>
        <v>11</v>
      </c>
    </row>
    <row r="19" spans="3:15" ht="23.25">
      <c r="C19" s="273">
        <v>12</v>
      </c>
      <c r="D19" s="273">
        <v>3</v>
      </c>
      <c r="E19" s="275" t="s">
        <v>2073</v>
      </c>
      <c r="F19" s="274" t="s">
        <v>2075</v>
      </c>
      <c r="G19" s="273">
        <v>18</v>
      </c>
      <c r="H19" s="275" t="str">
        <f>IF(G19&lt;&gt;"",VLOOKUP(G19,ChartAccount!$C$8:$K$100,6,FALSE),"")</f>
        <v>VAT Output</v>
      </c>
      <c r="I19" s="273">
        <v>9</v>
      </c>
      <c r="J19" s="273" t="s">
        <v>423</v>
      </c>
      <c r="K19" s="273">
        <v>12</v>
      </c>
      <c r="L19" s="273">
        <v>1</v>
      </c>
      <c r="M19" s="128" t="str">
        <f t="shared" si="0"/>
        <v>012.Purchase VAT</v>
      </c>
      <c r="O19" s="153">
        <f t="shared" si="1"/>
        <v>18</v>
      </c>
    </row>
    <row r="20" spans="3:15" ht="23.25">
      <c r="C20" s="273">
        <v>13</v>
      </c>
      <c r="D20" s="273">
        <v>4</v>
      </c>
      <c r="E20" s="275" t="s">
        <v>2074</v>
      </c>
      <c r="F20" s="274" t="s">
        <v>2076</v>
      </c>
      <c r="G20" s="273">
        <v>17</v>
      </c>
      <c r="H20" s="275" t="str">
        <f>IF(G20&lt;&gt;"",VLOOKUP(G20,ChartAccount!$C$8:$K$100,6,FALSE),"")</f>
        <v>VAT Input</v>
      </c>
      <c r="I20" s="273">
        <v>1</v>
      </c>
      <c r="J20" s="273" t="s">
        <v>239</v>
      </c>
      <c r="K20" s="273">
        <v>13</v>
      </c>
      <c r="L20" s="273">
        <v>1</v>
      </c>
      <c r="M20" s="128" t="str">
        <f t="shared" si="0"/>
        <v>013.Sales VAT</v>
      </c>
      <c r="O20" s="153">
        <f t="shared" si="1"/>
        <v>17</v>
      </c>
    </row>
    <row r="21" spans="3:15" ht="23.25">
      <c r="C21" s="273">
        <v>14</v>
      </c>
      <c r="D21" s="273">
        <v>4</v>
      </c>
      <c r="E21" s="275" t="s">
        <v>643</v>
      </c>
      <c r="F21" s="274" t="s">
        <v>1010</v>
      </c>
      <c r="G21" s="273">
        <v>2</v>
      </c>
      <c r="H21" s="275" t="str">
        <f>IF(G21&lt;&gt;"",VLOOKUP(G21,ChartAccount!$C$8:$K$100,6,FALSE),"")</f>
        <v>Accounts Receivable</v>
      </c>
      <c r="I21" s="273">
        <v>2</v>
      </c>
      <c r="J21" s="273" t="s">
        <v>239</v>
      </c>
      <c r="K21" s="273">
        <v>14</v>
      </c>
      <c r="L21" s="273">
        <v>1</v>
      </c>
      <c r="M21" s="128" t="str">
        <f t="shared" si="0"/>
        <v>014.Accounts Receivable</v>
      </c>
      <c r="O21" s="153">
        <f t="shared" si="1"/>
        <v>2</v>
      </c>
    </row>
    <row r="22" spans="3:15" ht="23.25">
      <c r="C22" s="273">
        <v>15</v>
      </c>
      <c r="D22" s="273">
        <v>4</v>
      </c>
      <c r="E22" s="275" t="s">
        <v>644</v>
      </c>
      <c r="F22" s="274" t="s">
        <v>1011</v>
      </c>
      <c r="G22" s="273">
        <v>10</v>
      </c>
      <c r="H22" s="275" t="str">
        <f>IF(G22&lt;&gt;"",VLOOKUP(G22,ChartAccount!$C$8:$K$100,6,FALSE),"")</f>
        <v>Income</v>
      </c>
      <c r="I22" s="273">
        <v>3</v>
      </c>
      <c r="J22" s="273" t="s">
        <v>239</v>
      </c>
      <c r="K22" s="273">
        <v>15</v>
      </c>
      <c r="L22" s="273">
        <v>1</v>
      </c>
      <c r="M22" s="128" t="str">
        <f t="shared" si="0"/>
        <v>015.Sales Income</v>
      </c>
      <c r="O22" s="153">
        <f t="shared" si="1"/>
        <v>10</v>
      </c>
    </row>
    <row r="23" spans="3:15" ht="23.25">
      <c r="C23" s="273">
        <v>16</v>
      </c>
      <c r="D23" s="273">
        <v>4</v>
      </c>
      <c r="E23" s="275" t="s">
        <v>645</v>
      </c>
      <c r="F23" s="274" t="s">
        <v>1850</v>
      </c>
      <c r="G23" s="273">
        <v>10</v>
      </c>
      <c r="H23" s="275" t="str">
        <f>IF(G23&lt;&gt;"",VLOOKUP(G23,ChartAccount!$C$8:$K$100,6,FALSE),"")</f>
        <v>Income</v>
      </c>
      <c r="I23" s="273">
        <v>4</v>
      </c>
      <c r="J23" s="273" t="s">
        <v>239</v>
      </c>
      <c r="K23" s="273">
        <v>16</v>
      </c>
      <c r="L23" s="273">
        <v>1</v>
      </c>
      <c r="M23" s="128" t="str">
        <f t="shared" si="0"/>
        <v>016.Sales Markup</v>
      </c>
      <c r="O23" s="153">
        <f t="shared" si="1"/>
        <v>10</v>
      </c>
    </row>
    <row r="24" spans="3:15" ht="23.25">
      <c r="C24" s="273">
        <v>17</v>
      </c>
      <c r="D24" s="273">
        <v>4</v>
      </c>
      <c r="E24" s="275" t="s">
        <v>646</v>
      </c>
      <c r="F24" s="274" t="s">
        <v>1851</v>
      </c>
      <c r="G24" s="273">
        <v>12</v>
      </c>
      <c r="H24" s="275" t="str">
        <f>IF(G24&lt;&gt;"",VLOOKUP(G24,ChartAccount!$C$8:$K$100,6,FALSE),"")</f>
        <v>Expenses</v>
      </c>
      <c r="I24" s="273">
        <v>5</v>
      </c>
      <c r="J24" s="273" t="s">
        <v>239</v>
      </c>
      <c r="K24" s="273">
        <v>17</v>
      </c>
      <c r="L24" s="273">
        <v>1</v>
      </c>
      <c r="M24" s="128" t="str">
        <f t="shared" si="0"/>
        <v>017.Sales Discount</v>
      </c>
      <c r="O24" s="153">
        <f t="shared" si="1"/>
        <v>12</v>
      </c>
    </row>
    <row r="25" spans="3:15" ht="23.25">
      <c r="C25" s="273">
        <v>18</v>
      </c>
      <c r="D25" s="273">
        <v>4</v>
      </c>
      <c r="E25" s="275" t="s">
        <v>647</v>
      </c>
      <c r="F25" s="274" t="s">
        <v>1014</v>
      </c>
      <c r="G25" s="273">
        <v>10</v>
      </c>
      <c r="H25" s="275" t="str">
        <f>IF(G25&lt;&gt;"",VLOOKUP(G25,ChartAccount!$C$8:$K$100,6,FALSE),"")</f>
        <v>Income</v>
      </c>
      <c r="I25" s="273">
        <v>6</v>
      </c>
      <c r="J25" s="273" t="s">
        <v>239</v>
      </c>
      <c r="K25" s="273">
        <v>18</v>
      </c>
      <c r="L25" s="273">
        <v>1</v>
      </c>
      <c r="M25" s="128" t="str">
        <f t="shared" si="0"/>
        <v>018.Service Account</v>
      </c>
      <c r="O25" s="153">
        <f t="shared" si="1"/>
        <v>10</v>
      </c>
    </row>
    <row r="26" spans="3:15" ht="23.25">
      <c r="C26" s="273">
        <v>19</v>
      </c>
      <c r="D26" s="273">
        <v>4</v>
      </c>
      <c r="E26" s="275" t="s">
        <v>648</v>
      </c>
      <c r="F26" s="274" t="s">
        <v>1852</v>
      </c>
      <c r="G26" s="273">
        <v>1</v>
      </c>
      <c r="H26" s="275" t="str">
        <f>IF(G26&lt;&gt;"",VLOOKUP(G26,ChartAccount!$C$8:$K$100,6,FALSE),"")</f>
        <v>Cash and Bank</v>
      </c>
      <c r="I26" s="273">
        <v>7</v>
      </c>
      <c r="J26" s="273" t="s">
        <v>239</v>
      </c>
      <c r="K26" s="273">
        <v>19</v>
      </c>
      <c r="L26" s="273">
        <v>1</v>
      </c>
      <c r="M26" s="128" t="str">
        <f t="shared" si="0"/>
        <v>019.Cash Payment</v>
      </c>
      <c r="O26" s="153">
        <f t="shared" si="1"/>
        <v>1</v>
      </c>
    </row>
    <row r="27" spans="3:15" ht="23.25">
      <c r="C27" s="273">
        <v>20</v>
      </c>
      <c r="D27" s="273">
        <v>4</v>
      </c>
      <c r="E27" s="275" t="s">
        <v>649</v>
      </c>
      <c r="F27" s="274" t="s">
        <v>1853</v>
      </c>
      <c r="G27" s="273">
        <v>14</v>
      </c>
      <c r="H27" s="275" t="str">
        <f>IF(G27&lt;&gt;"",VLOOKUP(G27,ChartAccount!$C$8:$K$100,6,FALSE),"")</f>
        <v>Other Expense</v>
      </c>
      <c r="I27" s="273">
        <v>8</v>
      </c>
      <c r="J27" s="273" t="s">
        <v>239</v>
      </c>
      <c r="K27" s="273">
        <v>20</v>
      </c>
      <c r="L27" s="273">
        <v>1</v>
      </c>
      <c r="M27" s="128" t="str">
        <f t="shared" si="0"/>
        <v>020.Payment Discount</v>
      </c>
      <c r="O27" s="153">
        <f t="shared" si="1"/>
        <v>14</v>
      </c>
    </row>
    <row r="28" spans="3:15" ht="23.25">
      <c r="C28" s="273">
        <v>21</v>
      </c>
      <c r="D28" s="273">
        <v>4</v>
      </c>
      <c r="E28" s="275" t="s">
        <v>1854</v>
      </c>
      <c r="F28" s="274" t="s">
        <v>1855</v>
      </c>
      <c r="G28" s="273">
        <v>1</v>
      </c>
      <c r="H28" s="275" t="str">
        <f>IF(G28&lt;&gt;"",VLOOKUP(G28,ChartAccount!$C$8:$K$100,6,FALSE),"")</f>
        <v>Cash and Bank</v>
      </c>
      <c r="I28" s="273">
        <v>9</v>
      </c>
      <c r="J28" s="273" t="s">
        <v>239</v>
      </c>
      <c r="K28" s="273">
        <v>21</v>
      </c>
      <c r="L28" s="273">
        <v>1</v>
      </c>
      <c r="M28" s="128" t="str">
        <f t="shared" si="0"/>
        <v>021.Cash Deposit</v>
      </c>
      <c r="O28" s="153">
        <f t="shared" si="1"/>
        <v>1</v>
      </c>
    </row>
    <row r="29" spans="3:15" ht="23.25">
      <c r="C29" s="273">
        <v>22</v>
      </c>
      <c r="D29" s="273">
        <v>4</v>
      </c>
      <c r="E29" s="275" t="s">
        <v>1858</v>
      </c>
      <c r="F29" s="274" t="s">
        <v>1859</v>
      </c>
      <c r="G29" s="273">
        <v>1</v>
      </c>
      <c r="H29" s="275" t="str">
        <f>IF(G29&lt;&gt;"",VLOOKUP(G29,ChartAccount!$C$8:$K$100,6,FALSE),"")</f>
        <v>Cash and Bank</v>
      </c>
      <c r="I29" s="273">
        <v>10</v>
      </c>
      <c r="J29" s="273" t="s">
        <v>239</v>
      </c>
      <c r="K29" s="273">
        <v>22</v>
      </c>
      <c r="L29" s="273">
        <v>1</v>
      </c>
      <c r="M29" s="128" t="str">
        <f t="shared" si="0"/>
        <v>022.Sales Change</v>
      </c>
      <c r="O29" s="153">
        <f t="shared" si="1"/>
        <v>1</v>
      </c>
    </row>
    <row r="30" spans="3:15" ht="23.25">
      <c r="C30" s="273">
        <v>23</v>
      </c>
      <c r="D30" s="273">
        <v>4</v>
      </c>
      <c r="E30" s="275" t="s">
        <v>1864</v>
      </c>
      <c r="F30" s="274" t="s">
        <v>1865</v>
      </c>
      <c r="G30" s="273">
        <v>2</v>
      </c>
      <c r="H30" s="275" t="str">
        <f>IF(G30&lt;&gt;"",VLOOKUP(G30,ChartAccount!$C$8:$K$100,6,FALSE),"")</f>
        <v>Accounts Receivable</v>
      </c>
      <c r="I30" s="273">
        <v>11</v>
      </c>
      <c r="J30" s="273" t="s">
        <v>239</v>
      </c>
      <c r="K30" s="273">
        <v>23</v>
      </c>
      <c r="L30" s="273">
        <v>1</v>
      </c>
      <c r="M30" s="128" t="str">
        <f t="shared" si="0"/>
        <v>023.Unearned Revenue</v>
      </c>
      <c r="O30" s="153">
        <f t="shared" si="1"/>
        <v>2</v>
      </c>
    </row>
    <row r="31" spans="3:15" ht="23.25">
      <c r="C31" s="273">
        <v>24</v>
      </c>
      <c r="D31" s="273">
        <v>4</v>
      </c>
      <c r="E31" s="275" t="s">
        <v>1866</v>
      </c>
      <c r="F31" s="274" t="s">
        <v>1867</v>
      </c>
      <c r="G31" s="273">
        <v>12</v>
      </c>
      <c r="H31" s="275" t="str">
        <f>IF(G31&lt;&gt;"",VLOOKUP(G31,ChartAccount!$C$8:$K$100,6,FALSE),"")</f>
        <v>Expenses</v>
      </c>
      <c r="I31" s="273">
        <v>12</v>
      </c>
      <c r="J31" s="273" t="s">
        <v>239</v>
      </c>
      <c r="K31" s="273">
        <v>24</v>
      </c>
      <c r="L31" s="273">
        <v>1</v>
      </c>
      <c r="M31" s="128" t="str">
        <f t="shared" si="0"/>
        <v>024.Unearned Discount</v>
      </c>
      <c r="O31" s="153">
        <f t="shared" si="1"/>
        <v>12</v>
      </c>
    </row>
  </sheetData>
  <phoneticPr fontId="3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L10" sqref="L10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647"/>
      <c r="D5" s="647"/>
      <c r="E5" s="647"/>
      <c r="F5" s="647"/>
    </row>
    <row r="7" spans="3:6" ht="33.75" customHeight="1">
      <c r="C7" s="1086" t="s">
        <v>1760</v>
      </c>
      <c r="D7" s="1087" t="s">
        <v>1761</v>
      </c>
      <c r="E7" s="1087" t="s">
        <v>1843</v>
      </c>
      <c r="F7" s="1088" t="s">
        <v>427</v>
      </c>
    </row>
    <row r="8" spans="3:6" ht="24.95" customHeight="1">
      <c r="C8" s="1084">
        <v>1</v>
      </c>
      <c r="D8" s="1085" t="s">
        <v>1698</v>
      </c>
      <c r="E8" s="1084">
        <v>0</v>
      </c>
      <c r="F8" s="1084">
        <v>1</v>
      </c>
    </row>
    <row r="9" spans="3:6" ht="24.95" customHeight="1">
      <c r="C9" s="644">
        <v>2</v>
      </c>
      <c r="D9" s="645" t="s">
        <v>238</v>
      </c>
      <c r="E9" s="644">
        <v>1</v>
      </c>
      <c r="F9" s="644">
        <v>1</v>
      </c>
    </row>
    <row r="10" spans="3:6" ht="24.95" customHeight="1">
      <c r="C10" s="644">
        <v>3</v>
      </c>
      <c r="D10" s="645" t="s">
        <v>423</v>
      </c>
      <c r="E10" s="644">
        <v>2</v>
      </c>
      <c r="F10" s="644">
        <v>1</v>
      </c>
    </row>
    <row r="11" spans="3:6" ht="24.95" customHeight="1">
      <c r="C11" s="644">
        <v>4</v>
      </c>
      <c r="D11" s="645" t="s">
        <v>239</v>
      </c>
      <c r="E11" s="644">
        <v>3</v>
      </c>
      <c r="F11" s="644">
        <v>1</v>
      </c>
    </row>
    <row r="12" spans="3:6" ht="24.95" customHeight="1">
      <c r="C12" s="644">
        <v>5</v>
      </c>
      <c r="D12" s="645" t="s">
        <v>1718</v>
      </c>
      <c r="E12" s="644">
        <v>4</v>
      </c>
      <c r="F12" s="644">
        <v>1</v>
      </c>
    </row>
    <row r="13" spans="3:6" ht="24.95" customHeight="1">
      <c r="C13" s="644">
        <v>6</v>
      </c>
      <c r="D13" s="645" t="s">
        <v>240</v>
      </c>
      <c r="E13" s="644">
        <v>5</v>
      </c>
      <c r="F13" s="644">
        <v>1</v>
      </c>
    </row>
    <row r="14" spans="3:6" ht="24.95" customHeight="1">
      <c r="C14" s="644">
        <v>7</v>
      </c>
      <c r="D14" s="645" t="s">
        <v>241</v>
      </c>
      <c r="E14" s="644">
        <v>6</v>
      </c>
      <c r="F14" s="644">
        <v>1</v>
      </c>
    </row>
    <row r="15" spans="3:6" ht="24.95" customHeight="1">
      <c r="C15" s="644">
        <v>8</v>
      </c>
      <c r="D15" s="645" t="s">
        <v>247</v>
      </c>
      <c r="E15" s="644">
        <v>7</v>
      </c>
      <c r="F15" s="644">
        <v>1</v>
      </c>
    </row>
    <row r="16" spans="3:6" ht="24.95" customHeight="1">
      <c r="C16" s="644">
        <v>9</v>
      </c>
      <c r="D16" s="645" t="s">
        <v>1868</v>
      </c>
      <c r="E16" s="644">
        <v>8</v>
      </c>
      <c r="F16" s="644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673" r:id="rId3" name="Button 1">
              <controlPr defaultSize="0" print="0" autoFill="0" autoPict="0" altText="ទំព័រដើម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RowHeight="15"/>
  <cols>
    <col min="1" max="2" width="0" style="133" hidden="1" customWidth="1"/>
    <col min="3" max="3" width="9.140625" style="353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796" t="s">
        <v>428</v>
      </c>
      <c r="D3" s="1796"/>
      <c r="E3" s="1796"/>
      <c r="F3" s="1796"/>
      <c r="G3" s="1796"/>
    </row>
    <row r="5" spans="2:8" ht="3.75" customHeight="1"/>
    <row r="6" spans="2:8" ht="29.25" customHeight="1">
      <c r="B6" s="126"/>
      <c r="C6" s="892" t="s">
        <v>268</v>
      </c>
      <c r="D6" s="892" t="s">
        <v>12</v>
      </c>
      <c r="E6" s="892" t="s">
        <v>1697</v>
      </c>
      <c r="F6" s="892" t="s">
        <v>426</v>
      </c>
      <c r="G6" s="892" t="s">
        <v>182</v>
      </c>
      <c r="H6" s="1089"/>
    </row>
    <row r="7" spans="2:8" ht="20.100000000000001" customHeight="1">
      <c r="C7" s="273">
        <v>1</v>
      </c>
      <c r="D7" s="275" t="s">
        <v>1698</v>
      </c>
      <c r="E7" s="275" t="s">
        <v>1698</v>
      </c>
      <c r="F7" s="273">
        <v>1</v>
      </c>
      <c r="G7" s="273">
        <v>1</v>
      </c>
      <c r="H7" s="275" t="str">
        <f t="shared" ref="H7:H52" si="0">MID(TEXT(C7,"000"),1,40)&amp;"."&amp;D7</f>
        <v>001.Dashboard</v>
      </c>
    </row>
    <row r="8" spans="2:8" ht="20.100000000000001" customHeight="1">
      <c r="C8" s="273">
        <v>2</v>
      </c>
      <c r="D8" s="275" t="s">
        <v>1699</v>
      </c>
      <c r="E8" s="275" t="s">
        <v>1699</v>
      </c>
      <c r="F8" s="273">
        <v>2</v>
      </c>
      <c r="G8" s="273">
        <v>1</v>
      </c>
      <c r="H8" s="275" t="str">
        <f t="shared" si="0"/>
        <v>002.Home Page</v>
      </c>
    </row>
    <row r="9" spans="2:8" ht="20.100000000000001" customHeight="1">
      <c r="C9" s="273">
        <v>3</v>
      </c>
      <c r="D9" s="275" t="s">
        <v>421</v>
      </c>
      <c r="E9" s="275" t="s">
        <v>238</v>
      </c>
      <c r="F9" s="273">
        <v>3</v>
      </c>
      <c r="G9" s="273">
        <v>1</v>
      </c>
      <c r="H9" s="275" t="str">
        <f t="shared" si="0"/>
        <v>003.Product/Service</v>
      </c>
    </row>
    <row r="10" spans="2:8" ht="20.100000000000001" customHeight="1">
      <c r="C10" s="273">
        <v>4</v>
      </c>
      <c r="D10" s="275" t="s">
        <v>1700</v>
      </c>
      <c r="E10" s="275" t="s">
        <v>238</v>
      </c>
      <c r="F10" s="273">
        <v>4</v>
      </c>
      <c r="G10" s="273">
        <v>1</v>
      </c>
      <c r="H10" s="275" t="str">
        <f t="shared" si="0"/>
        <v>004.Inventory Adjustment</v>
      </c>
    </row>
    <row r="11" spans="2:8" ht="20.100000000000001" customHeight="1">
      <c r="C11" s="273">
        <v>5</v>
      </c>
      <c r="D11" s="275" t="s">
        <v>1701</v>
      </c>
      <c r="E11" s="275" t="s">
        <v>238</v>
      </c>
      <c r="F11" s="273">
        <v>5</v>
      </c>
      <c r="G11" s="273">
        <v>1</v>
      </c>
      <c r="H11" s="275" t="str">
        <f t="shared" si="0"/>
        <v>005.Tranfer Order</v>
      </c>
    </row>
    <row r="12" spans="2:8" ht="20.100000000000001" customHeight="1">
      <c r="C12" s="273">
        <v>6</v>
      </c>
      <c r="D12" s="275" t="s">
        <v>1702</v>
      </c>
      <c r="E12" s="275" t="s">
        <v>238</v>
      </c>
      <c r="F12" s="273">
        <v>6</v>
      </c>
      <c r="G12" s="273">
        <v>1</v>
      </c>
      <c r="H12" s="275" t="str">
        <f t="shared" si="0"/>
        <v>006.Goods Mixes</v>
      </c>
    </row>
    <row r="13" spans="2:8" ht="20.100000000000001" customHeight="1">
      <c r="C13" s="273">
        <v>7</v>
      </c>
      <c r="D13" s="275" t="s">
        <v>1703</v>
      </c>
      <c r="E13" s="275" t="s">
        <v>238</v>
      </c>
      <c r="F13" s="273">
        <v>7</v>
      </c>
      <c r="G13" s="273">
        <v>1</v>
      </c>
      <c r="H13" s="275" t="str">
        <f t="shared" si="0"/>
        <v>007.Transfer Receive</v>
      </c>
    </row>
    <row r="14" spans="2:8" ht="20.100000000000001" customHeight="1">
      <c r="C14" s="273">
        <v>8</v>
      </c>
      <c r="D14" s="275" t="s">
        <v>417</v>
      </c>
      <c r="E14" s="275" t="s">
        <v>423</v>
      </c>
      <c r="F14" s="273">
        <v>8</v>
      </c>
      <c r="G14" s="273">
        <v>1</v>
      </c>
      <c r="H14" s="275" t="str">
        <f t="shared" si="0"/>
        <v>008.Vendor</v>
      </c>
    </row>
    <row r="15" spans="2:8" ht="20.100000000000001" customHeight="1">
      <c r="C15" s="273">
        <v>9</v>
      </c>
      <c r="D15" s="275" t="s">
        <v>1704</v>
      </c>
      <c r="E15" s="275" t="s">
        <v>423</v>
      </c>
      <c r="F15" s="273">
        <v>9</v>
      </c>
      <c r="G15" s="273">
        <v>1</v>
      </c>
      <c r="H15" s="275" t="str">
        <f t="shared" si="0"/>
        <v>009.Purchase Order</v>
      </c>
    </row>
    <row r="16" spans="2:8" ht="20.100000000000001" customHeight="1">
      <c r="C16" s="273">
        <v>10</v>
      </c>
      <c r="D16" s="275" t="s">
        <v>1705</v>
      </c>
      <c r="E16" s="275" t="s">
        <v>423</v>
      </c>
      <c r="F16" s="273">
        <v>10</v>
      </c>
      <c r="G16" s="273">
        <v>1</v>
      </c>
      <c r="H16" s="275" t="str">
        <f t="shared" si="0"/>
        <v>010.Goods Receipt Note</v>
      </c>
    </row>
    <row r="17" spans="3:8" ht="20.100000000000001" customHeight="1">
      <c r="C17" s="273">
        <v>11</v>
      </c>
      <c r="D17" s="275" t="s">
        <v>1706</v>
      </c>
      <c r="E17" s="275" t="s">
        <v>423</v>
      </c>
      <c r="F17" s="273">
        <v>11</v>
      </c>
      <c r="G17" s="273">
        <v>1</v>
      </c>
      <c r="H17" s="275" t="str">
        <f t="shared" si="0"/>
        <v>011.Purchase Bill</v>
      </c>
    </row>
    <row r="18" spans="3:8" ht="20.100000000000001" customHeight="1">
      <c r="C18" s="273">
        <v>12</v>
      </c>
      <c r="D18" s="275" t="s">
        <v>1707</v>
      </c>
      <c r="E18" s="275" t="s">
        <v>423</v>
      </c>
      <c r="F18" s="273">
        <v>12</v>
      </c>
      <c r="G18" s="273">
        <v>1</v>
      </c>
      <c r="H18" s="275" t="str">
        <f t="shared" si="0"/>
        <v>012.Pay Bills</v>
      </c>
    </row>
    <row r="19" spans="3:8" ht="20.100000000000001" customHeight="1">
      <c r="C19" s="273">
        <v>13</v>
      </c>
      <c r="D19" s="275" t="s">
        <v>1708</v>
      </c>
      <c r="E19" s="275" t="s">
        <v>423</v>
      </c>
      <c r="F19" s="273">
        <v>13</v>
      </c>
      <c r="G19" s="273">
        <v>1</v>
      </c>
      <c r="H19" s="275" t="str">
        <f t="shared" si="0"/>
        <v>013.Purchase Return</v>
      </c>
    </row>
    <row r="20" spans="3:8" ht="20.100000000000001" customHeight="1">
      <c r="C20" s="273">
        <v>14</v>
      </c>
      <c r="D20" s="275" t="s">
        <v>425</v>
      </c>
      <c r="E20" s="275" t="s">
        <v>423</v>
      </c>
      <c r="F20" s="273">
        <v>14</v>
      </c>
      <c r="G20" s="273">
        <v>1</v>
      </c>
      <c r="H20" s="275" t="str">
        <f t="shared" si="0"/>
        <v>014.Cash Expense</v>
      </c>
    </row>
    <row r="21" spans="3:8" ht="20.100000000000001" customHeight="1">
      <c r="C21" s="273">
        <v>15</v>
      </c>
      <c r="D21" s="275" t="s">
        <v>1709</v>
      </c>
      <c r="E21" s="275" t="s">
        <v>423</v>
      </c>
      <c r="F21" s="273">
        <v>15</v>
      </c>
      <c r="G21" s="273">
        <v>1</v>
      </c>
      <c r="H21" s="275" t="str">
        <f t="shared" si="0"/>
        <v>015.Landing Cost</v>
      </c>
    </row>
    <row r="22" spans="3:8" ht="20.100000000000001" customHeight="1">
      <c r="C22" s="273">
        <v>16</v>
      </c>
      <c r="D22" s="275" t="s">
        <v>1710</v>
      </c>
      <c r="E22" s="275" t="s">
        <v>239</v>
      </c>
      <c r="F22" s="273">
        <v>16</v>
      </c>
      <c r="G22" s="273">
        <v>1</v>
      </c>
      <c r="H22" s="275" t="str">
        <f t="shared" si="0"/>
        <v>016.Quotation</v>
      </c>
    </row>
    <row r="23" spans="3:8" ht="20.100000000000001" customHeight="1">
      <c r="C23" s="273">
        <v>17</v>
      </c>
      <c r="D23" s="275" t="s">
        <v>1711</v>
      </c>
      <c r="E23" s="275" t="s">
        <v>239</v>
      </c>
      <c r="F23" s="273">
        <v>17</v>
      </c>
      <c r="G23" s="273">
        <v>1</v>
      </c>
      <c r="H23" s="275" t="str">
        <f t="shared" si="0"/>
        <v>017.Sales Order</v>
      </c>
    </row>
    <row r="24" spans="3:8" ht="20.100000000000001" customHeight="1">
      <c r="C24" s="273">
        <v>18</v>
      </c>
      <c r="D24" s="275" t="s">
        <v>1712</v>
      </c>
      <c r="E24" s="275" t="s">
        <v>239</v>
      </c>
      <c r="F24" s="273">
        <v>18</v>
      </c>
      <c r="G24" s="273">
        <v>1</v>
      </c>
      <c r="H24" s="275" t="str">
        <f t="shared" si="0"/>
        <v>018.Delivery Note</v>
      </c>
    </row>
    <row r="25" spans="3:8" ht="20.100000000000001" customHeight="1">
      <c r="C25" s="273">
        <v>19</v>
      </c>
      <c r="D25" s="275" t="s">
        <v>1713</v>
      </c>
      <c r="E25" s="275" t="s">
        <v>239</v>
      </c>
      <c r="F25" s="273">
        <v>19</v>
      </c>
      <c r="G25" s="273">
        <v>1</v>
      </c>
      <c r="H25" s="275" t="str">
        <f t="shared" si="0"/>
        <v>019.Sales / Invoice</v>
      </c>
    </row>
    <row r="26" spans="3:8" ht="20.100000000000001" customHeight="1">
      <c r="C26" s="273">
        <v>20</v>
      </c>
      <c r="D26" s="275" t="s">
        <v>1714</v>
      </c>
      <c r="E26" s="275" t="s">
        <v>239</v>
      </c>
      <c r="F26" s="273">
        <v>20</v>
      </c>
      <c r="G26" s="273">
        <v>1</v>
      </c>
      <c r="H26" s="275" t="str">
        <f t="shared" si="0"/>
        <v>020.Receive Payments</v>
      </c>
    </row>
    <row r="27" spans="3:8" ht="20.100000000000001" customHeight="1">
      <c r="C27" s="273">
        <v>21</v>
      </c>
      <c r="D27" s="275" t="s">
        <v>1715</v>
      </c>
      <c r="E27" s="275" t="s">
        <v>239</v>
      </c>
      <c r="F27" s="273">
        <v>21</v>
      </c>
      <c r="G27" s="273">
        <v>1</v>
      </c>
      <c r="H27" s="275" t="str">
        <f t="shared" si="0"/>
        <v>021.Sales Return</v>
      </c>
    </row>
    <row r="28" spans="3:8" ht="20.100000000000001" customHeight="1">
      <c r="C28" s="273">
        <v>22</v>
      </c>
      <c r="D28" s="275" t="s">
        <v>416</v>
      </c>
      <c r="E28" s="275" t="s">
        <v>239</v>
      </c>
      <c r="F28" s="273">
        <v>22</v>
      </c>
      <c r="G28" s="273">
        <v>1</v>
      </c>
      <c r="H28" s="275" t="str">
        <f t="shared" si="0"/>
        <v>022.Customer</v>
      </c>
    </row>
    <row r="29" spans="3:8" ht="20.100000000000001" customHeight="1">
      <c r="C29" s="273">
        <v>23</v>
      </c>
      <c r="D29" s="275" t="s">
        <v>1716</v>
      </c>
      <c r="E29" s="275" t="s">
        <v>239</v>
      </c>
      <c r="F29" s="273">
        <v>23</v>
      </c>
      <c r="G29" s="273">
        <v>1</v>
      </c>
      <c r="H29" s="275" t="str">
        <f t="shared" si="0"/>
        <v>023.Discount Promotional</v>
      </c>
    </row>
    <row r="30" spans="3:8" ht="20.100000000000001" customHeight="1">
      <c r="C30" s="273">
        <v>24</v>
      </c>
      <c r="D30" s="275" t="s">
        <v>1717</v>
      </c>
      <c r="E30" s="275" t="s">
        <v>1718</v>
      </c>
      <c r="F30" s="273">
        <v>24</v>
      </c>
      <c r="G30" s="273">
        <v>1</v>
      </c>
      <c r="H30" s="275" t="str">
        <f t="shared" si="0"/>
        <v>024.Point Of Sales</v>
      </c>
    </row>
    <row r="31" spans="3:8" ht="20.100000000000001" customHeight="1">
      <c r="C31" s="273">
        <v>25</v>
      </c>
      <c r="D31" s="275" t="s">
        <v>1719</v>
      </c>
      <c r="E31" s="275" t="s">
        <v>1718</v>
      </c>
      <c r="F31" s="273">
        <v>25</v>
      </c>
      <c r="G31" s="273">
        <v>1</v>
      </c>
      <c r="H31" s="275" t="str">
        <f t="shared" si="0"/>
        <v>025.Shift Control</v>
      </c>
    </row>
    <row r="32" spans="3:8" ht="20.100000000000001" customHeight="1">
      <c r="C32" s="273">
        <v>26</v>
      </c>
      <c r="D32" s="275" t="s">
        <v>1720</v>
      </c>
      <c r="E32" s="275" t="s">
        <v>1718</v>
      </c>
      <c r="F32" s="273">
        <v>26</v>
      </c>
      <c r="G32" s="273">
        <v>1</v>
      </c>
      <c r="H32" s="275" t="str">
        <f t="shared" si="0"/>
        <v>026.Shift Collect Cash</v>
      </c>
    </row>
    <row r="33" spans="3:8" ht="20.100000000000001" customHeight="1">
      <c r="C33" s="273">
        <v>27</v>
      </c>
      <c r="D33" s="275" t="s">
        <v>1721</v>
      </c>
      <c r="E33" s="275" t="s">
        <v>240</v>
      </c>
      <c r="F33" s="273">
        <v>27</v>
      </c>
      <c r="G33" s="273">
        <v>1</v>
      </c>
      <c r="H33" s="275" t="str">
        <f t="shared" si="0"/>
        <v>027.Journal Entry</v>
      </c>
    </row>
    <row r="34" spans="3:8" ht="20.100000000000001" customHeight="1">
      <c r="C34" s="273">
        <v>28</v>
      </c>
      <c r="D34" s="275" t="s">
        <v>1722</v>
      </c>
      <c r="E34" s="275" t="s">
        <v>240</v>
      </c>
      <c r="F34" s="273">
        <v>28</v>
      </c>
      <c r="G34" s="273">
        <v>1</v>
      </c>
      <c r="H34" s="275" t="str">
        <f t="shared" si="0"/>
        <v>028.Receive Payment Journal</v>
      </c>
    </row>
    <row r="35" spans="3:8" ht="20.100000000000001" customHeight="1">
      <c r="C35" s="273">
        <v>29</v>
      </c>
      <c r="D35" s="275" t="s">
        <v>1723</v>
      </c>
      <c r="E35" s="275" t="s">
        <v>240</v>
      </c>
      <c r="F35" s="273">
        <v>29</v>
      </c>
      <c r="G35" s="273">
        <v>1</v>
      </c>
      <c r="H35" s="275" t="str">
        <f t="shared" si="0"/>
        <v>029.Pay Bill Journal</v>
      </c>
    </row>
    <row r="36" spans="3:8" ht="20.100000000000001" customHeight="1">
      <c r="C36" s="273">
        <v>30</v>
      </c>
      <c r="D36" s="275" t="s">
        <v>1724</v>
      </c>
      <c r="E36" s="275" t="s">
        <v>240</v>
      </c>
      <c r="F36" s="273">
        <v>30</v>
      </c>
      <c r="G36" s="273">
        <v>1</v>
      </c>
      <c r="H36" s="275" t="str">
        <f t="shared" si="0"/>
        <v>030.Reconcil</v>
      </c>
    </row>
    <row r="37" spans="3:8" ht="20.100000000000001" customHeight="1">
      <c r="C37" s="273">
        <v>31</v>
      </c>
      <c r="D37" s="275" t="s">
        <v>1725</v>
      </c>
      <c r="E37" s="275" t="s">
        <v>240</v>
      </c>
      <c r="F37" s="273">
        <v>31</v>
      </c>
      <c r="G37" s="273">
        <v>1</v>
      </c>
      <c r="H37" s="275" t="str">
        <f t="shared" si="0"/>
        <v>031.Fixed Asset</v>
      </c>
    </row>
    <row r="38" spans="3:8" ht="20.100000000000001" customHeight="1">
      <c r="C38" s="273">
        <v>32</v>
      </c>
      <c r="D38" s="275" t="s">
        <v>1726</v>
      </c>
      <c r="E38" s="275" t="s">
        <v>241</v>
      </c>
      <c r="F38" s="273">
        <v>32</v>
      </c>
      <c r="G38" s="273">
        <v>1</v>
      </c>
      <c r="H38" s="275" t="str">
        <f t="shared" si="0"/>
        <v>032.Customer Balance</v>
      </c>
    </row>
    <row r="39" spans="3:8" ht="20.100000000000001" customHeight="1">
      <c r="C39" s="273">
        <v>33</v>
      </c>
      <c r="D39" s="275" t="s">
        <v>1727</v>
      </c>
      <c r="E39" s="275" t="s">
        <v>241</v>
      </c>
      <c r="F39" s="273">
        <v>33</v>
      </c>
      <c r="G39" s="273">
        <v>1</v>
      </c>
      <c r="H39" s="275" t="str">
        <f t="shared" si="0"/>
        <v>033.Sales Transaction</v>
      </c>
    </row>
    <row r="40" spans="3:8" ht="20.100000000000001" customHeight="1">
      <c r="C40" s="273">
        <v>34</v>
      </c>
      <c r="D40" s="275" t="s">
        <v>1728</v>
      </c>
      <c r="E40" s="275" t="s">
        <v>241</v>
      </c>
      <c r="F40" s="273">
        <v>34</v>
      </c>
      <c r="G40" s="273">
        <v>1</v>
      </c>
      <c r="H40" s="275" t="str">
        <f t="shared" si="0"/>
        <v>034.Vendor Balance</v>
      </c>
    </row>
    <row r="41" spans="3:8" ht="20.100000000000001" customHeight="1">
      <c r="C41" s="273">
        <v>35</v>
      </c>
      <c r="D41" s="275" t="s">
        <v>1729</v>
      </c>
      <c r="E41" s="275" t="s">
        <v>241</v>
      </c>
      <c r="F41" s="273">
        <v>35</v>
      </c>
      <c r="G41" s="273">
        <v>1</v>
      </c>
      <c r="H41" s="275" t="str">
        <f t="shared" si="0"/>
        <v>035.Purchase Transaction</v>
      </c>
    </row>
    <row r="42" spans="3:8" ht="20.100000000000001" customHeight="1">
      <c r="C42" s="273">
        <v>36</v>
      </c>
      <c r="D42" s="275" t="s">
        <v>1730</v>
      </c>
      <c r="E42" s="275" t="s">
        <v>241</v>
      </c>
      <c r="F42" s="273">
        <v>36</v>
      </c>
      <c r="G42" s="273">
        <v>1</v>
      </c>
      <c r="H42" s="275" t="str">
        <f t="shared" si="0"/>
        <v>036.Stock/Inventory</v>
      </c>
    </row>
    <row r="43" spans="3:8" ht="20.100000000000001" customHeight="1">
      <c r="C43" s="273">
        <v>37</v>
      </c>
      <c r="D43" s="275" t="s">
        <v>1731</v>
      </c>
      <c r="E43" s="275" t="s">
        <v>241</v>
      </c>
      <c r="F43" s="273">
        <v>37</v>
      </c>
      <c r="G43" s="273">
        <v>1</v>
      </c>
      <c r="H43" s="275" t="str">
        <f t="shared" si="0"/>
        <v>037.Financial</v>
      </c>
    </row>
    <row r="44" spans="3:8" ht="20.100000000000001" customHeight="1">
      <c r="C44" s="273">
        <v>38</v>
      </c>
      <c r="D44" s="275" t="s">
        <v>1732</v>
      </c>
      <c r="E44" s="275" t="s">
        <v>241</v>
      </c>
      <c r="F44" s="273">
        <v>38</v>
      </c>
      <c r="G44" s="273">
        <v>1</v>
      </c>
      <c r="H44" s="275" t="str">
        <f t="shared" si="0"/>
        <v>038.List</v>
      </c>
    </row>
    <row r="45" spans="3:8" ht="20.100000000000001" customHeight="1">
      <c r="C45" s="273">
        <v>39</v>
      </c>
      <c r="D45" s="275" t="s">
        <v>1733</v>
      </c>
      <c r="E45" s="275" t="s">
        <v>241</v>
      </c>
      <c r="F45" s="273">
        <v>39</v>
      </c>
      <c r="G45" s="273">
        <v>1</v>
      </c>
      <c r="H45" s="275" t="str">
        <f t="shared" si="0"/>
        <v>039.User</v>
      </c>
    </row>
    <row r="46" spans="3:8" ht="20.100000000000001" customHeight="1">
      <c r="C46" s="273">
        <v>40</v>
      </c>
      <c r="D46" s="275" t="s">
        <v>238</v>
      </c>
      <c r="E46" s="275" t="s">
        <v>1734</v>
      </c>
      <c r="F46" s="273">
        <v>40</v>
      </c>
      <c r="G46" s="273">
        <v>1</v>
      </c>
      <c r="H46" s="275" t="str">
        <f t="shared" si="0"/>
        <v>040.Inventory</v>
      </c>
    </row>
    <row r="47" spans="3:8" ht="20.100000000000001" customHeight="1">
      <c r="C47" s="273">
        <v>41</v>
      </c>
      <c r="D47" s="275" t="s">
        <v>423</v>
      </c>
      <c r="E47" s="275" t="s">
        <v>1734</v>
      </c>
      <c r="F47" s="273">
        <v>41</v>
      </c>
      <c r="G47" s="273">
        <v>1</v>
      </c>
      <c r="H47" s="275" t="str">
        <f t="shared" si="0"/>
        <v>041.Purchase</v>
      </c>
    </row>
    <row r="48" spans="3:8" ht="20.100000000000001" customHeight="1">
      <c r="C48" s="273">
        <v>42</v>
      </c>
      <c r="D48" s="275" t="s">
        <v>239</v>
      </c>
      <c r="E48" s="275" t="s">
        <v>1734</v>
      </c>
      <c r="F48" s="273">
        <v>42</v>
      </c>
      <c r="G48" s="273">
        <v>1</v>
      </c>
      <c r="H48" s="275" t="str">
        <f t="shared" si="0"/>
        <v>042.Sales</v>
      </c>
    </row>
    <row r="49" spans="3:8" ht="20.100000000000001" customHeight="1">
      <c r="C49" s="273">
        <v>43</v>
      </c>
      <c r="D49" s="275" t="s">
        <v>1718</v>
      </c>
      <c r="E49" s="275" t="s">
        <v>1734</v>
      </c>
      <c r="F49" s="273">
        <v>43</v>
      </c>
      <c r="G49" s="273">
        <v>1</v>
      </c>
      <c r="H49" s="275" t="str">
        <f t="shared" si="0"/>
        <v>043.POS</v>
      </c>
    </row>
    <row r="50" spans="3:8" ht="20.100000000000001" customHeight="1">
      <c r="C50" s="273">
        <v>44</v>
      </c>
      <c r="D50" s="275" t="s">
        <v>240</v>
      </c>
      <c r="E50" s="275" t="s">
        <v>1734</v>
      </c>
      <c r="F50" s="273">
        <v>44</v>
      </c>
      <c r="G50" s="273">
        <v>1</v>
      </c>
      <c r="H50" s="275" t="str">
        <f t="shared" si="0"/>
        <v>044.Accounting</v>
      </c>
    </row>
    <row r="51" spans="3:8" ht="20.100000000000001" customHeight="1">
      <c r="C51" s="273">
        <v>45</v>
      </c>
      <c r="D51" s="275" t="s">
        <v>424</v>
      </c>
      <c r="E51" s="275" t="s">
        <v>1734</v>
      </c>
      <c r="F51" s="273">
        <v>45</v>
      </c>
      <c r="G51" s="273">
        <v>1</v>
      </c>
      <c r="H51" s="275" t="str">
        <f t="shared" si="0"/>
        <v>045.General Setting</v>
      </c>
    </row>
    <row r="52" spans="3:8" ht="20.100000000000001" customHeight="1">
      <c r="C52" s="273">
        <v>46</v>
      </c>
      <c r="D52" s="275" t="s">
        <v>1734</v>
      </c>
      <c r="E52" s="275" t="s">
        <v>1734</v>
      </c>
      <c r="F52" s="273">
        <v>46</v>
      </c>
      <c r="G52" s="273">
        <v>1</v>
      </c>
      <c r="H52" s="275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98" activePane="bottomLeft" state="frozen"/>
      <selection pane="bottomLeft" activeCell="K104" sqref="K104"/>
    </sheetView>
  </sheetViews>
  <sheetFormatPr defaultRowHeight="23.25"/>
  <cols>
    <col min="1" max="3" width="9.140625" style="126"/>
    <col min="4" max="4" width="10.85546875" style="248" customWidth="1"/>
    <col min="5" max="5" width="16" style="126" customWidth="1"/>
    <col min="6" max="6" width="52" style="127" bestFit="1" customWidth="1"/>
    <col min="7" max="7" width="37.5703125" style="242" customWidth="1"/>
    <col min="8" max="8" width="36.5703125" style="242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397" customFormat="1" ht="44.25">
      <c r="C3" s="1797" t="s">
        <v>1585</v>
      </c>
      <c r="D3" s="1797"/>
      <c r="E3" s="1797"/>
      <c r="F3" s="1797"/>
      <c r="G3" s="1797"/>
      <c r="H3" s="1797"/>
      <c r="I3" s="1797"/>
    </row>
    <row r="4" spans="3:27" ht="3" customHeight="1"/>
    <row r="5" spans="3:27" ht="25.5">
      <c r="C5" s="891" t="s">
        <v>47</v>
      </c>
      <c r="D5" s="891" t="s">
        <v>307</v>
      </c>
      <c r="E5" s="891" t="s">
        <v>414</v>
      </c>
      <c r="F5" s="891" t="s">
        <v>308</v>
      </c>
      <c r="G5" s="1090" t="s">
        <v>415</v>
      </c>
      <c r="H5" s="1090" t="s">
        <v>716</v>
      </c>
      <c r="I5" s="1090" t="s">
        <v>199</v>
      </c>
      <c r="J5" s="393"/>
      <c r="K5" s="393"/>
      <c r="L5" s="393"/>
      <c r="M5" s="394"/>
      <c r="N5" s="39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4"/>
      <c r="Z5" s="393"/>
      <c r="AA5" s="393"/>
    </row>
    <row r="6" spans="3:27" ht="13.5" customHeight="1">
      <c r="C6" s="1091" t="s">
        <v>9</v>
      </c>
      <c r="D6" s="1091" t="s">
        <v>115</v>
      </c>
      <c r="E6" s="1091" t="s">
        <v>413</v>
      </c>
      <c r="F6" s="1091" t="s">
        <v>321</v>
      </c>
      <c r="G6" s="1092" t="s">
        <v>320</v>
      </c>
      <c r="H6" s="1092" t="s">
        <v>715</v>
      </c>
      <c r="I6" s="1092" t="s">
        <v>428</v>
      </c>
      <c r="J6" s="395"/>
      <c r="K6" s="395"/>
      <c r="L6" s="395"/>
      <c r="M6" s="396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6"/>
      <c r="Z6" s="395"/>
      <c r="AA6" s="395"/>
    </row>
    <row r="7" spans="3:27">
      <c r="C7" s="273">
        <v>1</v>
      </c>
      <c r="D7" s="272" t="s">
        <v>322</v>
      </c>
      <c r="E7" s="273">
        <f>MID(I7,1,3)*1</f>
        <v>3</v>
      </c>
      <c r="F7" s="274" t="s">
        <v>805</v>
      </c>
      <c r="G7" s="398" t="s">
        <v>438</v>
      </c>
      <c r="H7" s="398" t="s">
        <v>1368</v>
      </c>
      <c r="I7" s="275" t="s">
        <v>429</v>
      </c>
    </row>
    <row r="8" spans="3:27">
      <c r="C8" s="273">
        <v>2</v>
      </c>
      <c r="D8" s="272" t="s">
        <v>323</v>
      </c>
      <c r="E8" s="273">
        <f t="shared" ref="E8:E71" si="0">MID(I8,1,3)*1</f>
        <v>3</v>
      </c>
      <c r="F8" s="274" t="s">
        <v>109</v>
      </c>
      <c r="G8" s="398" t="s">
        <v>111</v>
      </c>
      <c r="H8" s="398" t="s">
        <v>1369</v>
      </c>
      <c r="I8" s="275" t="s">
        <v>429</v>
      </c>
    </row>
    <row r="9" spans="3:27">
      <c r="C9" s="273">
        <v>3</v>
      </c>
      <c r="D9" s="272" t="s">
        <v>324</v>
      </c>
      <c r="E9" s="273">
        <f t="shared" si="0"/>
        <v>3</v>
      </c>
      <c r="F9" s="274" t="s">
        <v>439</v>
      </c>
      <c r="G9" s="398" t="s">
        <v>439</v>
      </c>
      <c r="H9" s="398" t="s">
        <v>1370</v>
      </c>
      <c r="I9" s="275" t="s">
        <v>429</v>
      </c>
    </row>
    <row r="10" spans="3:27">
      <c r="C10" s="273">
        <v>4</v>
      </c>
      <c r="D10" s="272" t="s">
        <v>325</v>
      </c>
      <c r="E10" s="273">
        <f t="shared" si="0"/>
        <v>3</v>
      </c>
      <c r="F10" s="274" t="s">
        <v>806</v>
      </c>
      <c r="G10" s="398" t="s">
        <v>440</v>
      </c>
      <c r="H10" s="398" t="s">
        <v>1371</v>
      </c>
      <c r="I10" s="275" t="s">
        <v>429</v>
      </c>
    </row>
    <row r="11" spans="3:27">
      <c r="C11" s="273">
        <v>5</v>
      </c>
      <c r="D11" s="272" t="s">
        <v>326</v>
      </c>
      <c r="E11" s="273">
        <f t="shared" si="0"/>
        <v>3</v>
      </c>
      <c r="F11" s="274" t="s">
        <v>893</v>
      </c>
      <c r="G11" s="398" t="s">
        <v>472</v>
      </c>
      <c r="H11" s="398" t="s">
        <v>1372</v>
      </c>
      <c r="I11" s="275" t="s">
        <v>429</v>
      </c>
    </row>
    <row r="12" spans="3:27">
      <c r="C12" s="273">
        <v>6</v>
      </c>
      <c r="D12" s="272" t="s">
        <v>327</v>
      </c>
      <c r="E12" s="273">
        <f t="shared" si="0"/>
        <v>3</v>
      </c>
      <c r="F12" s="274" t="s">
        <v>807</v>
      </c>
      <c r="G12" s="398" t="s">
        <v>473</v>
      </c>
      <c r="H12" s="398" t="s">
        <v>1373</v>
      </c>
      <c r="I12" s="275" t="s">
        <v>429</v>
      </c>
    </row>
    <row r="13" spans="3:27">
      <c r="C13" s="273">
        <v>7</v>
      </c>
      <c r="D13" s="272" t="s">
        <v>328</v>
      </c>
      <c r="E13" s="273">
        <f t="shared" si="0"/>
        <v>3</v>
      </c>
      <c r="F13" s="274" t="s">
        <v>808</v>
      </c>
      <c r="G13" s="398" t="s">
        <v>446</v>
      </c>
      <c r="H13" s="398" t="s">
        <v>1374</v>
      </c>
      <c r="I13" s="275" t="s">
        <v>429</v>
      </c>
    </row>
    <row r="14" spans="3:27">
      <c r="C14" s="273">
        <v>8</v>
      </c>
      <c r="D14" s="272" t="s">
        <v>329</v>
      </c>
      <c r="E14" s="273">
        <f t="shared" si="0"/>
        <v>3</v>
      </c>
      <c r="F14" s="274" t="s">
        <v>809</v>
      </c>
      <c r="G14" s="398" t="s">
        <v>421</v>
      </c>
      <c r="H14" s="398" t="s">
        <v>1375</v>
      </c>
      <c r="I14" s="275" t="s">
        <v>429</v>
      </c>
    </row>
    <row r="15" spans="3:27">
      <c r="C15" s="273">
        <v>9</v>
      </c>
      <c r="D15" s="272" t="s">
        <v>330</v>
      </c>
      <c r="E15" s="273">
        <f t="shared" si="0"/>
        <v>3</v>
      </c>
      <c r="F15" s="274" t="s">
        <v>810</v>
      </c>
      <c r="G15" s="398" t="s">
        <v>447</v>
      </c>
      <c r="H15" s="398" t="s">
        <v>1376</v>
      </c>
      <c r="I15" s="275" t="s">
        <v>429</v>
      </c>
    </row>
    <row r="16" spans="3:27">
      <c r="C16" s="273">
        <v>10</v>
      </c>
      <c r="D16" s="272" t="s">
        <v>331</v>
      </c>
      <c r="E16" s="273">
        <f t="shared" si="0"/>
        <v>3</v>
      </c>
      <c r="F16" s="274" t="s">
        <v>811</v>
      </c>
      <c r="G16" s="398" t="s">
        <v>448</v>
      </c>
      <c r="H16" s="398" t="s">
        <v>1377</v>
      </c>
      <c r="I16" s="275" t="s">
        <v>429</v>
      </c>
    </row>
    <row r="17" spans="3:9">
      <c r="C17" s="273">
        <v>11</v>
      </c>
      <c r="D17" s="272" t="s">
        <v>332</v>
      </c>
      <c r="E17" s="273">
        <f t="shared" si="0"/>
        <v>3</v>
      </c>
      <c r="F17" s="274" t="s">
        <v>812</v>
      </c>
      <c r="G17" s="398" t="s">
        <v>449</v>
      </c>
      <c r="H17" s="398" t="s">
        <v>1378</v>
      </c>
      <c r="I17" s="275" t="s">
        <v>429</v>
      </c>
    </row>
    <row r="18" spans="3:9">
      <c r="C18" s="273">
        <v>12</v>
      </c>
      <c r="D18" s="272" t="s">
        <v>333</v>
      </c>
      <c r="E18" s="273">
        <f t="shared" si="0"/>
        <v>3</v>
      </c>
      <c r="F18" s="274" t="s">
        <v>813</v>
      </c>
      <c r="G18" s="398" t="s">
        <v>450</v>
      </c>
      <c r="H18" s="398" t="s">
        <v>1379</v>
      </c>
      <c r="I18" s="275" t="s">
        <v>429</v>
      </c>
    </row>
    <row r="19" spans="3:9" ht="30">
      <c r="C19" s="273">
        <v>13</v>
      </c>
      <c r="D19" s="272" t="s">
        <v>334</v>
      </c>
      <c r="E19" s="273">
        <f t="shared" si="0"/>
        <v>3</v>
      </c>
      <c r="F19" s="274" t="s">
        <v>814</v>
      </c>
      <c r="G19" s="398" t="s">
        <v>451</v>
      </c>
      <c r="H19" s="398" t="s">
        <v>1380</v>
      </c>
      <c r="I19" s="275" t="s">
        <v>429</v>
      </c>
    </row>
    <row r="20" spans="3:9" ht="30">
      <c r="C20" s="273">
        <v>14</v>
      </c>
      <c r="D20" s="272" t="s">
        <v>335</v>
      </c>
      <c r="E20" s="273">
        <f t="shared" si="0"/>
        <v>3</v>
      </c>
      <c r="F20" s="274" t="s">
        <v>815</v>
      </c>
      <c r="G20" s="398" t="s">
        <v>455</v>
      </c>
      <c r="H20" s="398" t="s">
        <v>1381</v>
      </c>
      <c r="I20" s="275" t="s">
        <v>429</v>
      </c>
    </row>
    <row r="21" spans="3:9">
      <c r="C21" s="273">
        <v>15</v>
      </c>
      <c r="D21" s="272" t="s">
        <v>336</v>
      </c>
      <c r="E21" s="273">
        <f t="shared" si="0"/>
        <v>3</v>
      </c>
      <c r="F21" s="274" t="s">
        <v>816</v>
      </c>
      <c r="G21" s="398" t="s">
        <v>456</v>
      </c>
      <c r="H21" s="398" t="s">
        <v>1382</v>
      </c>
      <c r="I21" s="275" t="s">
        <v>429</v>
      </c>
    </row>
    <row r="22" spans="3:9">
      <c r="C22" s="273">
        <v>16</v>
      </c>
      <c r="D22" s="272" t="s">
        <v>337</v>
      </c>
      <c r="E22" s="273">
        <f t="shared" si="0"/>
        <v>3</v>
      </c>
      <c r="F22" s="274" t="s">
        <v>817</v>
      </c>
      <c r="G22" s="398" t="s">
        <v>441</v>
      </c>
      <c r="H22" s="398" t="s">
        <v>1383</v>
      </c>
      <c r="I22" s="275" t="s">
        <v>429</v>
      </c>
    </row>
    <row r="23" spans="3:9">
      <c r="C23" s="273">
        <v>17</v>
      </c>
      <c r="D23" s="272" t="s">
        <v>338</v>
      </c>
      <c r="E23" s="273">
        <f t="shared" si="0"/>
        <v>3</v>
      </c>
      <c r="F23" s="274" t="s">
        <v>818</v>
      </c>
      <c r="G23" s="398" t="s">
        <v>457</v>
      </c>
      <c r="H23" s="398" t="s">
        <v>1384</v>
      </c>
      <c r="I23" s="275" t="s">
        <v>429</v>
      </c>
    </row>
    <row r="24" spans="3:9">
      <c r="C24" s="273">
        <v>18</v>
      </c>
      <c r="D24" s="272" t="s">
        <v>339</v>
      </c>
      <c r="E24" s="273">
        <f t="shared" si="0"/>
        <v>3</v>
      </c>
      <c r="F24" s="274" t="s">
        <v>819</v>
      </c>
      <c r="G24" s="398" t="s">
        <v>458</v>
      </c>
      <c r="H24" s="398" t="s">
        <v>1385</v>
      </c>
      <c r="I24" s="275" t="s">
        <v>429</v>
      </c>
    </row>
    <row r="25" spans="3:9">
      <c r="C25" s="273">
        <v>19</v>
      </c>
      <c r="D25" s="272" t="s">
        <v>340</v>
      </c>
      <c r="E25" s="273">
        <f t="shared" si="0"/>
        <v>3</v>
      </c>
      <c r="F25" s="274" t="s">
        <v>820</v>
      </c>
      <c r="G25" s="398" t="s">
        <v>459</v>
      </c>
      <c r="H25" s="398" t="s">
        <v>1386</v>
      </c>
      <c r="I25" s="275" t="s">
        <v>429</v>
      </c>
    </row>
    <row r="26" spans="3:9">
      <c r="C26" s="273">
        <v>20</v>
      </c>
      <c r="D26" s="272" t="s">
        <v>341</v>
      </c>
      <c r="E26" s="273">
        <f t="shared" si="0"/>
        <v>3</v>
      </c>
      <c r="F26" s="274" t="s">
        <v>821</v>
      </c>
      <c r="G26" s="398" t="s">
        <v>460</v>
      </c>
      <c r="H26" s="398" t="s">
        <v>1387</v>
      </c>
      <c r="I26" s="275" t="s">
        <v>429</v>
      </c>
    </row>
    <row r="27" spans="3:9" ht="30">
      <c r="C27" s="273">
        <v>21</v>
      </c>
      <c r="D27" s="272" t="s">
        <v>342</v>
      </c>
      <c r="E27" s="273">
        <f t="shared" si="0"/>
        <v>40</v>
      </c>
      <c r="F27" s="274" t="s">
        <v>822</v>
      </c>
      <c r="G27" s="398" t="s">
        <v>461</v>
      </c>
      <c r="H27" s="398" t="s">
        <v>1388</v>
      </c>
      <c r="I27" s="275" t="s">
        <v>433</v>
      </c>
    </row>
    <row r="28" spans="3:9" ht="30">
      <c r="C28" s="273">
        <v>22</v>
      </c>
      <c r="D28" s="272" t="s">
        <v>343</v>
      </c>
      <c r="E28" s="273">
        <f t="shared" si="0"/>
        <v>40</v>
      </c>
      <c r="F28" s="274" t="s">
        <v>823</v>
      </c>
      <c r="G28" s="398" t="s">
        <v>462</v>
      </c>
      <c r="H28" s="398" t="s">
        <v>1389</v>
      </c>
      <c r="I28" s="275" t="s">
        <v>433</v>
      </c>
    </row>
    <row r="29" spans="3:9" ht="30">
      <c r="C29" s="273">
        <v>23</v>
      </c>
      <c r="D29" s="272" t="s">
        <v>344</v>
      </c>
      <c r="E29" s="273">
        <f t="shared" si="0"/>
        <v>40</v>
      </c>
      <c r="F29" s="274" t="s">
        <v>824</v>
      </c>
      <c r="G29" s="398" t="s">
        <v>488</v>
      </c>
      <c r="H29" s="398" t="s">
        <v>1390</v>
      </c>
      <c r="I29" s="275" t="s">
        <v>433</v>
      </c>
    </row>
    <row r="30" spans="3:9">
      <c r="C30" s="273">
        <v>24</v>
      </c>
      <c r="D30" s="272" t="s">
        <v>345</v>
      </c>
      <c r="E30" s="273">
        <f t="shared" si="0"/>
        <v>40</v>
      </c>
      <c r="F30" s="274" t="s">
        <v>825</v>
      </c>
      <c r="G30" s="398" t="s">
        <v>463</v>
      </c>
      <c r="H30" s="398" t="s">
        <v>1391</v>
      </c>
      <c r="I30" s="275" t="s">
        <v>433</v>
      </c>
    </row>
    <row r="31" spans="3:9">
      <c r="C31" s="273">
        <v>25</v>
      </c>
      <c r="D31" s="272" t="s">
        <v>346</v>
      </c>
      <c r="E31" s="273">
        <f t="shared" si="0"/>
        <v>40</v>
      </c>
      <c r="F31" s="274" t="s">
        <v>826</v>
      </c>
      <c r="G31" s="398" t="s">
        <v>442</v>
      </c>
      <c r="H31" s="398" t="s">
        <v>1392</v>
      </c>
      <c r="I31" s="275" t="s">
        <v>433</v>
      </c>
    </row>
    <row r="32" spans="3:9">
      <c r="C32" s="273">
        <v>26</v>
      </c>
      <c r="D32" s="272" t="s">
        <v>347</v>
      </c>
      <c r="E32" s="273">
        <f t="shared" si="0"/>
        <v>40</v>
      </c>
      <c r="F32" s="274" t="s">
        <v>827</v>
      </c>
      <c r="G32" s="398" t="s">
        <v>481</v>
      </c>
      <c r="H32" s="398" t="s">
        <v>1393</v>
      </c>
      <c r="I32" s="275" t="s">
        <v>433</v>
      </c>
    </row>
    <row r="33" spans="3:9">
      <c r="C33" s="273">
        <v>27</v>
      </c>
      <c r="D33" s="272" t="s">
        <v>348</v>
      </c>
      <c r="E33" s="273">
        <f t="shared" si="0"/>
        <v>40</v>
      </c>
      <c r="F33" s="274" t="s">
        <v>828</v>
      </c>
      <c r="G33" s="398" t="s">
        <v>464</v>
      </c>
      <c r="H33" s="398" t="s">
        <v>1394</v>
      </c>
      <c r="I33" s="275" t="s">
        <v>433</v>
      </c>
    </row>
    <row r="34" spans="3:9" ht="30">
      <c r="C34" s="273">
        <v>28</v>
      </c>
      <c r="D34" s="272" t="s">
        <v>349</v>
      </c>
      <c r="E34" s="273">
        <f t="shared" si="0"/>
        <v>40</v>
      </c>
      <c r="F34" s="274" t="s">
        <v>829</v>
      </c>
      <c r="G34" s="398" t="s">
        <v>465</v>
      </c>
      <c r="H34" s="398" t="s">
        <v>1395</v>
      </c>
      <c r="I34" s="275" t="s">
        <v>433</v>
      </c>
    </row>
    <row r="35" spans="3:9" ht="30">
      <c r="C35" s="273">
        <v>29</v>
      </c>
      <c r="D35" s="272" t="s">
        <v>350</v>
      </c>
      <c r="E35" s="273">
        <f t="shared" si="0"/>
        <v>40</v>
      </c>
      <c r="F35" s="274" t="s">
        <v>830</v>
      </c>
      <c r="G35" s="398" t="s">
        <v>487</v>
      </c>
      <c r="H35" s="398" t="s">
        <v>1396</v>
      </c>
      <c r="I35" s="275" t="s">
        <v>433</v>
      </c>
    </row>
    <row r="36" spans="3:9">
      <c r="C36" s="273">
        <v>30</v>
      </c>
      <c r="D36" s="272" t="s">
        <v>351</v>
      </c>
      <c r="E36" s="273">
        <f t="shared" si="0"/>
        <v>40</v>
      </c>
      <c r="F36" s="274" t="s">
        <v>831</v>
      </c>
      <c r="G36" s="398" t="s">
        <v>466</v>
      </c>
      <c r="H36" s="398" t="s">
        <v>1391</v>
      </c>
      <c r="I36" s="275" t="s">
        <v>433</v>
      </c>
    </row>
    <row r="37" spans="3:9">
      <c r="C37" s="273">
        <v>31</v>
      </c>
      <c r="D37" s="272" t="s">
        <v>352</v>
      </c>
      <c r="E37" s="273">
        <f t="shared" si="0"/>
        <v>40</v>
      </c>
      <c r="F37" s="274" t="s">
        <v>826</v>
      </c>
      <c r="G37" s="398" t="s">
        <v>443</v>
      </c>
      <c r="H37" s="398" t="s">
        <v>1392</v>
      </c>
      <c r="I37" s="275" t="s">
        <v>433</v>
      </c>
    </row>
    <row r="38" spans="3:9">
      <c r="C38" s="273">
        <v>32</v>
      </c>
      <c r="D38" s="272" t="s">
        <v>353</v>
      </c>
      <c r="E38" s="273">
        <f t="shared" si="0"/>
        <v>40</v>
      </c>
      <c r="F38" s="274" t="s">
        <v>832</v>
      </c>
      <c r="G38" s="398" t="s">
        <v>482</v>
      </c>
      <c r="H38" s="398" t="s">
        <v>1393</v>
      </c>
      <c r="I38" s="275" t="s">
        <v>433</v>
      </c>
    </row>
    <row r="39" spans="3:9">
      <c r="C39" s="273">
        <v>33</v>
      </c>
      <c r="D39" s="272" t="s">
        <v>354</v>
      </c>
      <c r="E39" s="273">
        <f t="shared" si="0"/>
        <v>40</v>
      </c>
      <c r="F39" s="274" t="s">
        <v>833</v>
      </c>
      <c r="G39" s="398" t="s">
        <v>467</v>
      </c>
      <c r="H39" s="398" t="s">
        <v>1394</v>
      </c>
      <c r="I39" s="275" t="s">
        <v>433</v>
      </c>
    </row>
    <row r="40" spans="3:9" ht="30">
      <c r="C40" s="273">
        <v>34</v>
      </c>
      <c r="D40" s="272" t="s">
        <v>355</v>
      </c>
      <c r="E40" s="273">
        <f t="shared" si="0"/>
        <v>40</v>
      </c>
      <c r="F40" s="274" t="s">
        <v>834</v>
      </c>
      <c r="G40" s="398" t="s">
        <v>468</v>
      </c>
      <c r="H40" s="398" t="s">
        <v>1395</v>
      </c>
      <c r="I40" s="275" t="s">
        <v>433</v>
      </c>
    </row>
    <row r="41" spans="3:9" ht="30">
      <c r="C41" s="273">
        <v>35</v>
      </c>
      <c r="D41" s="272" t="s">
        <v>356</v>
      </c>
      <c r="E41" s="273">
        <f t="shared" si="0"/>
        <v>40</v>
      </c>
      <c r="F41" s="274" t="s">
        <v>835</v>
      </c>
      <c r="G41" s="398" t="s">
        <v>486</v>
      </c>
      <c r="H41" s="398" t="s">
        <v>1396</v>
      </c>
      <c r="I41" s="275" t="s">
        <v>433</v>
      </c>
    </row>
    <row r="42" spans="3:9">
      <c r="C42" s="273">
        <v>36</v>
      </c>
      <c r="D42" s="272" t="s">
        <v>357</v>
      </c>
      <c r="E42" s="273">
        <f t="shared" si="0"/>
        <v>40</v>
      </c>
      <c r="F42" s="274" t="s">
        <v>836</v>
      </c>
      <c r="G42" s="398" t="s">
        <v>469</v>
      </c>
      <c r="H42" s="398" t="s">
        <v>1397</v>
      </c>
      <c r="I42" s="275" t="s">
        <v>433</v>
      </c>
    </row>
    <row r="43" spans="3:9">
      <c r="C43" s="273">
        <v>37</v>
      </c>
      <c r="D43" s="272" t="s">
        <v>358</v>
      </c>
      <c r="E43" s="273">
        <f t="shared" si="0"/>
        <v>40</v>
      </c>
      <c r="F43" s="274" t="s">
        <v>837</v>
      </c>
      <c r="G43" s="398" t="s">
        <v>444</v>
      </c>
      <c r="H43" s="398" t="s">
        <v>1398</v>
      </c>
      <c r="I43" s="275" t="s">
        <v>433</v>
      </c>
    </row>
    <row r="44" spans="3:9" ht="45">
      <c r="C44" s="273">
        <v>38</v>
      </c>
      <c r="D44" s="272" t="s">
        <v>359</v>
      </c>
      <c r="E44" s="273">
        <f t="shared" si="0"/>
        <v>40</v>
      </c>
      <c r="F44" s="274" t="s">
        <v>838</v>
      </c>
      <c r="G44" s="398" t="s">
        <v>470</v>
      </c>
      <c r="H44" s="398" t="s">
        <v>1399</v>
      </c>
      <c r="I44" s="275" t="s">
        <v>433</v>
      </c>
    </row>
    <row r="45" spans="3:9" ht="30">
      <c r="C45" s="273">
        <v>39</v>
      </c>
      <c r="D45" s="272" t="s">
        <v>360</v>
      </c>
      <c r="E45" s="273">
        <f t="shared" si="0"/>
        <v>40</v>
      </c>
      <c r="F45" s="274" t="s">
        <v>839</v>
      </c>
      <c r="G45" s="398" t="s">
        <v>471</v>
      </c>
      <c r="H45" s="398" t="s">
        <v>1400</v>
      </c>
      <c r="I45" s="275" t="s">
        <v>433</v>
      </c>
    </row>
    <row r="46" spans="3:9">
      <c r="C46" s="273">
        <v>40</v>
      </c>
      <c r="D46" s="272" t="s">
        <v>361</v>
      </c>
      <c r="E46" s="273">
        <f t="shared" si="0"/>
        <v>40</v>
      </c>
      <c r="F46" s="274" t="s">
        <v>840</v>
      </c>
      <c r="G46" s="398" t="s">
        <v>485</v>
      </c>
      <c r="H46" s="398" t="s">
        <v>1401</v>
      </c>
      <c r="I46" s="275" t="s">
        <v>433</v>
      </c>
    </row>
    <row r="47" spans="3:9">
      <c r="C47" s="273">
        <v>41</v>
      </c>
      <c r="D47" s="272" t="s">
        <v>362</v>
      </c>
      <c r="E47" s="273">
        <f t="shared" si="0"/>
        <v>40</v>
      </c>
      <c r="F47" s="274" t="s">
        <v>841</v>
      </c>
      <c r="G47" s="398" t="s">
        <v>474</v>
      </c>
      <c r="H47" s="398" t="s">
        <v>1402</v>
      </c>
      <c r="I47" s="275" t="s">
        <v>433</v>
      </c>
    </row>
    <row r="48" spans="3:9">
      <c r="C48" s="273">
        <v>42</v>
      </c>
      <c r="D48" s="272" t="s">
        <v>363</v>
      </c>
      <c r="E48" s="273">
        <f t="shared" si="0"/>
        <v>40</v>
      </c>
      <c r="F48" s="274" t="s">
        <v>842</v>
      </c>
      <c r="G48" s="398" t="s">
        <v>475</v>
      </c>
      <c r="H48" s="398" t="s">
        <v>1403</v>
      </c>
      <c r="I48" s="275" t="s">
        <v>433</v>
      </c>
    </row>
    <row r="49" spans="3:9" ht="30">
      <c r="C49" s="273">
        <v>43</v>
      </c>
      <c r="D49" s="272" t="s">
        <v>364</v>
      </c>
      <c r="E49" s="273">
        <f t="shared" si="0"/>
        <v>40</v>
      </c>
      <c r="F49" s="274" t="s">
        <v>843</v>
      </c>
      <c r="G49" s="398" t="s">
        <v>483</v>
      </c>
      <c r="H49" s="398" t="s">
        <v>1404</v>
      </c>
      <c r="I49" s="275" t="s">
        <v>433</v>
      </c>
    </row>
    <row r="50" spans="3:9" ht="30">
      <c r="C50" s="273">
        <v>44</v>
      </c>
      <c r="D50" s="272" t="s">
        <v>365</v>
      </c>
      <c r="E50" s="273">
        <f t="shared" si="0"/>
        <v>40</v>
      </c>
      <c r="F50" s="274" t="s">
        <v>844</v>
      </c>
      <c r="G50" s="398" t="s">
        <v>476</v>
      </c>
      <c r="H50" s="398" t="s">
        <v>1405</v>
      </c>
      <c r="I50" s="275" t="s">
        <v>433</v>
      </c>
    </row>
    <row r="51" spans="3:9">
      <c r="C51" s="273">
        <v>45</v>
      </c>
      <c r="D51" s="272" t="s">
        <v>366</v>
      </c>
      <c r="E51" s="273">
        <f t="shared" si="0"/>
        <v>40</v>
      </c>
      <c r="F51" s="274" t="s">
        <v>845</v>
      </c>
      <c r="G51" s="398" t="s">
        <v>477</v>
      </c>
      <c r="H51" s="398" t="s">
        <v>1406</v>
      </c>
      <c r="I51" s="275" t="s">
        <v>433</v>
      </c>
    </row>
    <row r="52" spans="3:9">
      <c r="C52" s="273">
        <v>46</v>
      </c>
      <c r="D52" s="272" t="s">
        <v>367</v>
      </c>
      <c r="E52" s="273">
        <f t="shared" si="0"/>
        <v>40</v>
      </c>
      <c r="F52" s="274" t="s">
        <v>846</v>
      </c>
      <c r="G52" s="398" t="s">
        <v>484</v>
      </c>
      <c r="H52" s="398" t="s">
        <v>1407</v>
      </c>
      <c r="I52" s="275" t="s">
        <v>433</v>
      </c>
    </row>
    <row r="53" spans="3:9" ht="30">
      <c r="C53" s="273">
        <v>47</v>
      </c>
      <c r="D53" s="272" t="s">
        <v>368</v>
      </c>
      <c r="E53" s="273">
        <f t="shared" si="0"/>
        <v>40</v>
      </c>
      <c r="F53" s="274" t="s">
        <v>847</v>
      </c>
      <c r="G53" s="398" t="s">
        <v>478</v>
      </c>
      <c r="H53" s="398" t="s">
        <v>1408</v>
      </c>
      <c r="I53" s="275" t="s">
        <v>433</v>
      </c>
    </row>
    <row r="54" spans="3:9">
      <c r="C54" s="273">
        <v>48</v>
      </c>
      <c r="D54" s="272" t="s">
        <v>369</v>
      </c>
      <c r="E54" s="273">
        <f t="shared" si="0"/>
        <v>40</v>
      </c>
      <c r="F54" s="274" t="s">
        <v>848</v>
      </c>
      <c r="G54" s="398" t="s">
        <v>445</v>
      </c>
      <c r="H54" s="398" t="s">
        <v>479</v>
      </c>
      <c r="I54" s="275" t="s">
        <v>433</v>
      </c>
    </row>
    <row r="55" spans="3:9">
      <c r="C55" s="273">
        <v>49</v>
      </c>
      <c r="D55" s="272" t="s">
        <v>370</v>
      </c>
      <c r="E55" s="273">
        <f t="shared" si="0"/>
        <v>40</v>
      </c>
      <c r="F55" s="274" t="s">
        <v>479</v>
      </c>
      <c r="G55" s="398" t="s">
        <v>479</v>
      </c>
      <c r="H55" s="398" t="s">
        <v>1409</v>
      </c>
      <c r="I55" s="275" t="s">
        <v>433</v>
      </c>
    </row>
    <row r="56" spans="3:9" ht="30">
      <c r="C56" s="273">
        <v>50</v>
      </c>
      <c r="D56" s="272" t="s">
        <v>371</v>
      </c>
      <c r="E56" s="273">
        <f t="shared" si="0"/>
        <v>40</v>
      </c>
      <c r="F56" s="274" t="s">
        <v>849</v>
      </c>
      <c r="G56" s="398" t="s">
        <v>480</v>
      </c>
      <c r="H56" s="398" t="s">
        <v>1410</v>
      </c>
      <c r="I56" s="275" t="s">
        <v>433</v>
      </c>
    </row>
    <row r="57" spans="3:9" ht="30">
      <c r="C57" s="273">
        <v>51</v>
      </c>
      <c r="D57" s="272" t="s">
        <v>372</v>
      </c>
      <c r="E57" s="273">
        <f t="shared" si="0"/>
        <v>40</v>
      </c>
      <c r="F57" s="274" t="s">
        <v>850</v>
      </c>
      <c r="G57" s="398" t="s">
        <v>489</v>
      </c>
      <c r="H57" s="398" t="s">
        <v>1411</v>
      </c>
      <c r="I57" s="275" t="s">
        <v>433</v>
      </c>
    </row>
    <row r="58" spans="3:9" ht="30">
      <c r="C58" s="273">
        <v>52</v>
      </c>
      <c r="D58" s="272" t="s">
        <v>373</v>
      </c>
      <c r="E58" s="273">
        <f t="shared" si="0"/>
        <v>40</v>
      </c>
      <c r="F58" s="274" t="s">
        <v>851</v>
      </c>
      <c r="G58" s="398" t="s">
        <v>490</v>
      </c>
      <c r="H58" s="398" t="s">
        <v>1412</v>
      </c>
      <c r="I58" s="275" t="s">
        <v>433</v>
      </c>
    </row>
    <row r="59" spans="3:9" ht="30">
      <c r="C59" s="273">
        <v>53</v>
      </c>
      <c r="D59" s="272" t="s">
        <v>374</v>
      </c>
      <c r="E59" s="273">
        <f t="shared" si="0"/>
        <v>40</v>
      </c>
      <c r="F59" s="274" t="s">
        <v>852</v>
      </c>
      <c r="G59" s="398" t="s">
        <v>491</v>
      </c>
      <c r="H59" s="398" t="s">
        <v>1413</v>
      </c>
      <c r="I59" s="275" t="s">
        <v>433</v>
      </c>
    </row>
    <row r="60" spans="3:9" ht="30">
      <c r="C60" s="273">
        <v>54</v>
      </c>
      <c r="D60" s="272" t="s">
        <v>375</v>
      </c>
      <c r="E60" s="273">
        <f t="shared" si="0"/>
        <v>40</v>
      </c>
      <c r="F60" s="274" t="s">
        <v>853</v>
      </c>
      <c r="G60" s="398" t="s">
        <v>492</v>
      </c>
      <c r="H60" s="398" t="s">
        <v>1414</v>
      </c>
      <c r="I60" s="275" t="s">
        <v>433</v>
      </c>
    </row>
    <row r="61" spans="3:9">
      <c r="C61" s="273">
        <v>55</v>
      </c>
      <c r="D61" s="272" t="s">
        <v>376</v>
      </c>
      <c r="E61" s="273">
        <f t="shared" si="0"/>
        <v>40</v>
      </c>
      <c r="F61" s="274" t="s">
        <v>854</v>
      </c>
      <c r="G61" s="398" t="s">
        <v>493</v>
      </c>
      <c r="H61" s="398" t="s">
        <v>1415</v>
      </c>
      <c r="I61" s="275" t="s">
        <v>433</v>
      </c>
    </row>
    <row r="62" spans="3:9">
      <c r="C62" s="273">
        <v>56</v>
      </c>
      <c r="D62" s="272" t="s">
        <v>377</v>
      </c>
      <c r="E62" s="273">
        <f t="shared" si="0"/>
        <v>40</v>
      </c>
      <c r="F62" s="274" t="s">
        <v>855</v>
      </c>
      <c r="G62" s="398" t="s">
        <v>494</v>
      </c>
      <c r="H62" s="398" t="s">
        <v>1416</v>
      </c>
      <c r="I62" s="275" t="s">
        <v>433</v>
      </c>
    </row>
    <row r="63" spans="3:9" ht="30">
      <c r="C63" s="273">
        <v>57</v>
      </c>
      <c r="D63" s="272" t="s">
        <v>378</v>
      </c>
      <c r="E63" s="273">
        <f t="shared" si="0"/>
        <v>40</v>
      </c>
      <c r="F63" s="274" t="s">
        <v>856</v>
      </c>
      <c r="G63" s="398" t="s">
        <v>495</v>
      </c>
      <c r="H63" s="398" t="s">
        <v>1417</v>
      </c>
      <c r="I63" s="275" t="s">
        <v>433</v>
      </c>
    </row>
    <row r="64" spans="3:9">
      <c r="C64" s="273">
        <v>58</v>
      </c>
      <c r="D64" s="272" t="s">
        <v>379</v>
      </c>
      <c r="E64" s="273">
        <f t="shared" si="0"/>
        <v>40</v>
      </c>
      <c r="F64" s="274" t="s">
        <v>857</v>
      </c>
      <c r="G64" s="398" t="s">
        <v>496</v>
      </c>
      <c r="H64" s="398" t="s">
        <v>1418</v>
      </c>
      <c r="I64" s="275" t="s">
        <v>433</v>
      </c>
    </row>
    <row r="65" spans="3:9">
      <c r="C65" s="273">
        <v>59</v>
      </c>
      <c r="D65" s="272" t="s">
        <v>380</v>
      </c>
      <c r="E65" s="273">
        <f t="shared" si="0"/>
        <v>40</v>
      </c>
      <c r="F65" s="274" t="s">
        <v>858</v>
      </c>
      <c r="G65" s="398" t="s">
        <v>497</v>
      </c>
      <c r="H65" s="398" t="s">
        <v>1419</v>
      </c>
      <c r="I65" s="275" t="s">
        <v>433</v>
      </c>
    </row>
    <row r="66" spans="3:9">
      <c r="C66" s="273">
        <v>60</v>
      </c>
      <c r="D66" s="272" t="s">
        <v>381</v>
      </c>
      <c r="E66" s="273">
        <f t="shared" si="0"/>
        <v>40</v>
      </c>
      <c r="F66" s="274" t="s">
        <v>859</v>
      </c>
      <c r="G66" s="398" t="s">
        <v>498</v>
      </c>
      <c r="H66" s="398" t="s">
        <v>1420</v>
      </c>
      <c r="I66" s="275" t="s">
        <v>433</v>
      </c>
    </row>
    <row r="67" spans="3:9">
      <c r="C67" s="273">
        <v>61</v>
      </c>
      <c r="D67" s="272" t="s">
        <v>382</v>
      </c>
      <c r="E67" s="273">
        <f t="shared" si="0"/>
        <v>40</v>
      </c>
      <c r="F67" s="274" t="s">
        <v>860</v>
      </c>
      <c r="G67" s="398" t="s">
        <v>499</v>
      </c>
      <c r="H67" s="398" t="s">
        <v>1421</v>
      </c>
      <c r="I67" s="275" t="s">
        <v>433</v>
      </c>
    </row>
    <row r="68" spans="3:9" ht="30">
      <c r="C68" s="273">
        <v>62</v>
      </c>
      <c r="D68" s="272" t="s">
        <v>383</v>
      </c>
      <c r="E68" s="273">
        <f t="shared" si="0"/>
        <v>40</v>
      </c>
      <c r="F68" s="274" t="s">
        <v>861</v>
      </c>
      <c r="G68" s="398" t="s">
        <v>500</v>
      </c>
      <c r="H68" s="398" t="s">
        <v>1422</v>
      </c>
      <c r="I68" s="275" t="s">
        <v>433</v>
      </c>
    </row>
    <row r="69" spans="3:9" ht="30">
      <c r="C69" s="273">
        <v>63</v>
      </c>
      <c r="D69" s="272" t="s">
        <v>384</v>
      </c>
      <c r="E69" s="273">
        <f t="shared" si="0"/>
        <v>40</v>
      </c>
      <c r="F69" s="274" t="s">
        <v>862</v>
      </c>
      <c r="G69" s="398" t="s">
        <v>501</v>
      </c>
      <c r="H69" s="398" t="s">
        <v>1423</v>
      </c>
      <c r="I69" s="275" t="s">
        <v>433</v>
      </c>
    </row>
    <row r="70" spans="3:9" ht="45">
      <c r="C70" s="273">
        <v>64</v>
      </c>
      <c r="D70" s="272" t="s">
        <v>385</v>
      </c>
      <c r="E70" s="273">
        <f t="shared" si="0"/>
        <v>40</v>
      </c>
      <c r="F70" s="274" t="s">
        <v>863</v>
      </c>
      <c r="G70" s="398" t="s">
        <v>502</v>
      </c>
      <c r="H70" s="398" t="s">
        <v>1424</v>
      </c>
      <c r="I70" s="275" t="s">
        <v>433</v>
      </c>
    </row>
    <row r="71" spans="3:9" ht="30">
      <c r="C71" s="273">
        <v>65</v>
      </c>
      <c r="D71" s="272" t="s">
        <v>386</v>
      </c>
      <c r="E71" s="273">
        <f t="shared" si="0"/>
        <v>40</v>
      </c>
      <c r="F71" s="274" t="s">
        <v>864</v>
      </c>
      <c r="G71" s="398" t="s">
        <v>503</v>
      </c>
      <c r="H71" s="398" t="s">
        <v>1425</v>
      </c>
      <c r="I71" s="275" t="s">
        <v>433</v>
      </c>
    </row>
    <row r="72" spans="3:9">
      <c r="C72" s="273">
        <v>66</v>
      </c>
      <c r="D72" s="272" t="s">
        <v>387</v>
      </c>
      <c r="E72" s="273">
        <f t="shared" ref="E72:E135" si="1">MID(I72,1,3)*1</f>
        <v>40</v>
      </c>
      <c r="F72" s="274" t="s">
        <v>865</v>
      </c>
      <c r="G72" s="398" t="s">
        <v>504</v>
      </c>
      <c r="H72" s="398" t="s">
        <v>1426</v>
      </c>
      <c r="I72" s="275" t="s">
        <v>433</v>
      </c>
    </row>
    <row r="73" spans="3:9">
      <c r="C73" s="273">
        <v>67</v>
      </c>
      <c r="D73" s="272" t="s">
        <v>388</v>
      </c>
      <c r="E73" s="273">
        <f t="shared" si="1"/>
        <v>40</v>
      </c>
      <c r="F73" s="274" t="s">
        <v>866</v>
      </c>
      <c r="G73" s="398" t="s">
        <v>505</v>
      </c>
      <c r="H73" s="398" t="s">
        <v>1427</v>
      </c>
      <c r="I73" s="275" t="s">
        <v>433</v>
      </c>
    </row>
    <row r="74" spans="3:9">
      <c r="C74" s="273">
        <v>68</v>
      </c>
      <c r="D74" s="272" t="s">
        <v>389</v>
      </c>
      <c r="E74" s="273">
        <f t="shared" si="1"/>
        <v>40</v>
      </c>
      <c r="F74" s="274" t="s">
        <v>867</v>
      </c>
      <c r="G74" s="398" t="s">
        <v>506</v>
      </c>
      <c r="H74" s="398" t="s">
        <v>1428</v>
      </c>
      <c r="I74" s="275" t="s">
        <v>433</v>
      </c>
    </row>
    <row r="75" spans="3:9">
      <c r="C75" s="273">
        <v>69</v>
      </c>
      <c r="D75" s="272" t="s">
        <v>390</v>
      </c>
      <c r="E75" s="273">
        <f t="shared" si="1"/>
        <v>40</v>
      </c>
      <c r="F75" s="274" t="s">
        <v>868</v>
      </c>
      <c r="G75" s="398" t="s">
        <v>507</v>
      </c>
      <c r="H75" s="398" t="s">
        <v>1429</v>
      </c>
      <c r="I75" s="275" t="s">
        <v>433</v>
      </c>
    </row>
    <row r="76" spans="3:9">
      <c r="C76" s="273">
        <v>70</v>
      </c>
      <c r="D76" s="272" t="s">
        <v>391</v>
      </c>
      <c r="E76" s="273">
        <f t="shared" si="1"/>
        <v>40</v>
      </c>
      <c r="F76" s="274" t="s">
        <v>869</v>
      </c>
      <c r="G76" s="398" t="s">
        <v>508</v>
      </c>
      <c r="H76" s="398" t="s">
        <v>1430</v>
      </c>
      <c r="I76" s="275" t="s">
        <v>433</v>
      </c>
    </row>
    <row r="77" spans="3:9">
      <c r="C77" s="273">
        <v>71</v>
      </c>
      <c r="D77" s="272" t="s">
        <v>392</v>
      </c>
      <c r="E77" s="273">
        <f t="shared" si="1"/>
        <v>40</v>
      </c>
      <c r="F77" s="274" t="s">
        <v>807</v>
      </c>
      <c r="G77" s="398" t="s">
        <v>509</v>
      </c>
      <c r="H77" s="398" t="s">
        <v>1431</v>
      </c>
      <c r="I77" s="275" t="s">
        <v>433</v>
      </c>
    </row>
    <row r="78" spans="3:9">
      <c r="C78" s="273">
        <v>72</v>
      </c>
      <c r="D78" s="272" t="s">
        <v>393</v>
      </c>
      <c r="E78" s="273">
        <f t="shared" si="1"/>
        <v>40</v>
      </c>
      <c r="F78" s="274" t="s">
        <v>870</v>
      </c>
      <c r="G78" s="398" t="s">
        <v>510</v>
      </c>
      <c r="H78" s="398" t="s">
        <v>1432</v>
      </c>
      <c r="I78" s="275" t="s">
        <v>433</v>
      </c>
    </row>
    <row r="79" spans="3:9">
      <c r="C79" s="273">
        <v>73</v>
      </c>
      <c r="D79" s="272" t="s">
        <v>394</v>
      </c>
      <c r="E79" s="273">
        <f t="shared" si="1"/>
        <v>40</v>
      </c>
      <c r="F79" s="274" t="s">
        <v>871</v>
      </c>
      <c r="G79" s="398" t="s">
        <v>511</v>
      </c>
      <c r="H79" s="398" t="s">
        <v>1433</v>
      </c>
      <c r="I79" s="275" t="s">
        <v>433</v>
      </c>
    </row>
    <row r="80" spans="3:9" ht="30">
      <c r="C80" s="273">
        <v>74</v>
      </c>
      <c r="D80" s="272" t="s">
        <v>395</v>
      </c>
      <c r="E80" s="273">
        <f t="shared" si="1"/>
        <v>40</v>
      </c>
      <c r="F80" s="274" t="s">
        <v>872</v>
      </c>
      <c r="G80" s="398" t="s">
        <v>512</v>
      </c>
      <c r="H80" s="398" t="s">
        <v>1434</v>
      </c>
      <c r="I80" s="275" t="s">
        <v>433</v>
      </c>
    </row>
    <row r="81" spans="3:9" ht="30">
      <c r="C81" s="273">
        <v>75</v>
      </c>
      <c r="D81" s="272" t="s">
        <v>396</v>
      </c>
      <c r="E81" s="273">
        <f t="shared" si="1"/>
        <v>40</v>
      </c>
      <c r="F81" s="274" t="s">
        <v>873</v>
      </c>
      <c r="G81" s="398" t="s">
        <v>513</v>
      </c>
      <c r="H81" s="398" t="s">
        <v>1435</v>
      </c>
      <c r="I81" s="275" t="s">
        <v>433</v>
      </c>
    </row>
    <row r="82" spans="3:9" ht="30">
      <c r="C82" s="273">
        <v>76</v>
      </c>
      <c r="D82" s="272" t="s">
        <v>397</v>
      </c>
      <c r="E82" s="273">
        <f t="shared" si="1"/>
        <v>40</v>
      </c>
      <c r="F82" s="274" t="s">
        <v>874</v>
      </c>
      <c r="G82" s="398" t="s">
        <v>514</v>
      </c>
      <c r="H82" s="398" t="s">
        <v>1436</v>
      </c>
      <c r="I82" s="275" t="s">
        <v>433</v>
      </c>
    </row>
    <row r="83" spans="3:9" ht="30">
      <c r="C83" s="273">
        <v>77</v>
      </c>
      <c r="D83" s="272" t="s">
        <v>398</v>
      </c>
      <c r="E83" s="273">
        <f t="shared" si="1"/>
        <v>40</v>
      </c>
      <c r="F83" s="274" t="s">
        <v>875</v>
      </c>
      <c r="G83" s="398" t="s">
        <v>515</v>
      </c>
      <c r="H83" s="398" t="s">
        <v>1437</v>
      </c>
      <c r="I83" s="275" t="s">
        <v>433</v>
      </c>
    </row>
    <row r="84" spans="3:9" ht="30">
      <c r="C84" s="273">
        <v>78</v>
      </c>
      <c r="D84" s="272" t="s">
        <v>399</v>
      </c>
      <c r="E84" s="273">
        <f t="shared" si="1"/>
        <v>40</v>
      </c>
      <c r="F84" s="274" t="s">
        <v>876</v>
      </c>
      <c r="G84" s="398" t="s">
        <v>516</v>
      </c>
      <c r="H84" s="398" t="s">
        <v>1438</v>
      </c>
      <c r="I84" s="275" t="s">
        <v>433</v>
      </c>
    </row>
    <row r="85" spans="3:9" ht="30">
      <c r="C85" s="273">
        <v>79</v>
      </c>
      <c r="D85" s="272" t="s">
        <v>400</v>
      </c>
      <c r="E85" s="273">
        <f t="shared" si="1"/>
        <v>40</v>
      </c>
      <c r="F85" s="274" t="s">
        <v>877</v>
      </c>
      <c r="G85" s="398" t="s">
        <v>517</v>
      </c>
      <c r="H85" s="398" t="s">
        <v>1439</v>
      </c>
      <c r="I85" s="275" t="s">
        <v>433</v>
      </c>
    </row>
    <row r="86" spans="3:9">
      <c r="C86" s="273">
        <v>80</v>
      </c>
      <c r="D86" s="272" t="s">
        <v>401</v>
      </c>
      <c r="E86" s="273">
        <f t="shared" si="1"/>
        <v>40</v>
      </c>
      <c r="F86" s="274" t="s">
        <v>878</v>
      </c>
      <c r="G86" s="398" t="s">
        <v>422</v>
      </c>
      <c r="H86" s="398" t="s">
        <v>1440</v>
      </c>
      <c r="I86" s="275" t="s">
        <v>433</v>
      </c>
    </row>
    <row r="87" spans="3:9">
      <c r="C87" s="273">
        <v>81</v>
      </c>
      <c r="D87" s="272" t="s">
        <v>402</v>
      </c>
      <c r="E87" s="273">
        <f t="shared" si="1"/>
        <v>40</v>
      </c>
      <c r="F87" s="274" t="s">
        <v>879</v>
      </c>
      <c r="G87" s="398" t="s">
        <v>518</v>
      </c>
      <c r="H87" s="398" t="s">
        <v>1441</v>
      </c>
      <c r="I87" s="275" t="s">
        <v>433</v>
      </c>
    </row>
    <row r="88" spans="3:9">
      <c r="C88" s="273">
        <v>82</v>
      </c>
      <c r="D88" s="272" t="s">
        <v>403</v>
      </c>
      <c r="E88" s="273">
        <f t="shared" si="1"/>
        <v>40</v>
      </c>
      <c r="F88" s="274" t="s">
        <v>880</v>
      </c>
      <c r="G88" s="398" t="s">
        <v>519</v>
      </c>
      <c r="H88" s="398" t="s">
        <v>1442</v>
      </c>
      <c r="I88" s="275" t="s">
        <v>433</v>
      </c>
    </row>
    <row r="89" spans="3:9">
      <c r="C89" s="273">
        <v>83</v>
      </c>
      <c r="D89" s="272" t="s">
        <v>404</v>
      </c>
      <c r="E89" s="273">
        <f t="shared" si="1"/>
        <v>40</v>
      </c>
      <c r="F89" s="274" t="s">
        <v>881</v>
      </c>
      <c r="G89" s="398" t="s">
        <v>520</v>
      </c>
      <c r="H89" s="398" t="s">
        <v>1443</v>
      </c>
      <c r="I89" s="275" t="s">
        <v>433</v>
      </c>
    </row>
    <row r="90" spans="3:9" ht="30">
      <c r="C90" s="273">
        <v>84</v>
      </c>
      <c r="D90" s="272" t="s">
        <v>405</v>
      </c>
      <c r="E90" s="273">
        <f t="shared" si="1"/>
        <v>40</v>
      </c>
      <c r="F90" s="274" t="s">
        <v>882</v>
      </c>
      <c r="G90" s="398" t="s">
        <v>521</v>
      </c>
      <c r="H90" s="398" t="s">
        <v>1444</v>
      </c>
      <c r="I90" s="275" t="s">
        <v>433</v>
      </c>
    </row>
    <row r="91" spans="3:9">
      <c r="C91" s="273">
        <v>85</v>
      </c>
      <c r="D91" s="272" t="s">
        <v>406</v>
      </c>
      <c r="E91" s="273">
        <f t="shared" si="1"/>
        <v>40</v>
      </c>
      <c r="F91" s="274" t="s">
        <v>883</v>
      </c>
      <c r="G91" s="398" t="s">
        <v>522</v>
      </c>
      <c r="H91" s="398" t="s">
        <v>1445</v>
      </c>
      <c r="I91" s="275" t="s">
        <v>433</v>
      </c>
    </row>
    <row r="92" spans="3:9">
      <c r="C92" s="273">
        <v>86</v>
      </c>
      <c r="D92" s="272" t="s">
        <v>407</v>
      </c>
      <c r="E92" s="273">
        <f t="shared" si="1"/>
        <v>40</v>
      </c>
      <c r="F92" s="274" t="s">
        <v>884</v>
      </c>
      <c r="G92" s="398" t="s">
        <v>523</v>
      </c>
      <c r="H92" s="398" t="s">
        <v>1446</v>
      </c>
      <c r="I92" s="275" t="s">
        <v>433</v>
      </c>
    </row>
    <row r="93" spans="3:9" ht="30">
      <c r="C93" s="273">
        <v>87</v>
      </c>
      <c r="D93" s="272" t="s">
        <v>408</v>
      </c>
      <c r="E93" s="273">
        <f t="shared" si="1"/>
        <v>40</v>
      </c>
      <c r="F93" s="274" t="s">
        <v>885</v>
      </c>
      <c r="G93" s="398" t="s">
        <v>524</v>
      </c>
      <c r="H93" s="398" t="s">
        <v>1447</v>
      </c>
      <c r="I93" s="275" t="s">
        <v>433</v>
      </c>
    </row>
    <row r="94" spans="3:9">
      <c r="C94" s="273">
        <v>88</v>
      </c>
      <c r="D94" s="272" t="s">
        <v>409</v>
      </c>
      <c r="E94" s="273">
        <f t="shared" si="1"/>
        <v>40</v>
      </c>
      <c r="F94" s="274" t="s">
        <v>886</v>
      </c>
      <c r="G94" s="398" t="s">
        <v>525</v>
      </c>
      <c r="H94" s="398" t="s">
        <v>1448</v>
      </c>
      <c r="I94" s="275" t="s">
        <v>433</v>
      </c>
    </row>
    <row r="95" spans="3:9">
      <c r="C95" s="273">
        <v>89</v>
      </c>
      <c r="D95" s="272" t="s">
        <v>410</v>
      </c>
      <c r="E95" s="273">
        <f t="shared" si="1"/>
        <v>40</v>
      </c>
      <c r="F95" s="274" t="s">
        <v>887</v>
      </c>
      <c r="G95" s="398" t="s">
        <v>526</v>
      </c>
      <c r="H95" s="398" t="s">
        <v>1449</v>
      </c>
      <c r="I95" s="275" t="s">
        <v>433</v>
      </c>
    </row>
    <row r="96" spans="3:9">
      <c r="C96" s="273">
        <v>90</v>
      </c>
      <c r="D96" s="272" t="s">
        <v>411</v>
      </c>
      <c r="E96" s="273">
        <f t="shared" si="1"/>
        <v>40</v>
      </c>
      <c r="F96" s="274" t="s">
        <v>888</v>
      </c>
      <c r="G96" s="398" t="s">
        <v>527</v>
      </c>
      <c r="H96" s="398" t="s">
        <v>1450</v>
      </c>
      <c r="I96" s="275" t="s">
        <v>433</v>
      </c>
    </row>
    <row r="97" spans="3:9">
      <c r="C97" s="273">
        <v>91</v>
      </c>
      <c r="D97" s="272" t="s">
        <v>412</v>
      </c>
      <c r="E97" s="273">
        <f t="shared" si="1"/>
        <v>40</v>
      </c>
      <c r="F97" s="274" t="s">
        <v>889</v>
      </c>
      <c r="G97" s="398" t="s">
        <v>418</v>
      </c>
      <c r="H97" s="398" t="s">
        <v>1451</v>
      </c>
      <c r="I97" s="275" t="s">
        <v>433</v>
      </c>
    </row>
    <row r="98" spans="3:9">
      <c r="C98" s="273">
        <v>92</v>
      </c>
      <c r="D98" s="272" t="s">
        <v>1102</v>
      </c>
      <c r="E98" s="273">
        <f t="shared" si="1"/>
        <v>40</v>
      </c>
      <c r="F98" s="274" t="s">
        <v>890</v>
      </c>
      <c r="G98" s="398" t="s">
        <v>528</v>
      </c>
      <c r="H98" s="398" t="s">
        <v>1452</v>
      </c>
      <c r="I98" s="275" t="s">
        <v>433</v>
      </c>
    </row>
    <row r="99" spans="3:9">
      <c r="C99" s="273">
        <v>93</v>
      </c>
      <c r="D99" s="272" t="s">
        <v>1103</v>
      </c>
      <c r="E99" s="273">
        <f t="shared" si="1"/>
        <v>40</v>
      </c>
      <c r="F99" s="274" t="s">
        <v>891</v>
      </c>
      <c r="G99" s="398" t="s">
        <v>529</v>
      </c>
      <c r="H99" s="398" t="s">
        <v>1453</v>
      </c>
      <c r="I99" s="275" t="s">
        <v>433</v>
      </c>
    </row>
    <row r="100" spans="3:9">
      <c r="C100" s="273">
        <v>94</v>
      </c>
      <c r="D100" s="272" t="s">
        <v>1104</v>
      </c>
      <c r="E100" s="273">
        <f t="shared" si="1"/>
        <v>40</v>
      </c>
      <c r="F100" s="274" t="s">
        <v>892</v>
      </c>
      <c r="G100" s="398" t="s">
        <v>530</v>
      </c>
      <c r="H100" s="398" t="s">
        <v>1454</v>
      </c>
      <c r="I100" s="275" t="s">
        <v>433</v>
      </c>
    </row>
    <row r="101" spans="3:9" ht="30">
      <c r="C101" s="273">
        <v>95</v>
      </c>
      <c r="D101" s="272" t="s">
        <v>1105</v>
      </c>
      <c r="E101" s="273">
        <f t="shared" si="1"/>
        <v>40</v>
      </c>
      <c r="F101" s="274" t="s">
        <v>894</v>
      </c>
      <c r="G101" s="398" t="s">
        <v>531</v>
      </c>
      <c r="H101" s="398" t="s">
        <v>1455</v>
      </c>
      <c r="I101" s="275" t="s">
        <v>433</v>
      </c>
    </row>
    <row r="102" spans="3:9" ht="30">
      <c r="C102" s="273">
        <v>96</v>
      </c>
      <c r="D102" s="272" t="s">
        <v>1106</v>
      </c>
      <c r="E102" s="273">
        <f t="shared" si="1"/>
        <v>40</v>
      </c>
      <c r="F102" s="274" t="s">
        <v>895</v>
      </c>
      <c r="G102" s="398" t="s">
        <v>532</v>
      </c>
      <c r="H102" s="398" t="s">
        <v>1456</v>
      </c>
      <c r="I102" s="275" t="s">
        <v>433</v>
      </c>
    </row>
    <row r="103" spans="3:9" ht="30">
      <c r="C103" s="273">
        <v>97</v>
      </c>
      <c r="D103" s="272" t="s">
        <v>1107</v>
      </c>
      <c r="E103" s="273">
        <f t="shared" si="1"/>
        <v>40</v>
      </c>
      <c r="F103" s="274" t="s">
        <v>896</v>
      </c>
      <c r="G103" s="398" t="s">
        <v>533</v>
      </c>
      <c r="H103" s="398" t="s">
        <v>1457</v>
      </c>
      <c r="I103" s="275" t="s">
        <v>433</v>
      </c>
    </row>
    <row r="104" spans="3:9">
      <c r="C104" s="273">
        <v>98</v>
      </c>
      <c r="D104" s="272" t="s">
        <v>1108</v>
      </c>
      <c r="E104" s="273">
        <f t="shared" si="1"/>
        <v>40</v>
      </c>
      <c r="F104" s="274" t="s">
        <v>897</v>
      </c>
      <c r="G104" s="398" t="s">
        <v>534</v>
      </c>
      <c r="H104" s="398" t="s">
        <v>1458</v>
      </c>
      <c r="I104" s="275" t="s">
        <v>433</v>
      </c>
    </row>
    <row r="105" spans="3:9">
      <c r="C105" s="273">
        <v>99</v>
      </c>
      <c r="D105" s="272" t="s">
        <v>1109</v>
      </c>
      <c r="E105" s="273">
        <f t="shared" si="1"/>
        <v>41</v>
      </c>
      <c r="F105" s="274" t="s">
        <v>4</v>
      </c>
      <c r="G105" s="398" t="s">
        <v>423</v>
      </c>
      <c r="H105" s="398" t="s">
        <v>1459</v>
      </c>
      <c r="I105" s="275" t="s">
        <v>434</v>
      </c>
    </row>
    <row r="106" spans="3:9">
      <c r="C106" s="273">
        <v>100</v>
      </c>
      <c r="D106" s="272" t="s">
        <v>1110</v>
      </c>
      <c r="E106" s="273">
        <f t="shared" si="1"/>
        <v>41</v>
      </c>
      <c r="F106" s="274" t="s">
        <v>898</v>
      </c>
      <c r="G106" s="398" t="s">
        <v>426</v>
      </c>
      <c r="H106" s="398" t="s">
        <v>1460</v>
      </c>
      <c r="I106" s="275" t="s">
        <v>434</v>
      </c>
    </row>
    <row r="107" spans="3:9" ht="45">
      <c r="C107" s="273">
        <v>101</v>
      </c>
      <c r="D107" s="272" t="s">
        <v>1111</v>
      </c>
      <c r="E107" s="273">
        <f t="shared" si="1"/>
        <v>41</v>
      </c>
      <c r="F107" s="274" t="s">
        <v>899</v>
      </c>
      <c r="G107" s="398" t="s">
        <v>535</v>
      </c>
      <c r="H107" s="398" t="s">
        <v>1461</v>
      </c>
      <c r="I107" s="275" t="s">
        <v>434</v>
      </c>
    </row>
    <row r="108" spans="3:9" ht="30">
      <c r="C108" s="273">
        <v>102</v>
      </c>
      <c r="D108" s="272" t="s">
        <v>1112</v>
      </c>
      <c r="E108" s="273">
        <f t="shared" si="1"/>
        <v>41</v>
      </c>
      <c r="F108" s="274" t="s">
        <v>900</v>
      </c>
      <c r="G108" s="398" t="s">
        <v>536</v>
      </c>
      <c r="H108" s="398" t="s">
        <v>1462</v>
      </c>
      <c r="I108" s="275" t="s">
        <v>434</v>
      </c>
    </row>
    <row r="109" spans="3:9" ht="30">
      <c r="C109" s="273">
        <v>103</v>
      </c>
      <c r="D109" s="272" t="s">
        <v>1113</v>
      </c>
      <c r="E109" s="273">
        <f t="shared" si="1"/>
        <v>41</v>
      </c>
      <c r="F109" s="274" t="s">
        <v>901</v>
      </c>
      <c r="G109" s="398" t="s">
        <v>537</v>
      </c>
      <c r="H109" s="398" t="s">
        <v>1463</v>
      </c>
      <c r="I109" s="275" t="s">
        <v>434</v>
      </c>
    </row>
    <row r="110" spans="3:9">
      <c r="C110" s="273">
        <v>104</v>
      </c>
      <c r="D110" s="272" t="s">
        <v>1114</v>
      </c>
      <c r="E110" s="273">
        <f t="shared" si="1"/>
        <v>41</v>
      </c>
      <c r="F110" s="274" t="s">
        <v>902</v>
      </c>
      <c r="G110" s="398" t="s">
        <v>538</v>
      </c>
      <c r="H110" s="398" t="s">
        <v>1464</v>
      </c>
      <c r="I110" s="275" t="s">
        <v>434</v>
      </c>
    </row>
    <row r="111" spans="3:9">
      <c r="C111" s="273">
        <v>105</v>
      </c>
      <c r="D111" s="272" t="s">
        <v>1115</v>
      </c>
      <c r="E111" s="273">
        <f t="shared" si="1"/>
        <v>41</v>
      </c>
      <c r="F111" s="274" t="s">
        <v>903</v>
      </c>
      <c r="G111" s="398" t="s">
        <v>539</v>
      </c>
      <c r="H111" s="398" t="s">
        <v>1465</v>
      </c>
      <c r="I111" s="275" t="s">
        <v>434</v>
      </c>
    </row>
    <row r="112" spans="3:9">
      <c r="C112" s="273">
        <v>106</v>
      </c>
      <c r="D112" s="272" t="s">
        <v>1116</v>
      </c>
      <c r="E112" s="273">
        <f t="shared" si="1"/>
        <v>41</v>
      </c>
      <c r="F112" s="274" t="s">
        <v>904</v>
      </c>
      <c r="G112" s="398" t="s">
        <v>540</v>
      </c>
      <c r="H112" s="398" t="s">
        <v>1466</v>
      </c>
      <c r="I112" s="275" t="s">
        <v>434</v>
      </c>
    </row>
    <row r="113" spans="3:9">
      <c r="C113" s="273">
        <v>107</v>
      </c>
      <c r="D113" s="272" t="s">
        <v>1117</v>
      </c>
      <c r="E113" s="273">
        <f t="shared" si="1"/>
        <v>41</v>
      </c>
      <c r="F113" s="274" t="s">
        <v>905</v>
      </c>
      <c r="G113" s="398" t="s">
        <v>541</v>
      </c>
      <c r="H113" s="398" t="s">
        <v>1467</v>
      </c>
      <c r="I113" s="275" t="s">
        <v>434</v>
      </c>
    </row>
    <row r="114" spans="3:9">
      <c r="C114" s="273">
        <v>108</v>
      </c>
      <c r="D114" s="272" t="s">
        <v>1118</v>
      </c>
      <c r="E114" s="273">
        <f t="shared" si="1"/>
        <v>41</v>
      </c>
      <c r="F114" s="274" t="s">
        <v>906</v>
      </c>
      <c r="G114" s="398" t="s">
        <v>417</v>
      </c>
      <c r="H114" s="398" t="s">
        <v>1468</v>
      </c>
      <c r="I114" s="275" t="s">
        <v>434</v>
      </c>
    </row>
    <row r="115" spans="3:9" ht="30">
      <c r="C115" s="273">
        <v>109</v>
      </c>
      <c r="D115" s="272" t="s">
        <v>1119</v>
      </c>
      <c r="E115" s="273">
        <f t="shared" si="1"/>
        <v>41</v>
      </c>
      <c r="F115" s="274" t="s">
        <v>907</v>
      </c>
      <c r="G115" s="398" t="s">
        <v>542</v>
      </c>
      <c r="H115" s="398" t="s">
        <v>1469</v>
      </c>
      <c r="I115" s="275" t="s">
        <v>434</v>
      </c>
    </row>
    <row r="116" spans="3:9">
      <c r="C116" s="273">
        <v>110</v>
      </c>
      <c r="D116" s="272" t="s">
        <v>1120</v>
      </c>
      <c r="E116" s="273">
        <f t="shared" si="1"/>
        <v>41</v>
      </c>
      <c r="F116" s="274" t="s">
        <v>908</v>
      </c>
      <c r="G116" s="398" t="s">
        <v>452</v>
      </c>
      <c r="H116" s="398" t="s">
        <v>1470</v>
      </c>
      <c r="I116" s="275" t="s">
        <v>434</v>
      </c>
    </row>
    <row r="117" spans="3:9" ht="30">
      <c r="C117" s="273">
        <v>111</v>
      </c>
      <c r="D117" s="272" t="s">
        <v>1121</v>
      </c>
      <c r="E117" s="273">
        <f t="shared" si="1"/>
        <v>41</v>
      </c>
      <c r="F117" s="274" t="s">
        <v>909</v>
      </c>
      <c r="G117" s="398" t="s">
        <v>420</v>
      </c>
      <c r="H117" s="398" t="s">
        <v>1471</v>
      </c>
      <c r="I117" s="275" t="s">
        <v>434</v>
      </c>
    </row>
    <row r="118" spans="3:9" ht="30">
      <c r="C118" s="273">
        <v>112</v>
      </c>
      <c r="D118" s="272" t="s">
        <v>1122</v>
      </c>
      <c r="E118" s="273">
        <f t="shared" si="1"/>
        <v>41</v>
      </c>
      <c r="F118" s="274" t="s">
        <v>910</v>
      </c>
      <c r="G118" s="398" t="s">
        <v>543</v>
      </c>
      <c r="H118" s="398" t="s">
        <v>1472</v>
      </c>
      <c r="I118" s="275" t="s">
        <v>434</v>
      </c>
    </row>
    <row r="119" spans="3:9" ht="45">
      <c r="C119" s="273">
        <v>113</v>
      </c>
      <c r="D119" s="272" t="s">
        <v>1123</v>
      </c>
      <c r="E119" s="273">
        <f t="shared" si="1"/>
        <v>41</v>
      </c>
      <c r="F119" s="274" t="s">
        <v>911</v>
      </c>
      <c r="G119" s="398" t="s">
        <v>544</v>
      </c>
      <c r="H119" s="398" t="s">
        <v>1473</v>
      </c>
      <c r="I119" s="275" t="s">
        <v>434</v>
      </c>
    </row>
    <row r="120" spans="3:9" ht="30">
      <c r="C120" s="273">
        <v>114</v>
      </c>
      <c r="D120" s="272" t="s">
        <v>1124</v>
      </c>
      <c r="E120" s="273">
        <f t="shared" si="1"/>
        <v>41</v>
      </c>
      <c r="F120" s="274" t="s">
        <v>1100</v>
      </c>
      <c r="G120" s="398" t="s">
        <v>1101</v>
      </c>
      <c r="H120" s="398" t="s">
        <v>1474</v>
      </c>
      <c r="I120" s="275" t="s">
        <v>434</v>
      </c>
    </row>
    <row r="121" spans="3:9" ht="30">
      <c r="C121" s="273">
        <v>115</v>
      </c>
      <c r="D121" s="272" t="s">
        <v>1125</v>
      </c>
      <c r="E121" s="273">
        <f t="shared" si="1"/>
        <v>41</v>
      </c>
      <c r="F121" s="274" t="s">
        <v>912</v>
      </c>
      <c r="G121" s="398" t="s">
        <v>545</v>
      </c>
      <c r="H121" s="398" t="s">
        <v>1475</v>
      </c>
      <c r="I121" s="275" t="s">
        <v>434</v>
      </c>
    </row>
    <row r="122" spans="3:9">
      <c r="C122" s="273">
        <v>116</v>
      </c>
      <c r="D122" s="272" t="s">
        <v>1126</v>
      </c>
      <c r="E122" s="273">
        <f t="shared" si="1"/>
        <v>42</v>
      </c>
      <c r="F122" s="274" t="s">
        <v>913</v>
      </c>
      <c r="G122" s="398" t="s">
        <v>547</v>
      </c>
      <c r="H122" s="398" t="s">
        <v>1476</v>
      </c>
      <c r="I122" s="275" t="s">
        <v>546</v>
      </c>
    </row>
    <row r="123" spans="3:9">
      <c r="C123" s="273">
        <v>117</v>
      </c>
      <c r="D123" s="272" t="s">
        <v>1127</v>
      </c>
      <c r="E123" s="273">
        <f t="shared" si="1"/>
        <v>42</v>
      </c>
      <c r="F123" s="274" t="s">
        <v>914</v>
      </c>
      <c r="G123" s="398" t="s">
        <v>548</v>
      </c>
      <c r="H123" s="398" t="s">
        <v>1477</v>
      </c>
      <c r="I123" s="275" t="s">
        <v>546</v>
      </c>
    </row>
    <row r="124" spans="3:9" ht="30">
      <c r="C124" s="273">
        <v>118</v>
      </c>
      <c r="D124" s="272" t="s">
        <v>1128</v>
      </c>
      <c r="E124" s="273">
        <f t="shared" si="1"/>
        <v>42</v>
      </c>
      <c r="F124" s="274" t="s">
        <v>915</v>
      </c>
      <c r="G124" s="398" t="s">
        <v>549</v>
      </c>
      <c r="H124" s="398" t="s">
        <v>1478</v>
      </c>
      <c r="I124" s="275" t="s">
        <v>546</v>
      </c>
    </row>
    <row r="125" spans="3:9" ht="30">
      <c r="C125" s="273">
        <v>119</v>
      </c>
      <c r="D125" s="272" t="s">
        <v>1129</v>
      </c>
      <c r="E125" s="273">
        <f t="shared" si="1"/>
        <v>42</v>
      </c>
      <c r="F125" s="274" t="s">
        <v>916</v>
      </c>
      <c r="G125" s="398" t="s">
        <v>550</v>
      </c>
      <c r="H125" s="398" t="s">
        <v>1479</v>
      </c>
      <c r="I125" s="275" t="s">
        <v>546</v>
      </c>
    </row>
    <row r="126" spans="3:9" ht="30">
      <c r="C126" s="273">
        <v>120</v>
      </c>
      <c r="D126" s="272" t="s">
        <v>1130</v>
      </c>
      <c r="E126" s="273">
        <f t="shared" si="1"/>
        <v>42</v>
      </c>
      <c r="F126" s="274" t="s">
        <v>917</v>
      </c>
      <c r="G126" s="398" t="s">
        <v>551</v>
      </c>
      <c r="H126" s="398" t="s">
        <v>1480</v>
      </c>
      <c r="I126" s="275" t="s">
        <v>546</v>
      </c>
    </row>
    <row r="127" spans="3:9">
      <c r="C127" s="273">
        <v>121</v>
      </c>
      <c r="D127" s="272" t="s">
        <v>1131</v>
      </c>
      <c r="E127" s="273">
        <f t="shared" si="1"/>
        <v>42</v>
      </c>
      <c r="F127" s="274" t="s">
        <v>918</v>
      </c>
      <c r="G127" s="398" t="s">
        <v>552</v>
      </c>
      <c r="H127" s="398" t="s">
        <v>1481</v>
      </c>
      <c r="I127" s="275" t="s">
        <v>546</v>
      </c>
    </row>
    <row r="128" spans="3:9">
      <c r="C128" s="273">
        <v>122</v>
      </c>
      <c r="D128" s="272" t="s">
        <v>1132</v>
      </c>
      <c r="E128" s="273">
        <f t="shared" si="1"/>
        <v>42</v>
      </c>
      <c r="F128" s="274" t="s">
        <v>919</v>
      </c>
      <c r="G128" s="398" t="s">
        <v>553</v>
      </c>
      <c r="H128" s="398" t="s">
        <v>1482</v>
      </c>
      <c r="I128" s="275" t="s">
        <v>546</v>
      </c>
    </row>
    <row r="129" spans="3:9">
      <c r="C129" s="273">
        <v>123</v>
      </c>
      <c r="D129" s="272" t="s">
        <v>1133</v>
      </c>
      <c r="E129" s="273">
        <f t="shared" si="1"/>
        <v>42</v>
      </c>
      <c r="F129" s="274" t="s">
        <v>920</v>
      </c>
      <c r="G129" s="398" t="s">
        <v>554</v>
      </c>
      <c r="H129" s="398" t="s">
        <v>1483</v>
      </c>
      <c r="I129" s="275" t="s">
        <v>546</v>
      </c>
    </row>
    <row r="130" spans="3:9">
      <c r="C130" s="273">
        <v>124</v>
      </c>
      <c r="D130" s="272" t="s">
        <v>1134</v>
      </c>
      <c r="E130" s="273">
        <f t="shared" si="1"/>
        <v>42</v>
      </c>
      <c r="F130" s="274" t="s">
        <v>921</v>
      </c>
      <c r="G130" s="398" t="s">
        <v>555</v>
      </c>
      <c r="H130" s="398" t="s">
        <v>1484</v>
      </c>
      <c r="I130" s="275" t="s">
        <v>546</v>
      </c>
    </row>
    <row r="131" spans="3:9">
      <c r="C131" s="273">
        <v>125</v>
      </c>
      <c r="D131" s="272" t="s">
        <v>1135</v>
      </c>
      <c r="E131" s="273">
        <f t="shared" si="1"/>
        <v>42</v>
      </c>
      <c r="F131" s="274" t="s">
        <v>279</v>
      </c>
      <c r="G131" s="398" t="s">
        <v>416</v>
      </c>
      <c r="H131" s="398" t="s">
        <v>1485</v>
      </c>
      <c r="I131" s="275" t="s">
        <v>546</v>
      </c>
    </row>
    <row r="132" spans="3:9" ht="30">
      <c r="C132" s="273">
        <v>126</v>
      </c>
      <c r="D132" s="272" t="s">
        <v>1136</v>
      </c>
      <c r="E132" s="273">
        <f t="shared" si="1"/>
        <v>42</v>
      </c>
      <c r="F132" s="274" t="s">
        <v>922</v>
      </c>
      <c r="G132" s="398" t="s">
        <v>556</v>
      </c>
      <c r="H132" s="398" t="s">
        <v>1486</v>
      </c>
      <c r="I132" s="275" t="s">
        <v>546</v>
      </c>
    </row>
    <row r="133" spans="3:9">
      <c r="C133" s="273">
        <v>127</v>
      </c>
      <c r="D133" s="272" t="s">
        <v>1137</v>
      </c>
      <c r="E133" s="273">
        <f t="shared" si="1"/>
        <v>42</v>
      </c>
      <c r="F133" s="274" t="s">
        <v>923</v>
      </c>
      <c r="G133" s="398" t="s">
        <v>559</v>
      </c>
      <c r="H133" s="398" t="s">
        <v>1487</v>
      </c>
      <c r="I133" s="275" t="s">
        <v>546</v>
      </c>
    </row>
    <row r="134" spans="3:9" ht="30">
      <c r="C134" s="273">
        <v>128</v>
      </c>
      <c r="D134" s="272" t="s">
        <v>1138</v>
      </c>
      <c r="E134" s="273">
        <f t="shared" si="1"/>
        <v>42</v>
      </c>
      <c r="F134" s="274" t="s">
        <v>924</v>
      </c>
      <c r="G134" s="398" t="s">
        <v>557</v>
      </c>
      <c r="H134" s="398" t="s">
        <v>1488</v>
      </c>
      <c r="I134" s="275" t="s">
        <v>546</v>
      </c>
    </row>
    <row r="135" spans="3:9" ht="30">
      <c r="C135" s="273">
        <v>129</v>
      </c>
      <c r="D135" s="272" t="s">
        <v>1139</v>
      </c>
      <c r="E135" s="273">
        <f t="shared" si="1"/>
        <v>42</v>
      </c>
      <c r="F135" s="274" t="s">
        <v>925</v>
      </c>
      <c r="G135" s="398" t="s">
        <v>558</v>
      </c>
      <c r="H135" s="398" t="s">
        <v>1489</v>
      </c>
      <c r="I135" s="275" t="s">
        <v>546</v>
      </c>
    </row>
    <row r="136" spans="3:9" ht="30">
      <c r="C136" s="273">
        <v>130</v>
      </c>
      <c r="D136" s="272" t="s">
        <v>1140</v>
      </c>
      <c r="E136" s="273">
        <f t="shared" ref="E136:E199" si="2">MID(I136,1,3)*1</f>
        <v>42</v>
      </c>
      <c r="F136" s="274" t="s">
        <v>926</v>
      </c>
      <c r="G136" s="398" t="s">
        <v>565</v>
      </c>
      <c r="H136" s="398" t="s">
        <v>1490</v>
      </c>
      <c r="I136" s="275" t="s">
        <v>546</v>
      </c>
    </row>
    <row r="137" spans="3:9" ht="30">
      <c r="C137" s="273">
        <v>131</v>
      </c>
      <c r="D137" s="272" t="s">
        <v>1141</v>
      </c>
      <c r="E137" s="273">
        <f t="shared" si="2"/>
        <v>42</v>
      </c>
      <c r="F137" s="274" t="s">
        <v>927</v>
      </c>
      <c r="G137" s="398" t="s">
        <v>566</v>
      </c>
      <c r="H137" s="398" t="s">
        <v>1491</v>
      </c>
      <c r="I137" s="275" t="s">
        <v>546</v>
      </c>
    </row>
    <row r="138" spans="3:9">
      <c r="C138" s="273">
        <v>132</v>
      </c>
      <c r="D138" s="272" t="s">
        <v>1142</v>
      </c>
      <c r="E138" s="273">
        <f t="shared" si="2"/>
        <v>42</v>
      </c>
      <c r="F138" s="274" t="s">
        <v>928</v>
      </c>
      <c r="G138" s="398" t="s">
        <v>567</v>
      </c>
      <c r="H138" s="398" t="s">
        <v>1492</v>
      </c>
      <c r="I138" s="275" t="s">
        <v>546</v>
      </c>
    </row>
    <row r="139" spans="3:9">
      <c r="C139" s="273">
        <v>133</v>
      </c>
      <c r="D139" s="272" t="s">
        <v>1143</v>
      </c>
      <c r="E139" s="273">
        <f t="shared" si="2"/>
        <v>42</v>
      </c>
      <c r="F139" s="274" t="s">
        <v>929</v>
      </c>
      <c r="G139" s="398" t="s">
        <v>560</v>
      </c>
      <c r="H139" s="398" t="s">
        <v>1493</v>
      </c>
      <c r="I139" s="275" t="s">
        <v>546</v>
      </c>
    </row>
    <row r="140" spans="3:9">
      <c r="C140" s="273">
        <v>134</v>
      </c>
      <c r="D140" s="272" t="s">
        <v>1144</v>
      </c>
      <c r="E140" s="273">
        <f t="shared" si="2"/>
        <v>42</v>
      </c>
      <c r="F140" s="274" t="s">
        <v>930</v>
      </c>
      <c r="G140" s="398" t="s">
        <v>561</v>
      </c>
      <c r="H140" s="398" t="s">
        <v>1494</v>
      </c>
      <c r="I140" s="275" t="s">
        <v>546</v>
      </c>
    </row>
    <row r="141" spans="3:9">
      <c r="C141" s="273">
        <v>135</v>
      </c>
      <c r="D141" s="272" t="s">
        <v>1145</v>
      </c>
      <c r="E141" s="273">
        <f t="shared" si="2"/>
        <v>42</v>
      </c>
      <c r="F141" s="274" t="s">
        <v>931</v>
      </c>
      <c r="G141" s="398" t="s">
        <v>562</v>
      </c>
      <c r="H141" s="398" t="s">
        <v>1495</v>
      </c>
      <c r="I141" s="275" t="s">
        <v>546</v>
      </c>
    </row>
    <row r="142" spans="3:9">
      <c r="C142" s="273">
        <v>136</v>
      </c>
      <c r="D142" s="272" t="s">
        <v>1146</v>
      </c>
      <c r="E142" s="273">
        <f t="shared" si="2"/>
        <v>42</v>
      </c>
      <c r="F142" s="274" t="s">
        <v>932</v>
      </c>
      <c r="G142" s="398" t="s">
        <v>563</v>
      </c>
      <c r="H142" s="398" t="s">
        <v>1496</v>
      </c>
      <c r="I142" s="275" t="s">
        <v>546</v>
      </c>
    </row>
    <row r="143" spans="3:9">
      <c r="C143" s="273">
        <v>137</v>
      </c>
      <c r="D143" s="272" t="s">
        <v>1147</v>
      </c>
      <c r="E143" s="273">
        <f t="shared" si="2"/>
        <v>42</v>
      </c>
      <c r="F143" s="274" t="s">
        <v>933</v>
      </c>
      <c r="G143" s="398" t="s">
        <v>564</v>
      </c>
      <c r="H143" s="398" t="s">
        <v>1497</v>
      </c>
      <c r="I143" s="275" t="s">
        <v>546</v>
      </c>
    </row>
    <row r="144" spans="3:9">
      <c r="C144" s="273">
        <v>138</v>
      </c>
      <c r="D144" s="272" t="s">
        <v>1148</v>
      </c>
      <c r="E144" s="273">
        <f t="shared" si="2"/>
        <v>42</v>
      </c>
      <c r="F144" s="274" t="s">
        <v>934</v>
      </c>
      <c r="G144" s="398" t="s">
        <v>568</v>
      </c>
      <c r="H144" s="398" t="s">
        <v>1498</v>
      </c>
      <c r="I144" s="275" t="s">
        <v>546</v>
      </c>
    </row>
    <row r="145" spans="3:9" ht="30">
      <c r="C145" s="273">
        <v>139</v>
      </c>
      <c r="D145" s="272" t="s">
        <v>1149</v>
      </c>
      <c r="E145" s="273">
        <f t="shared" si="2"/>
        <v>42</v>
      </c>
      <c r="F145" s="274" t="s">
        <v>935</v>
      </c>
      <c r="G145" s="398" t="s">
        <v>569</v>
      </c>
      <c r="H145" s="398" t="s">
        <v>1499</v>
      </c>
      <c r="I145" s="275" t="s">
        <v>546</v>
      </c>
    </row>
    <row r="146" spans="3:9" ht="30">
      <c r="C146" s="273">
        <v>140</v>
      </c>
      <c r="D146" s="272" t="s">
        <v>1150</v>
      </c>
      <c r="E146" s="273">
        <f t="shared" si="2"/>
        <v>42</v>
      </c>
      <c r="F146" s="274" t="s">
        <v>936</v>
      </c>
      <c r="G146" s="398" t="s">
        <v>570</v>
      </c>
      <c r="H146" s="398" t="s">
        <v>1500</v>
      </c>
      <c r="I146" s="275" t="s">
        <v>546</v>
      </c>
    </row>
    <row r="147" spans="3:9">
      <c r="C147" s="273">
        <v>141</v>
      </c>
      <c r="D147" s="272" t="s">
        <v>1151</v>
      </c>
      <c r="E147" s="273">
        <f t="shared" si="2"/>
        <v>42</v>
      </c>
      <c r="F147" s="274" t="s">
        <v>937</v>
      </c>
      <c r="G147" s="398" t="s">
        <v>571</v>
      </c>
      <c r="H147" s="398" t="s">
        <v>1501</v>
      </c>
      <c r="I147" s="275" t="s">
        <v>546</v>
      </c>
    </row>
    <row r="148" spans="3:9">
      <c r="C148" s="273">
        <v>142</v>
      </c>
      <c r="D148" s="272" t="s">
        <v>1152</v>
      </c>
      <c r="E148" s="273">
        <f t="shared" si="2"/>
        <v>42</v>
      </c>
      <c r="F148" s="274" t="s">
        <v>938</v>
      </c>
      <c r="G148" s="398" t="s">
        <v>572</v>
      </c>
      <c r="H148" s="398" t="s">
        <v>1502</v>
      </c>
      <c r="I148" s="275" t="s">
        <v>546</v>
      </c>
    </row>
    <row r="149" spans="3:9">
      <c r="C149" s="273">
        <v>143</v>
      </c>
      <c r="D149" s="272" t="s">
        <v>1153</v>
      </c>
      <c r="E149" s="273">
        <f t="shared" si="2"/>
        <v>42</v>
      </c>
      <c r="F149" s="274" t="s">
        <v>939</v>
      </c>
      <c r="G149" s="398" t="s">
        <v>573</v>
      </c>
      <c r="H149" s="398" t="s">
        <v>1503</v>
      </c>
      <c r="I149" s="275" t="s">
        <v>546</v>
      </c>
    </row>
    <row r="150" spans="3:9" ht="30">
      <c r="C150" s="273">
        <v>144</v>
      </c>
      <c r="D150" s="272" t="s">
        <v>1154</v>
      </c>
      <c r="E150" s="273">
        <f t="shared" si="2"/>
        <v>42</v>
      </c>
      <c r="F150" s="274" t="s">
        <v>940</v>
      </c>
      <c r="G150" s="398" t="s">
        <v>574</v>
      </c>
      <c r="H150" s="398" t="s">
        <v>1499</v>
      </c>
      <c r="I150" s="275" t="s">
        <v>546</v>
      </c>
    </row>
    <row r="151" spans="3:9" ht="30">
      <c r="C151" s="273">
        <v>145</v>
      </c>
      <c r="D151" s="272" t="s">
        <v>1155</v>
      </c>
      <c r="E151" s="273">
        <f t="shared" si="2"/>
        <v>42</v>
      </c>
      <c r="F151" s="274" t="s">
        <v>941</v>
      </c>
      <c r="G151" s="398" t="s">
        <v>575</v>
      </c>
      <c r="H151" s="398" t="s">
        <v>1504</v>
      </c>
      <c r="I151" s="275" t="s">
        <v>546</v>
      </c>
    </row>
    <row r="152" spans="3:9" ht="30">
      <c r="C152" s="273">
        <v>146</v>
      </c>
      <c r="D152" s="272" t="s">
        <v>1156</v>
      </c>
      <c r="E152" s="273">
        <f t="shared" si="2"/>
        <v>42</v>
      </c>
      <c r="F152" s="274" t="s">
        <v>942</v>
      </c>
      <c r="G152" s="398" t="s">
        <v>576</v>
      </c>
      <c r="H152" s="398" t="s">
        <v>1505</v>
      </c>
      <c r="I152" s="275" t="s">
        <v>546</v>
      </c>
    </row>
    <row r="153" spans="3:9" ht="30">
      <c r="C153" s="273">
        <v>147</v>
      </c>
      <c r="D153" s="272" t="s">
        <v>1157</v>
      </c>
      <c r="E153" s="273">
        <f t="shared" si="2"/>
        <v>42</v>
      </c>
      <c r="F153" s="274" t="s">
        <v>943</v>
      </c>
      <c r="G153" s="398" t="s">
        <v>578</v>
      </c>
      <c r="H153" s="398" t="s">
        <v>1506</v>
      </c>
      <c r="I153" s="275" t="s">
        <v>546</v>
      </c>
    </row>
    <row r="154" spans="3:9" ht="30">
      <c r="C154" s="273">
        <v>148</v>
      </c>
      <c r="D154" s="272" t="s">
        <v>1158</v>
      </c>
      <c r="E154" s="273">
        <f t="shared" si="2"/>
        <v>42</v>
      </c>
      <c r="F154" s="274" t="s">
        <v>944</v>
      </c>
      <c r="G154" s="398" t="s">
        <v>579</v>
      </c>
      <c r="H154" s="398" t="s">
        <v>1499</v>
      </c>
      <c r="I154" s="275" t="s">
        <v>546</v>
      </c>
    </row>
    <row r="155" spans="3:9" ht="30">
      <c r="C155" s="273">
        <v>149</v>
      </c>
      <c r="D155" s="272" t="s">
        <v>1159</v>
      </c>
      <c r="E155" s="273">
        <f t="shared" si="2"/>
        <v>42</v>
      </c>
      <c r="F155" s="274" t="s">
        <v>945</v>
      </c>
      <c r="G155" s="398" t="s">
        <v>580</v>
      </c>
      <c r="H155" s="398" t="s">
        <v>1507</v>
      </c>
      <c r="I155" s="275" t="s">
        <v>546</v>
      </c>
    </row>
    <row r="156" spans="3:9" ht="30">
      <c r="C156" s="273">
        <v>150</v>
      </c>
      <c r="D156" s="272" t="s">
        <v>1160</v>
      </c>
      <c r="E156" s="273">
        <f t="shared" si="2"/>
        <v>42</v>
      </c>
      <c r="F156" s="274" t="s">
        <v>946</v>
      </c>
      <c r="G156" s="398" t="s">
        <v>581</v>
      </c>
      <c r="H156" s="398" t="s">
        <v>1508</v>
      </c>
      <c r="I156" s="275" t="s">
        <v>546</v>
      </c>
    </row>
    <row r="157" spans="3:9" ht="30">
      <c r="C157" s="273">
        <v>151</v>
      </c>
      <c r="D157" s="272" t="s">
        <v>1161</v>
      </c>
      <c r="E157" s="273">
        <f t="shared" si="2"/>
        <v>42</v>
      </c>
      <c r="F157" s="274" t="s">
        <v>947</v>
      </c>
      <c r="G157" s="398" t="s">
        <v>582</v>
      </c>
      <c r="H157" s="398" t="s">
        <v>1509</v>
      </c>
      <c r="I157" s="275" t="s">
        <v>546</v>
      </c>
    </row>
    <row r="158" spans="3:9">
      <c r="C158" s="273">
        <v>152</v>
      </c>
      <c r="D158" s="272" t="s">
        <v>1162</v>
      </c>
      <c r="E158" s="273">
        <f t="shared" si="2"/>
        <v>42</v>
      </c>
      <c r="F158" s="274" t="s">
        <v>948</v>
      </c>
      <c r="G158" s="398" t="s">
        <v>583</v>
      </c>
      <c r="H158" s="398" t="s">
        <v>1510</v>
      </c>
      <c r="I158" s="275" t="s">
        <v>546</v>
      </c>
    </row>
    <row r="159" spans="3:9">
      <c r="C159" s="273">
        <v>153</v>
      </c>
      <c r="D159" s="272" t="s">
        <v>1163</v>
      </c>
      <c r="E159" s="273">
        <f t="shared" si="2"/>
        <v>42</v>
      </c>
      <c r="F159" s="274" t="s">
        <v>949</v>
      </c>
      <c r="G159" s="398" t="s">
        <v>577</v>
      </c>
      <c r="H159" s="398" t="s">
        <v>1511</v>
      </c>
      <c r="I159" s="275" t="s">
        <v>546</v>
      </c>
    </row>
    <row r="160" spans="3:9">
      <c r="C160" s="273">
        <v>154</v>
      </c>
      <c r="D160" s="272" t="s">
        <v>1164</v>
      </c>
      <c r="E160" s="273">
        <f t="shared" si="2"/>
        <v>42</v>
      </c>
      <c r="F160" s="274" t="s">
        <v>950</v>
      </c>
      <c r="G160" s="398" t="s">
        <v>584</v>
      </c>
      <c r="H160" s="398" t="s">
        <v>1512</v>
      </c>
      <c r="I160" s="275" t="s">
        <v>546</v>
      </c>
    </row>
    <row r="161" spans="3:9">
      <c r="C161" s="273">
        <v>155</v>
      </c>
      <c r="D161" s="272" t="s">
        <v>1165</v>
      </c>
      <c r="E161" s="273">
        <f t="shared" si="2"/>
        <v>42</v>
      </c>
      <c r="F161" s="274" t="s">
        <v>951</v>
      </c>
      <c r="G161" s="398" t="s">
        <v>585</v>
      </c>
      <c r="H161" s="398" t="s">
        <v>1513</v>
      </c>
      <c r="I161" s="275" t="s">
        <v>546</v>
      </c>
    </row>
    <row r="162" spans="3:9">
      <c r="C162" s="273">
        <v>156</v>
      </c>
      <c r="D162" s="272" t="s">
        <v>1166</v>
      </c>
      <c r="E162" s="273">
        <f t="shared" si="2"/>
        <v>42</v>
      </c>
      <c r="F162" s="274" t="s">
        <v>952</v>
      </c>
      <c r="G162" s="398" t="s">
        <v>586</v>
      </c>
      <c r="H162" s="398" t="s">
        <v>1514</v>
      </c>
      <c r="I162" s="275" t="s">
        <v>546</v>
      </c>
    </row>
    <row r="163" spans="3:9">
      <c r="C163" s="273">
        <v>157</v>
      </c>
      <c r="D163" s="272" t="s">
        <v>1167</v>
      </c>
      <c r="E163" s="273">
        <f t="shared" si="2"/>
        <v>42</v>
      </c>
      <c r="F163" s="274" t="s">
        <v>953</v>
      </c>
      <c r="G163" s="398" t="s">
        <v>587</v>
      </c>
      <c r="H163" s="398" t="s">
        <v>1515</v>
      </c>
      <c r="I163" s="275" t="s">
        <v>546</v>
      </c>
    </row>
    <row r="164" spans="3:9" ht="30">
      <c r="C164" s="273">
        <v>158</v>
      </c>
      <c r="D164" s="272" t="s">
        <v>1168</v>
      </c>
      <c r="E164" s="273">
        <f t="shared" si="2"/>
        <v>42</v>
      </c>
      <c r="F164" s="274" t="s">
        <v>954</v>
      </c>
      <c r="G164" s="398" t="s">
        <v>588</v>
      </c>
      <c r="H164" s="398" t="s">
        <v>1516</v>
      </c>
      <c r="I164" s="275" t="s">
        <v>546</v>
      </c>
    </row>
    <row r="165" spans="3:9">
      <c r="C165" s="273">
        <v>159</v>
      </c>
      <c r="D165" s="272" t="s">
        <v>1169</v>
      </c>
      <c r="E165" s="273">
        <f t="shared" si="2"/>
        <v>42</v>
      </c>
      <c r="F165" s="274" t="s">
        <v>955</v>
      </c>
      <c r="G165" s="398" t="s">
        <v>589</v>
      </c>
      <c r="H165" s="398" t="s">
        <v>1517</v>
      </c>
      <c r="I165" s="275" t="s">
        <v>546</v>
      </c>
    </row>
    <row r="166" spans="3:9">
      <c r="C166" s="273">
        <v>160</v>
      </c>
      <c r="D166" s="272" t="s">
        <v>1170</v>
      </c>
      <c r="E166" s="273">
        <f t="shared" si="2"/>
        <v>42</v>
      </c>
      <c r="F166" s="274" t="s">
        <v>956</v>
      </c>
      <c r="G166" s="398" t="s">
        <v>590</v>
      </c>
      <c r="H166" s="398" t="s">
        <v>1518</v>
      </c>
      <c r="I166" s="275" t="s">
        <v>546</v>
      </c>
    </row>
    <row r="167" spans="3:9" ht="30">
      <c r="C167" s="273">
        <v>161</v>
      </c>
      <c r="D167" s="272" t="s">
        <v>1171</v>
      </c>
      <c r="E167" s="273">
        <f t="shared" si="2"/>
        <v>42</v>
      </c>
      <c r="F167" s="274" t="s">
        <v>957</v>
      </c>
      <c r="G167" s="398" t="s">
        <v>591</v>
      </c>
      <c r="H167" s="398" t="s">
        <v>1519</v>
      </c>
      <c r="I167" s="275" t="s">
        <v>546</v>
      </c>
    </row>
    <row r="168" spans="3:9" ht="30">
      <c r="C168" s="273">
        <v>162</v>
      </c>
      <c r="D168" s="272" t="s">
        <v>1172</v>
      </c>
      <c r="E168" s="273">
        <f t="shared" si="2"/>
        <v>42</v>
      </c>
      <c r="F168" s="274" t="s">
        <v>958</v>
      </c>
      <c r="G168" s="398" t="s">
        <v>419</v>
      </c>
      <c r="H168" s="398" t="s">
        <v>1520</v>
      </c>
      <c r="I168" s="275" t="s">
        <v>546</v>
      </c>
    </row>
    <row r="169" spans="3:9">
      <c r="C169" s="273">
        <v>163</v>
      </c>
      <c r="D169" s="272" t="s">
        <v>1173</v>
      </c>
      <c r="E169" s="273">
        <f t="shared" si="2"/>
        <v>42</v>
      </c>
      <c r="F169" s="274" t="s">
        <v>959</v>
      </c>
      <c r="G169" s="398" t="s">
        <v>592</v>
      </c>
      <c r="H169" s="398" t="s">
        <v>1521</v>
      </c>
      <c r="I169" s="275" t="s">
        <v>546</v>
      </c>
    </row>
    <row r="170" spans="3:9">
      <c r="C170" s="273">
        <v>164</v>
      </c>
      <c r="D170" s="272" t="s">
        <v>1174</v>
      </c>
      <c r="E170" s="273">
        <f t="shared" si="2"/>
        <v>42</v>
      </c>
      <c r="F170" s="274" t="s">
        <v>960</v>
      </c>
      <c r="G170" s="398" t="s">
        <v>593</v>
      </c>
      <c r="H170" s="398" t="s">
        <v>1481</v>
      </c>
      <c r="I170" s="275" t="s">
        <v>546</v>
      </c>
    </row>
    <row r="171" spans="3:9">
      <c r="C171" s="273">
        <v>165</v>
      </c>
      <c r="D171" s="272" t="s">
        <v>1175</v>
      </c>
      <c r="E171" s="273">
        <f t="shared" si="2"/>
        <v>43</v>
      </c>
      <c r="F171" s="274" t="s">
        <v>961</v>
      </c>
      <c r="G171" s="398" t="s">
        <v>595</v>
      </c>
      <c r="H171" s="398" t="s">
        <v>1522</v>
      </c>
      <c r="I171" s="275" t="s">
        <v>594</v>
      </c>
    </row>
    <row r="172" spans="3:9">
      <c r="C172" s="273">
        <v>166</v>
      </c>
      <c r="D172" s="272" t="s">
        <v>1176</v>
      </c>
      <c r="E172" s="273">
        <f t="shared" si="2"/>
        <v>43</v>
      </c>
      <c r="F172" s="274" t="s">
        <v>919</v>
      </c>
      <c r="G172" s="398" t="s">
        <v>553</v>
      </c>
      <c r="H172" s="398" t="s">
        <v>1523</v>
      </c>
      <c r="I172" s="275" t="s">
        <v>594</v>
      </c>
    </row>
    <row r="173" spans="3:9">
      <c r="C173" s="273">
        <v>167</v>
      </c>
      <c r="D173" s="272" t="s">
        <v>1177</v>
      </c>
      <c r="E173" s="273">
        <f t="shared" si="2"/>
        <v>43</v>
      </c>
      <c r="F173" s="274" t="s">
        <v>962</v>
      </c>
      <c r="G173" s="398" t="s">
        <v>13</v>
      </c>
      <c r="H173" s="398" t="s">
        <v>1524</v>
      </c>
      <c r="I173" s="275" t="s">
        <v>594</v>
      </c>
    </row>
    <row r="174" spans="3:9">
      <c r="C174" s="273">
        <v>168</v>
      </c>
      <c r="D174" s="272" t="s">
        <v>1178</v>
      </c>
      <c r="E174" s="273">
        <f t="shared" si="2"/>
        <v>43</v>
      </c>
      <c r="F174" s="274" t="s">
        <v>963</v>
      </c>
      <c r="G174" s="398" t="s">
        <v>596</v>
      </c>
      <c r="H174" s="398" t="s">
        <v>1525</v>
      </c>
      <c r="I174" s="275" t="s">
        <v>594</v>
      </c>
    </row>
    <row r="175" spans="3:9">
      <c r="C175" s="273">
        <v>169</v>
      </c>
      <c r="D175" s="272" t="s">
        <v>1179</v>
      </c>
      <c r="E175" s="273">
        <f t="shared" si="2"/>
        <v>43</v>
      </c>
      <c r="F175" s="274" t="s">
        <v>964</v>
      </c>
      <c r="G175" s="398" t="s">
        <v>597</v>
      </c>
      <c r="H175" s="398" t="s">
        <v>1526</v>
      </c>
      <c r="I175" s="275" t="s">
        <v>594</v>
      </c>
    </row>
    <row r="176" spans="3:9">
      <c r="C176" s="273">
        <v>170</v>
      </c>
      <c r="D176" s="272" t="s">
        <v>1180</v>
      </c>
      <c r="E176" s="273">
        <f t="shared" si="2"/>
        <v>43</v>
      </c>
      <c r="F176" s="274" t="s">
        <v>965</v>
      </c>
      <c r="G176" s="398" t="s">
        <v>598</v>
      </c>
      <c r="H176" s="398" t="s">
        <v>1527</v>
      </c>
      <c r="I176" s="275" t="s">
        <v>594</v>
      </c>
    </row>
    <row r="177" spans="3:9" ht="30">
      <c r="C177" s="273">
        <v>171</v>
      </c>
      <c r="D177" s="272" t="s">
        <v>1181</v>
      </c>
      <c r="E177" s="273">
        <f t="shared" si="2"/>
        <v>43</v>
      </c>
      <c r="F177" s="274" t="s">
        <v>966</v>
      </c>
      <c r="G177" s="398" t="s">
        <v>599</v>
      </c>
      <c r="H177" s="398" t="s">
        <v>1528</v>
      </c>
      <c r="I177" s="275" t="s">
        <v>594</v>
      </c>
    </row>
    <row r="178" spans="3:9" ht="30">
      <c r="C178" s="273">
        <v>172</v>
      </c>
      <c r="D178" s="272" t="s">
        <v>1182</v>
      </c>
      <c r="E178" s="273">
        <f t="shared" si="2"/>
        <v>43</v>
      </c>
      <c r="F178" s="274" t="s">
        <v>967</v>
      </c>
      <c r="G178" s="398" t="s">
        <v>600</v>
      </c>
      <c r="H178" s="398" t="s">
        <v>1529</v>
      </c>
      <c r="I178" s="275" t="s">
        <v>594</v>
      </c>
    </row>
    <row r="179" spans="3:9">
      <c r="C179" s="273">
        <v>173</v>
      </c>
      <c r="D179" s="272" t="s">
        <v>1183</v>
      </c>
      <c r="E179" s="273">
        <f t="shared" si="2"/>
        <v>43</v>
      </c>
      <c r="F179" s="274" t="s">
        <v>968</v>
      </c>
      <c r="G179" s="398" t="s">
        <v>601</v>
      </c>
      <c r="H179" s="398" t="s">
        <v>1530</v>
      </c>
      <c r="I179" s="275" t="s">
        <v>594</v>
      </c>
    </row>
    <row r="180" spans="3:9">
      <c r="C180" s="273">
        <v>174</v>
      </c>
      <c r="D180" s="272" t="s">
        <v>1184</v>
      </c>
      <c r="E180" s="273">
        <f t="shared" si="2"/>
        <v>43</v>
      </c>
      <c r="F180" s="274" t="s">
        <v>969</v>
      </c>
      <c r="G180" s="398" t="s">
        <v>602</v>
      </c>
      <c r="H180" s="398" t="s">
        <v>1531</v>
      </c>
      <c r="I180" s="275" t="s">
        <v>594</v>
      </c>
    </row>
    <row r="181" spans="3:9">
      <c r="C181" s="273">
        <v>175</v>
      </c>
      <c r="D181" s="272" t="s">
        <v>1185</v>
      </c>
      <c r="E181" s="273">
        <f t="shared" si="2"/>
        <v>43</v>
      </c>
      <c r="F181" s="274" t="s">
        <v>970</v>
      </c>
      <c r="G181" s="398" t="s">
        <v>603</v>
      </c>
      <c r="H181" s="398" t="s">
        <v>1532</v>
      </c>
      <c r="I181" s="275" t="s">
        <v>594</v>
      </c>
    </row>
    <row r="182" spans="3:9">
      <c r="C182" s="273">
        <v>176</v>
      </c>
      <c r="D182" s="272" t="s">
        <v>1186</v>
      </c>
      <c r="E182" s="273">
        <f t="shared" si="2"/>
        <v>43</v>
      </c>
      <c r="F182" s="274" t="s">
        <v>971</v>
      </c>
      <c r="G182" s="398" t="s">
        <v>604</v>
      </c>
      <c r="H182" s="398" t="s">
        <v>1533</v>
      </c>
      <c r="I182" s="275" t="s">
        <v>594</v>
      </c>
    </row>
    <row r="183" spans="3:9">
      <c r="C183" s="273">
        <v>177</v>
      </c>
      <c r="D183" s="272" t="s">
        <v>1187</v>
      </c>
      <c r="E183" s="273">
        <f t="shared" si="2"/>
        <v>43</v>
      </c>
      <c r="F183" s="274" t="s">
        <v>972</v>
      </c>
      <c r="G183" s="398" t="s">
        <v>605</v>
      </c>
      <c r="H183" s="398" t="s">
        <v>1534</v>
      </c>
      <c r="I183" s="275" t="s">
        <v>594</v>
      </c>
    </row>
    <row r="184" spans="3:9">
      <c r="C184" s="273">
        <v>178</v>
      </c>
      <c r="D184" s="272" t="s">
        <v>1188</v>
      </c>
      <c r="E184" s="273">
        <f t="shared" si="2"/>
        <v>43</v>
      </c>
      <c r="F184" s="274" t="s">
        <v>3</v>
      </c>
      <c r="G184" s="398" t="s">
        <v>606</v>
      </c>
      <c r="H184" s="398" t="s">
        <v>1535</v>
      </c>
      <c r="I184" s="275" t="s">
        <v>594</v>
      </c>
    </row>
    <row r="185" spans="3:9">
      <c r="C185" s="273">
        <v>179</v>
      </c>
      <c r="D185" s="272" t="s">
        <v>1189</v>
      </c>
      <c r="E185" s="273">
        <f t="shared" si="2"/>
        <v>43</v>
      </c>
      <c r="F185" s="274" t="s">
        <v>973</v>
      </c>
      <c r="G185" s="398" t="s">
        <v>607</v>
      </c>
      <c r="H185" s="398" t="s">
        <v>1536</v>
      </c>
      <c r="I185" s="275" t="s">
        <v>594</v>
      </c>
    </row>
    <row r="186" spans="3:9">
      <c r="C186" s="273">
        <v>180</v>
      </c>
      <c r="D186" s="272" t="s">
        <v>1190</v>
      </c>
      <c r="E186" s="273">
        <f t="shared" si="2"/>
        <v>43</v>
      </c>
      <c r="F186" s="274" t="s">
        <v>974</v>
      </c>
      <c r="G186" s="398" t="s">
        <v>608</v>
      </c>
      <c r="H186" s="398" t="s">
        <v>1537</v>
      </c>
      <c r="I186" s="275" t="s">
        <v>594</v>
      </c>
    </row>
    <row r="187" spans="3:9">
      <c r="C187" s="273">
        <v>181</v>
      </c>
      <c r="D187" s="272" t="s">
        <v>1191</v>
      </c>
      <c r="E187" s="273">
        <f t="shared" si="2"/>
        <v>43</v>
      </c>
      <c r="F187" s="274" t="s">
        <v>975</v>
      </c>
      <c r="G187" s="398" t="s">
        <v>609</v>
      </c>
      <c r="H187" s="398" t="s">
        <v>1538</v>
      </c>
      <c r="I187" s="275" t="s">
        <v>594</v>
      </c>
    </row>
    <row r="188" spans="3:9">
      <c r="C188" s="273">
        <v>182</v>
      </c>
      <c r="D188" s="272" t="s">
        <v>1192</v>
      </c>
      <c r="E188" s="273">
        <f t="shared" si="2"/>
        <v>43</v>
      </c>
      <c r="F188" s="274" t="s">
        <v>976</v>
      </c>
      <c r="G188" s="398" t="s">
        <v>610</v>
      </c>
      <c r="H188" s="398" t="s">
        <v>1539</v>
      </c>
      <c r="I188" s="275" t="s">
        <v>594</v>
      </c>
    </row>
    <row r="189" spans="3:9">
      <c r="C189" s="273">
        <v>183</v>
      </c>
      <c r="D189" s="272" t="s">
        <v>1193</v>
      </c>
      <c r="E189" s="273">
        <f t="shared" si="2"/>
        <v>43</v>
      </c>
      <c r="F189" s="274" t="s">
        <v>977</v>
      </c>
      <c r="G189" s="398" t="s">
        <v>611</v>
      </c>
      <c r="H189" s="398" t="s">
        <v>1540</v>
      </c>
      <c r="I189" s="275" t="s">
        <v>594</v>
      </c>
    </row>
    <row r="190" spans="3:9">
      <c r="C190" s="273">
        <v>184</v>
      </c>
      <c r="D190" s="272" t="s">
        <v>1194</v>
      </c>
      <c r="E190" s="273">
        <f t="shared" si="2"/>
        <v>43</v>
      </c>
      <c r="F190" s="274" t="s">
        <v>978</v>
      </c>
      <c r="G190" s="398" t="s">
        <v>612</v>
      </c>
      <c r="H190" s="398" t="s">
        <v>1541</v>
      </c>
      <c r="I190" s="275" t="s">
        <v>594</v>
      </c>
    </row>
    <row r="191" spans="3:9" ht="30">
      <c r="C191" s="273">
        <v>185</v>
      </c>
      <c r="D191" s="272" t="s">
        <v>1195</v>
      </c>
      <c r="E191" s="273">
        <f t="shared" si="2"/>
        <v>43</v>
      </c>
      <c r="F191" s="274" t="s">
        <v>979</v>
      </c>
      <c r="G191" s="398" t="s">
        <v>613</v>
      </c>
      <c r="H191" s="398" t="s">
        <v>1542</v>
      </c>
      <c r="I191" s="275" t="s">
        <v>594</v>
      </c>
    </row>
    <row r="192" spans="3:9" ht="30">
      <c r="C192" s="273">
        <v>186</v>
      </c>
      <c r="D192" s="272" t="s">
        <v>1196</v>
      </c>
      <c r="E192" s="273">
        <f t="shared" si="2"/>
        <v>43</v>
      </c>
      <c r="F192" s="274" t="s">
        <v>980</v>
      </c>
      <c r="G192" s="398" t="s">
        <v>614</v>
      </c>
      <c r="H192" s="398" t="s">
        <v>1543</v>
      </c>
      <c r="I192" s="275" t="s">
        <v>594</v>
      </c>
    </row>
    <row r="193" spans="3:9" ht="30">
      <c r="C193" s="273">
        <v>187</v>
      </c>
      <c r="D193" s="272" t="s">
        <v>1197</v>
      </c>
      <c r="E193" s="273">
        <f t="shared" si="2"/>
        <v>43</v>
      </c>
      <c r="F193" s="274" t="s">
        <v>981</v>
      </c>
      <c r="G193" s="398" t="s">
        <v>615</v>
      </c>
      <c r="H193" s="398" t="s">
        <v>437</v>
      </c>
      <c r="I193" s="275" t="s">
        <v>594</v>
      </c>
    </row>
    <row r="194" spans="3:9" ht="30">
      <c r="C194" s="273">
        <v>188</v>
      </c>
      <c r="D194" s="272" t="s">
        <v>1198</v>
      </c>
      <c r="E194" s="273">
        <f t="shared" si="2"/>
        <v>43</v>
      </c>
      <c r="F194" s="274" t="s">
        <v>982</v>
      </c>
      <c r="G194" s="398" t="s">
        <v>616</v>
      </c>
      <c r="H194" s="398" t="s">
        <v>1544</v>
      </c>
      <c r="I194" s="275" t="s">
        <v>594</v>
      </c>
    </row>
    <row r="195" spans="3:9">
      <c r="C195" s="273">
        <v>189</v>
      </c>
      <c r="D195" s="272" t="s">
        <v>1199</v>
      </c>
      <c r="E195" s="273">
        <f t="shared" si="2"/>
        <v>44</v>
      </c>
      <c r="F195" s="274" t="s">
        <v>414</v>
      </c>
      <c r="G195" s="398" t="s">
        <v>437</v>
      </c>
      <c r="H195" s="398" t="s">
        <v>1545</v>
      </c>
      <c r="I195" s="275" t="s">
        <v>435</v>
      </c>
    </row>
    <row r="196" spans="3:9">
      <c r="C196" s="273">
        <v>190</v>
      </c>
      <c r="D196" s="272" t="s">
        <v>1200</v>
      </c>
      <c r="E196" s="273">
        <f t="shared" si="2"/>
        <v>44</v>
      </c>
      <c r="F196" s="274" t="s">
        <v>775</v>
      </c>
      <c r="G196" s="398" t="s">
        <v>617</v>
      </c>
      <c r="H196" s="398" t="s">
        <v>1546</v>
      </c>
      <c r="I196" s="275" t="s">
        <v>435</v>
      </c>
    </row>
    <row r="197" spans="3:9">
      <c r="C197" s="273">
        <v>191</v>
      </c>
      <c r="D197" s="272" t="s">
        <v>1201</v>
      </c>
      <c r="E197" s="273">
        <f t="shared" si="2"/>
        <v>44</v>
      </c>
      <c r="F197" s="274" t="s">
        <v>983</v>
      </c>
      <c r="G197" s="398" t="s">
        <v>618</v>
      </c>
      <c r="H197" s="398" t="s">
        <v>1547</v>
      </c>
      <c r="I197" s="275" t="s">
        <v>435</v>
      </c>
    </row>
    <row r="198" spans="3:9">
      <c r="C198" s="273">
        <v>192</v>
      </c>
      <c r="D198" s="272" t="s">
        <v>1202</v>
      </c>
      <c r="E198" s="273">
        <f t="shared" si="2"/>
        <v>44</v>
      </c>
      <c r="F198" s="274" t="s">
        <v>984</v>
      </c>
      <c r="G198" s="398" t="s">
        <v>619</v>
      </c>
      <c r="H198" s="398" t="s">
        <v>1548</v>
      </c>
      <c r="I198" s="275" t="s">
        <v>435</v>
      </c>
    </row>
    <row r="199" spans="3:9">
      <c r="C199" s="273">
        <v>193</v>
      </c>
      <c r="D199" s="272" t="s">
        <v>1203</v>
      </c>
      <c r="E199" s="273">
        <f t="shared" si="2"/>
        <v>44</v>
      </c>
      <c r="F199" s="274" t="s">
        <v>985</v>
      </c>
      <c r="G199" s="398" t="s">
        <v>620</v>
      </c>
      <c r="H199" s="398" t="s">
        <v>1549</v>
      </c>
      <c r="I199" s="275" t="s">
        <v>435</v>
      </c>
    </row>
    <row r="200" spans="3:9">
      <c r="C200" s="273">
        <v>194</v>
      </c>
      <c r="D200" s="272" t="s">
        <v>1204</v>
      </c>
      <c r="E200" s="273">
        <f t="shared" ref="E200:E263" si="3">MID(I200,1,3)*1</f>
        <v>44</v>
      </c>
      <c r="F200" s="274" t="s">
        <v>986</v>
      </c>
      <c r="G200" s="398" t="s">
        <v>621</v>
      </c>
      <c r="H200" s="398" t="s">
        <v>1550</v>
      </c>
      <c r="I200" s="275" t="s">
        <v>435</v>
      </c>
    </row>
    <row r="201" spans="3:9" ht="30">
      <c r="C201" s="273">
        <v>195</v>
      </c>
      <c r="D201" s="272" t="s">
        <v>1205</v>
      </c>
      <c r="E201" s="273">
        <f t="shared" si="3"/>
        <v>44</v>
      </c>
      <c r="F201" s="274" t="s">
        <v>987</v>
      </c>
      <c r="G201" s="398" t="s">
        <v>622</v>
      </c>
      <c r="H201" s="398" t="s">
        <v>1551</v>
      </c>
      <c r="I201" s="275" t="s">
        <v>435</v>
      </c>
    </row>
    <row r="202" spans="3:9" ht="45">
      <c r="C202" s="273">
        <v>196</v>
      </c>
      <c r="D202" s="272" t="s">
        <v>1206</v>
      </c>
      <c r="E202" s="273">
        <f t="shared" si="3"/>
        <v>44</v>
      </c>
      <c r="F202" s="274" t="s">
        <v>988</v>
      </c>
      <c r="G202" s="398" t="s">
        <v>623</v>
      </c>
      <c r="H202" s="398" t="s">
        <v>1552</v>
      </c>
      <c r="I202" s="275" t="s">
        <v>435</v>
      </c>
    </row>
    <row r="203" spans="3:9" ht="30">
      <c r="C203" s="273">
        <v>197</v>
      </c>
      <c r="D203" s="272" t="s">
        <v>1207</v>
      </c>
      <c r="E203" s="273">
        <f t="shared" si="3"/>
        <v>44</v>
      </c>
      <c r="F203" s="274" t="s">
        <v>989</v>
      </c>
      <c r="G203" s="398" t="s">
        <v>624</v>
      </c>
      <c r="H203" s="398" t="s">
        <v>1553</v>
      </c>
      <c r="I203" s="275" t="s">
        <v>435</v>
      </c>
    </row>
    <row r="204" spans="3:9" ht="30">
      <c r="C204" s="273">
        <v>198</v>
      </c>
      <c r="D204" s="272" t="s">
        <v>1208</v>
      </c>
      <c r="E204" s="273">
        <f t="shared" si="3"/>
        <v>44</v>
      </c>
      <c r="F204" s="274" t="s">
        <v>990</v>
      </c>
      <c r="G204" s="398" t="s">
        <v>625</v>
      </c>
      <c r="H204" s="398" t="s">
        <v>1554</v>
      </c>
      <c r="I204" s="275" t="s">
        <v>435</v>
      </c>
    </row>
    <row r="205" spans="3:9" ht="30">
      <c r="C205" s="273">
        <v>199</v>
      </c>
      <c r="D205" s="272" t="s">
        <v>1209</v>
      </c>
      <c r="E205" s="273">
        <f t="shared" si="3"/>
        <v>44</v>
      </c>
      <c r="F205" s="274" t="s">
        <v>991</v>
      </c>
      <c r="G205" s="398" t="s">
        <v>626</v>
      </c>
      <c r="H205" s="398" t="s">
        <v>1555</v>
      </c>
      <c r="I205" s="275" t="s">
        <v>435</v>
      </c>
    </row>
    <row r="206" spans="3:9">
      <c r="C206" s="273">
        <v>200</v>
      </c>
      <c r="D206" s="272" t="s">
        <v>1210</v>
      </c>
      <c r="E206" s="273">
        <f t="shared" si="3"/>
        <v>44</v>
      </c>
      <c r="F206" s="274" t="s">
        <v>992</v>
      </c>
      <c r="G206" s="398" t="s">
        <v>627</v>
      </c>
      <c r="H206" s="398" t="s">
        <v>1556</v>
      </c>
      <c r="I206" s="275" t="s">
        <v>435</v>
      </c>
    </row>
    <row r="207" spans="3:9">
      <c r="C207" s="273">
        <v>201</v>
      </c>
      <c r="D207" s="272" t="s">
        <v>1211</v>
      </c>
      <c r="E207" s="273">
        <f t="shared" si="3"/>
        <v>44</v>
      </c>
      <c r="F207" s="274" t="s">
        <v>993</v>
      </c>
      <c r="G207" s="398" t="s">
        <v>628</v>
      </c>
      <c r="H207" s="398" t="s">
        <v>1557</v>
      </c>
      <c r="I207" s="275" t="s">
        <v>435</v>
      </c>
    </row>
    <row r="208" spans="3:9">
      <c r="C208" s="273">
        <v>202</v>
      </c>
      <c r="D208" s="272" t="s">
        <v>1212</v>
      </c>
      <c r="E208" s="273">
        <f t="shared" si="3"/>
        <v>44</v>
      </c>
      <c r="F208" s="274" t="s">
        <v>994</v>
      </c>
      <c r="G208" s="398" t="s">
        <v>629</v>
      </c>
      <c r="H208" s="398" t="s">
        <v>1558</v>
      </c>
      <c r="I208" s="275" t="s">
        <v>435</v>
      </c>
    </row>
    <row r="209" spans="3:9">
      <c r="C209" s="273">
        <v>203</v>
      </c>
      <c r="D209" s="272" t="s">
        <v>1213</v>
      </c>
      <c r="E209" s="273">
        <f t="shared" si="3"/>
        <v>44</v>
      </c>
      <c r="F209" s="274" t="s">
        <v>995</v>
      </c>
      <c r="G209" s="398" t="s">
        <v>630</v>
      </c>
      <c r="H209" s="398" t="s">
        <v>1559</v>
      </c>
      <c r="I209" s="275" t="s">
        <v>435</v>
      </c>
    </row>
    <row r="210" spans="3:9">
      <c r="C210" s="273">
        <v>204</v>
      </c>
      <c r="D210" s="272" t="s">
        <v>1214</v>
      </c>
      <c r="E210" s="273">
        <f t="shared" si="3"/>
        <v>44</v>
      </c>
      <c r="F210" s="274" t="s">
        <v>996</v>
      </c>
      <c r="G210" s="398" t="s">
        <v>631</v>
      </c>
      <c r="H210" s="398" t="s">
        <v>1560</v>
      </c>
      <c r="I210" s="275" t="s">
        <v>435</v>
      </c>
    </row>
    <row r="211" spans="3:9">
      <c r="C211" s="273">
        <v>205</v>
      </c>
      <c r="D211" s="272" t="s">
        <v>1215</v>
      </c>
      <c r="E211" s="273">
        <f t="shared" si="3"/>
        <v>44</v>
      </c>
      <c r="F211" s="274" t="s">
        <v>997</v>
      </c>
      <c r="G211" s="398" t="s">
        <v>632</v>
      </c>
      <c r="H211" s="398" t="s">
        <v>1561</v>
      </c>
      <c r="I211" s="275" t="s">
        <v>435</v>
      </c>
    </row>
    <row r="212" spans="3:9">
      <c r="C212" s="273">
        <v>206</v>
      </c>
      <c r="D212" s="272" t="s">
        <v>1216</v>
      </c>
      <c r="E212" s="273">
        <f t="shared" si="3"/>
        <v>44</v>
      </c>
      <c r="F212" s="274" t="s">
        <v>998</v>
      </c>
      <c r="G212" s="398" t="s">
        <v>633</v>
      </c>
      <c r="H212" s="398" t="s">
        <v>1562</v>
      </c>
      <c r="I212" s="275" t="s">
        <v>435</v>
      </c>
    </row>
    <row r="213" spans="3:9">
      <c r="C213" s="273">
        <v>207</v>
      </c>
      <c r="D213" s="272" t="s">
        <v>1217</v>
      </c>
      <c r="E213" s="273">
        <f t="shared" si="3"/>
        <v>44</v>
      </c>
      <c r="F213" s="274" t="s">
        <v>999</v>
      </c>
      <c r="G213" s="398" t="s">
        <v>634</v>
      </c>
      <c r="H213" s="398" t="s">
        <v>1563</v>
      </c>
      <c r="I213" s="275" t="s">
        <v>435</v>
      </c>
    </row>
    <row r="214" spans="3:9">
      <c r="C214" s="273">
        <v>208</v>
      </c>
      <c r="D214" s="272" t="s">
        <v>1218</v>
      </c>
      <c r="E214" s="273">
        <f t="shared" si="3"/>
        <v>44</v>
      </c>
      <c r="F214" s="274" t="s">
        <v>1000</v>
      </c>
      <c r="G214" s="398" t="s">
        <v>635</v>
      </c>
      <c r="H214" s="398" t="s">
        <v>1564</v>
      </c>
      <c r="I214" s="275" t="s">
        <v>435</v>
      </c>
    </row>
    <row r="215" spans="3:9">
      <c r="C215" s="273">
        <v>209</v>
      </c>
      <c r="D215" s="272" t="s">
        <v>1219</v>
      </c>
      <c r="E215" s="273">
        <f t="shared" si="3"/>
        <v>44</v>
      </c>
      <c r="F215" s="274" t="s">
        <v>1001</v>
      </c>
      <c r="G215" s="398" t="s">
        <v>238</v>
      </c>
      <c r="H215" s="398" t="s">
        <v>1565</v>
      </c>
      <c r="I215" s="275" t="s">
        <v>435</v>
      </c>
    </row>
    <row r="216" spans="3:9">
      <c r="C216" s="273">
        <v>210</v>
      </c>
      <c r="D216" s="272" t="s">
        <v>1220</v>
      </c>
      <c r="E216" s="273">
        <f t="shared" si="3"/>
        <v>44</v>
      </c>
      <c r="F216" s="274" t="s">
        <v>1002</v>
      </c>
      <c r="G216" s="398" t="s">
        <v>636</v>
      </c>
      <c r="H216" s="398" t="s">
        <v>1566</v>
      </c>
      <c r="I216" s="275" t="s">
        <v>435</v>
      </c>
    </row>
    <row r="217" spans="3:9">
      <c r="C217" s="273">
        <v>211</v>
      </c>
      <c r="D217" s="272" t="s">
        <v>1221</v>
      </c>
      <c r="E217" s="273">
        <f t="shared" si="3"/>
        <v>44</v>
      </c>
      <c r="F217" s="274" t="s">
        <v>1003</v>
      </c>
      <c r="G217" s="398" t="s">
        <v>637</v>
      </c>
      <c r="H217" s="398" t="s">
        <v>1458</v>
      </c>
      <c r="I217" s="275" t="s">
        <v>435</v>
      </c>
    </row>
    <row r="218" spans="3:9">
      <c r="C218" s="273">
        <v>212</v>
      </c>
      <c r="D218" s="272" t="s">
        <v>1222</v>
      </c>
      <c r="E218" s="273">
        <f t="shared" si="3"/>
        <v>44</v>
      </c>
      <c r="F218" s="274" t="s">
        <v>1004</v>
      </c>
      <c r="G218" s="398" t="s">
        <v>638</v>
      </c>
      <c r="H218" s="398" t="s">
        <v>1567</v>
      </c>
      <c r="I218" s="275" t="s">
        <v>435</v>
      </c>
    </row>
    <row r="219" spans="3:9">
      <c r="C219" s="273">
        <v>213</v>
      </c>
      <c r="D219" s="272" t="s">
        <v>1223</v>
      </c>
      <c r="E219" s="273">
        <f t="shared" si="3"/>
        <v>44</v>
      </c>
      <c r="F219" s="274" t="s">
        <v>4</v>
      </c>
      <c r="G219" s="398" t="s">
        <v>423</v>
      </c>
      <c r="H219" s="398" t="s">
        <v>1568</v>
      </c>
      <c r="I219" s="275" t="s">
        <v>435</v>
      </c>
    </row>
    <row r="220" spans="3:9">
      <c r="C220" s="273">
        <v>214</v>
      </c>
      <c r="D220" s="272" t="s">
        <v>1224</v>
      </c>
      <c r="E220" s="273">
        <f t="shared" si="3"/>
        <v>44</v>
      </c>
      <c r="F220" s="274" t="s">
        <v>1005</v>
      </c>
      <c r="G220" s="398" t="s">
        <v>639</v>
      </c>
      <c r="H220" s="398" t="s">
        <v>1569</v>
      </c>
      <c r="I220" s="275" t="s">
        <v>435</v>
      </c>
    </row>
    <row r="221" spans="3:9">
      <c r="C221" s="273">
        <v>215</v>
      </c>
      <c r="D221" s="272" t="s">
        <v>1225</v>
      </c>
      <c r="E221" s="273">
        <f t="shared" si="3"/>
        <v>44</v>
      </c>
      <c r="F221" s="274" t="s">
        <v>1006</v>
      </c>
      <c r="G221" s="398" t="s">
        <v>640</v>
      </c>
      <c r="H221" s="398" t="s">
        <v>1570</v>
      </c>
      <c r="I221" s="275" t="s">
        <v>435</v>
      </c>
    </row>
    <row r="222" spans="3:9">
      <c r="C222" s="273">
        <v>216</v>
      </c>
      <c r="D222" s="272" t="s">
        <v>1226</v>
      </c>
      <c r="E222" s="273">
        <f t="shared" si="3"/>
        <v>44</v>
      </c>
      <c r="F222" s="274" t="s">
        <v>1007</v>
      </c>
      <c r="G222" s="398" t="s">
        <v>641</v>
      </c>
      <c r="H222" s="398" t="s">
        <v>1571</v>
      </c>
      <c r="I222" s="275" t="s">
        <v>435</v>
      </c>
    </row>
    <row r="223" spans="3:9" ht="30">
      <c r="C223" s="273">
        <v>217</v>
      </c>
      <c r="D223" s="272" t="s">
        <v>1227</v>
      </c>
      <c r="E223" s="273">
        <f t="shared" si="3"/>
        <v>44</v>
      </c>
      <c r="F223" s="274" t="s">
        <v>1008</v>
      </c>
      <c r="G223" s="398" t="s">
        <v>642</v>
      </c>
      <c r="H223" s="398" t="s">
        <v>1516</v>
      </c>
      <c r="I223" s="275" t="s">
        <v>435</v>
      </c>
    </row>
    <row r="224" spans="3:9">
      <c r="C224" s="273">
        <v>218</v>
      </c>
      <c r="D224" s="272" t="s">
        <v>1228</v>
      </c>
      <c r="E224" s="273">
        <f t="shared" si="3"/>
        <v>44</v>
      </c>
      <c r="F224" s="274" t="s">
        <v>1009</v>
      </c>
      <c r="G224" s="398" t="s">
        <v>425</v>
      </c>
      <c r="H224" s="398" t="s">
        <v>1572</v>
      </c>
      <c r="I224" s="275" t="s">
        <v>435</v>
      </c>
    </row>
    <row r="225" spans="3:9">
      <c r="C225" s="273">
        <v>219</v>
      </c>
      <c r="D225" s="272" t="s">
        <v>1229</v>
      </c>
      <c r="E225" s="273">
        <f t="shared" si="3"/>
        <v>44</v>
      </c>
      <c r="F225" s="274" t="s">
        <v>956</v>
      </c>
      <c r="G225" s="398" t="s">
        <v>590</v>
      </c>
      <c r="H225" s="398" t="s">
        <v>1573</v>
      </c>
      <c r="I225" s="275" t="s">
        <v>435</v>
      </c>
    </row>
    <row r="226" spans="3:9">
      <c r="C226" s="273">
        <v>220</v>
      </c>
      <c r="D226" s="272" t="s">
        <v>1230</v>
      </c>
      <c r="E226" s="273">
        <f t="shared" si="3"/>
        <v>44</v>
      </c>
      <c r="F226" s="274" t="s">
        <v>1010</v>
      </c>
      <c r="G226" s="398" t="s">
        <v>643</v>
      </c>
      <c r="H226" s="398" t="s">
        <v>1574</v>
      </c>
      <c r="I226" s="275" t="s">
        <v>435</v>
      </c>
    </row>
    <row r="227" spans="3:9">
      <c r="C227" s="273">
        <v>221</v>
      </c>
      <c r="D227" s="272" t="s">
        <v>1231</v>
      </c>
      <c r="E227" s="273">
        <f t="shared" si="3"/>
        <v>44</v>
      </c>
      <c r="F227" s="274" t="s">
        <v>1011</v>
      </c>
      <c r="G227" s="398" t="s">
        <v>644</v>
      </c>
      <c r="H227" s="398" t="s">
        <v>1575</v>
      </c>
      <c r="I227" s="275" t="s">
        <v>435</v>
      </c>
    </row>
    <row r="228" spans="3:9">
      <c r="C228" s="273">
        <v>222</v>
      </c>
      <c r="D228" s="272" t="s">
        <v>1232</v>
      </c>
      <c r="E228" s="273">
        <f t="shared" si="3"/>
        <v>44</v>
      </c>
      <c r="F228" s="274" t="s">
        <v>1012</v>
      </c>
      <c r="G228" s="398" t="s">
        <v>645</v>
      </c>
      <c r="H228" s="398" t="s">
        <v>1576</v>
      </c>
      <c r="I228" s="275" t="s">
        <v>435</v>
      </c>
    </row>
    <row r="229" spans="3:9">
      <c r="C229" s="273">
        <v>223</v>
      </c>
      <c r="D229" s="272" t="s">
        <v>1233</v>
      </c>
      <c r="E229" s="273">
        <f t="shared" si="3"/>
        <v>44</v>
      </c>
      <c r="F229" s="274" t="s">
        <v>1013</v>
      </c>
      <c r="G229" s="398" t="s">
        <v>646</v>
      </c>
      <c r="H229" s="398" t="s">
        <v>1577</v>
      </c>
      <c r="I229" s="275" t="s">
        <v>435</v>
      </c>
    </row>
    <row r="230" spans="3:9">
      <c r="C230" s="273">
        <v>224</v>
      </c>
      <c r="D230" s="272" t="s">
        <v>1234</v>
      </c>
      <c r="E230" s="273">
        <f t="shared" si="3"/>
        <v>44</v>
      </c>
      <c r="F230" s="274" t="s">
        <v>1014</v>
      </c>
      <c r="G230" s="398" t="s">
        <v>647</v>
      </c>
      <c r="H230" s="398" t="s">
        <v>1578</v>
      </c>
      <c r="I230" s="275" t="s">
        <v>435</v>
      </c>
    </row>
    <row r="231" spans="3:9">
      <c r="C231" s="273">
        <v>225</v>
      </c>
      <c r="D231" s="272" t="s">
        <v>1235</v>
      </c>
      <c r="E231" s="273">
        <f t="shared" si="3"/>
        <v>44</v>
      </c>
      <c r="F231" s="274" t="s">
        <v>1015</v>
      </c>
      <c r="G231" s="398" t="s">
        <v>648</v>
      </c>
      <c r="H231" s="398" t="s">
        <v>1579</v>
      </c>
      <c r="I231" s="275" t="s">
        <v>435</v>
      </c>
    </row>
    <row r="232" spans="3:9">
      <c r="C232" s="273">
        <v>226</v>
      </c>
      <c r="D232" s="272" t="s">
        <v>1236</v>
      </c>
      <c r="E232" s="273">
        <f t="shared" si="3"/>
        <v>44</v>
      </c>
      <c r="F232" s="274" t="s">
        <v>1016</v>
      </c>
      <c r="G232" s="398" t="s">
        <v>649</v>
      </c>
      <c r="H232" s="398" t="s">
        <v>1580</v>
      </c>
      <c r="I232" s="275" t="s">
        <v>435</v>
      </c>
    </row>
    <row r="233" spans="3:9">
      <c r="C233" s="273">
        <v>227</v>
      </c>
      <c r="D233" s="272" t="s">
        <v>1237</v>
      </c>
      <c r="E233" s="273">
        <f t="shared" si="3"/>
        <v>44</v>
      </c>
      <c r="F233" s="274" t="s">
        <v>1017</v>
      </c>
      <c r="G233" s="398" t="s">
        <v>650</v>
      </c>
      <c r="H233" s="398" t="s">
        <v>1581</v>
      </c>
      <c r="I233" s="275" t="s">
        <v>435</v>
      </c>
    </row>
    <row r="234" spans="3:9">
      <c r="C234" s="273">
        <v>228</v>
      </c>
      <c r="D234" s="272" t="s">
        <v>1238</v>
      </c>
      <c r="E234" s="273">
        <f t="shared" si="3"/>
        <v>44</v>
      </c>
      <c r="F234" s="274" t="s">
        <v>1018</v>
      </c>
      <c r="G234" s="398" t="s">
        <v>651</v>
      </c>
      <c r="H234" s="398" t="s">
        <v>1563</v>
      </c>
      <c r="I234" s="275" t="s">
        <v>435</v>
      </c>
    </row>
    <row r="235" spans="3:9">
      <c r="C235" s="273">
        <v>229</v>
      </c>
      <c r="D235" s="272" t="s">
        <v>1239</v>
      </c>
      <c r="E235" s="273">
        <f t="shared" si="3"/>
        <v>44</v>
      </c>
      <c r="F235" s="274" t="s">
        <v>1019</v>
      </c>
      <c r="G235" s="398" t="s">
        <v>652</v>
      </c>
      <c r="H235" s="398" t="s">
        <v>1582</v>
      </c>
      <c r="I235" s="275" t="s">
        <v>435</v>
      </c>
    </row>
    <row r="236" spans="3:9">
      <c r="C236" s="273">
        <v>230</v>
      </c>
      <c r="D236" s="272" t="s">
        <v>1240</v>
      </c>
      <c r="E236" s="273">
        <f t="shared" si="3"/>
        <v>44</v>
      </c>
      <c r="F236" s="274" t="s">
        <v>1001</v>
      </c>
      <c r="G236" s="398" t="s">
        <v>238</v>
      </c>
      <c r="H236" s="398" t="s">
        <v>1583</v>
      </c>
      <c r="I236" s="275" t="s">
        <v>435</v>
      </c>
    </row>
    <row r="237" spans="3:9">
      <c r="C237" s="273">
        <v>231</v>
      </c>
      <c r="D237" s="272" t="s">
        <v>1241</v>
      </c>
      <c r="E237" s="273">
        <f t="shared" si="3"/>
        <v>44</v>
      </c>
      <c r="F237" s="274" t="s">
        <v>1020</v>
      </c>
      <c r="G237" s="398" t="s">
        <v>653</v>
      </c>
      <c r="H237" s="398" t="s">
        <v>1584</v>
      </c>
      <c r="I237" s="275" t="s">
        <v>435</v>
      </c>
    </row>
    <row r="238" spans="3:9">
      <c r="C238" s="273">
        <v>232</v>
      </c>
      <c r="D238" s="272" t="s">
        <v>1242</v>
      </c>
      <c r="E238" s="273">
        <f t="shared" si="3"/>
        <v>44</v>
      </c>
      <c r="F238" s="274" t="s">
        <v>1021</v>
      </c>
      <c r="G238" s="398" t="s">
        <v>654</v>
      </c>
      <c r="H238" s="398"/>
      <c r="I238" s="275" t="s">
        <v>435</v>
      </c>
    </row>
    <row r="239" spans="3:9">
      <c r="C239" s="273">
        <v>233</v>
      </c>
      <c r="D239" s="272" t="s">
        <v>1243</v>
      </c>
      <c r="E239" s="273">
        <f t="shared" si="3"/>
        <v>44</v>
      </c>
      <c r="F239" s="274" t="s">
        <v>1022</v>
      </c>
      <c r="G239" s="398" t="s">
        <v>655</v>
      </c>
      <c r="H239" s="398"/>
      <c r="I239" s="275" t="s">
        <v>435</v>
      </c>
    </row>
    <row r="240" spans="3:9">
      <c r="C240" s="273">
        <v>234</v>
      </c>
      <c r="D240" s="272" t="s">
        <v>1244</v>
      </c>
      <c r="E240" s="273">
        <f t="shared" si="3"/>
        <v>44</v>
      </c>
      <c r="F240" s="274" t="s">
        <v>1023</v>
      </c>
      <c r="G240" s="398" t="s">
        <v>248</v>
      </c>
      <c r="H240" s="398"/>
      <c r="I240" s="275" t="s">
        <v>435</v>
      </c>
    </row>
    <row r="241" spans="3:9">
      <c r="C241" s="273">
        <v>235</v>
      </c>
      <c r="D241" s="272" t="s">
        <v>1245</v>
      </c>
      <c r="E241" s="273">
        <f t="shared" si="3"/>
        <v>44</v>
      </c>
      <c r="F241" s="274" t="s">
        <v>740</v>
      </c>
      <c r="G241" s="398" t="s">
        <v>656</v>
      </c>
      <c r="H241" s="398"/>
      <c r="I241" s="275" t="s">
        <v>435</v>
      </c>
    </row>
    <row r="242" spans="3:9">
      <c r="C242" s="273">
        <v>236</v>
      </c>
      <c r="D242" s="272" t="s">
        <v>1246</v>
      </c>
      <c r="E242" s="273">
        <f t="shared" si="3"/>
        <v>44</v>
      </c>
      <c r="F242" s="274" t="s">
        <v>1024</v>
      </c>
      <c r="G242" s="398" t="s">
        <v>657</v>
      </c>
      <c r="H242" s="398"/>
      <c r="I242" s="275" t="s">
        <v>435</v>
      </c>
    </row>
    <row r="243" spans="3:9">
      <c r="C243" s="273">
        <v>237</v>
      </c>
      <c r="D243" s="272" t="s">
        <v>1247</v>
      </c>
      <c r="E243" s="273">
        <f t="shared" si="3"/>
        <v>44</v>
      </c>
      <c r="F243" s="274" t="s">
        <v>1025</v>
      </c>
      <c r="G243" s="398" t="s">
        <v>658</v>
      </c>
      <c r="H243" s="398"/>
      <c r="I243" s="275" t="s">
        <v>435</v>
      </c>
    </row>
    <row r="244" spans="3:9">
      <c r="C244" s="273">
        <v>238</v>
      </c>
      <c r="D244" s="272" t="s">
        <v>1248</v>
      </c>
      <c r="E244" s="273">
        <f t="shared" si="3"/>
        <v>44</v>
      </c>
      <c r="F244" s="274" t="s">
        <v>1026</v>
      </c>
      <c r="G244" s="398" t="s">
        <v>659</v>
      </c>
      <c r="H244" s="398"/>
      <c r="I244" s="275" t="s">
        <v>435</v>
      </c>
    </row>
    <row r="245" spans="3:9">
      <c r="C245" s="273">
        <v>239</v>
      </c>
      <c r="D245" s="272" t="s">
        <v>1249</v>
      </c>
      <c r="E245" s="273">
        <f t="shared" si="3"/>
        <v>44</v>
      </c>
      <c r="F245" s="274" t="s">
        <v>1027</v>
      </c>
      <c r="G245" s="398" t="s">
        <v>660</v>
      </c>
      <c r="H245" s="398"/>
      <c r="I245" s="275" t="s">
        <v>435</v>
      </c>
    </row>
    <row r="246" spans="3:9">
      <c r="C246" s="273">
        <v>240</v>
      </c>
      <c r="D246" s="272" t="s">
        <v>1250</v>
      </c>
      <c r="E246" s="273">
        <f t="shared" si="3"/>
        <v>44</v>
      </c>
      <c r="F246" s="274" t="s">
        <v>1028</v>
      </c>
      <c r="G246" s="398" t="s">
        <v>661</v>
      </c>
      <c r="H246" s="398"/>
      <c r="I246" s="275" t="s">
        <v>435</v>
      </c>
    </row>
    <row r="247" spans="3:9">
      <c r="C247" s="273">
        <v>241</v>
      </c>
      <c r="D247" s="272" t="s">
        <v>1251</v>
      </c>
      <c r="E247" s="273">
        <f t="shared" si="3"/>
        <v>44</v>
      </c>
      <c r="F247" s="274" t="s">
        <v>1029</v>
      </c>
      <c r="G247" s="398" t="s">
        <v>239</v>
      </c>
      <c r="H247" s="398"/>
      <c r="I247" s="275" t="s">
        <v>435</v>
      </c>
    </row>
    <row r="248" spans="3:9">
      <c r="C248" s="273">
        <v>242</v>
      </c>
      <c r="D248" s="272" t="s">
        <v>1252</v>
      </c>
      <c r="E248" s="273">
        <f t="shared" si="3"/>
        <v>44</v>
      </c>
      <c r="F248" s="274" t="s">
        <v>1030</v>
      </c>
      <c r="G248" s="398" t="s">
        <v>662</v>
      </c>
      <c r="H248" s="398"/>
      <c r="I248" s="275" t="s">
        <v>435</v>
      </c>
    </row>
    <row r="249" spans="3:9">
      <c r="C249" s="273">
        <v>243</v>
      </c>
      <c r="D249" s="272" t="s">
        <v>1253</v>
      </c>
      <c r="E249" s="273">
        <f t="shared" si="3"/>
        <v>44</v>
      </c>
      <c r="F249" s="274" t="s">
        <v>1031</v>
      </c>
      <c r="G249" s="398" t="s">
        <v>663</v>
      </c>
      <c r="H249" s="398"/>
      <c r="I249" s="275" t="s">
        <v>435</v>
      </c>
    </row>
    <row r="250" spans="3:9">
      <c r="C250" s="273">
        <v>244</v>
      </c>
      <c r="D250" s="272" t="s">
        <v>1254</v>
      </c>
      <c r="E250" s="273">
        <f t="shared" si="3"/>
        <v>44</v>
      </c>
      <c r="F250" s="274" t="s">
        <v>740</v>
      </c>
      <c r="G250" s="398" t="s">
        <v>664</v>
      </c>
      <c r="H250" s="398"/>
      <c r="I250" s="275" t="s">
        <v>435</v>
      </c>
    </row>
    <row r="251" spans="3:9">
      <c r="C251" s="273">
        <v>245</v>
      </c>
      <c r="D251" s="272" t="s">
        <v>1255</v>
      </c>
      <c r="E251" s="273">
        <f t="shared" si="3"/>
        <v>44</v>
      </c>
      <c r="F251" s="274" t="s">
        <v>1032</v>
      </c>
      <c r="G251" s="398" t="s">
        <v>665</v>
      </c>
      <c r="H251" s="398"/>
      <c r="I251" s="275" t="s">
        <v>435</v>
      </c>
    </row>
    <row r="252" spans="3:9">
      <c r="C252" s="273">
        <v>246</v>
      </c>
      <c r="D252" s="272" t="s">
        <v>1256</v>
      </c>
      <c r="E252" s="273">
        <f t="shared" si="3"/>
        <v>44</v>
      </c>
      <c r="F252" s="274" t="s">
        <v>1033</v>
      </c>
      <c r="G252" s="398" t="s">
        <v>666</v>
      </c>
      <c r="H252" s="398"/>
      <c r="I252" s="275" t="s">
        <v>435</v>
      </c>
    </row>
    <row r="253" spans="3:9">
      <c r="C253" s="273">
        <v>247</v>
      </c>
      <c r="D253" s="272" t="s">
        <v>1257</v>
      </c>
      <c r="E253" s="273">
        <f t="shared" si="3"/>
        <v>44</v>
      </c>
      <c r="F253" s="274" t="s">
        <v>1034</v>
      </c>
      <c r="G253" s="398" t="s">
        <v>667</v>
      </c>
      <c r="H253" s="398"/>
      <c r="I253" s="275" t="s">
        <v>435</v>
      </c>
    </row>
    <row r="254" spans="3:9">
      <c r="C254" s="273">
        <v>248</v>
      </c>
      <c r="D254" s="272" t="s">
        <v>1258</v>
      </c>
      <c r="E254" s="273">
        <f t="shared" si="3"/>
        <v>44</v>
      </c>
      <c r="F254" s="274" t="s">
        <v>1035</v>
      </c>
      <c r="G254" s="398" t="s">
        <v>668</v>
      </c>
      <c r="H254" s="398"/>
      <c r="I254" s="275" t="s">
        <v>435</v>
      </c>
    </row>
    <row r="255" spans="3:9" ht="30">
      <c r="C255" s="273">
        <v>249</v>
      </c>
      <c r="D255" s="272" t="s">
        <v>1259</v>
      </c>
      <c r="E255" s="273">
        <f t="shared" si="3"/>
        <v>44</v>
      </c>
      <c r="F255" s="274" t="s">
        <v>1036</v>
      </c>
      <c r="G255" s="398" t="s">
        <v>669</v>
      </c>
      <c r="H255" s="398"/>
      <c r="I255" s="275" t="s">
        <v>435</v>
      </c>
    </row>
    <row r="256" spans="3:9" ht="30">
      <c r="C256" s="273">
        <v>250</v>
      </c>
      <c r="D256" s="272" t="s">
        <v>1260</v>
      </c>
      <c r="E256" s="273">
        <f t="shared" si="3"/>
        <v>44</v>
      </c>
      <c r="F256" s="274" t="s">
        <v>1037</v>
      </c>
      <c r="G256" s="398" t="s">
        <v>670</v>
      </c>
      <c r="H256" s="398"/>
      <c r="I256" s="275" t="s">
        <v>435</v>
      </c>
    </row>
    <row r="257" spans="3:9" ht="30">
      <c r="C257" s="273">
        <v>251</v>
      </c>
      <c r="D257" s="272" t="s">
        <v>1261</v>
      </c>
      <c r="E257" s="273">
        <f t="shared" si="3"/>
        <v>44</v>
      </c>
      <c r="F257" s="274" t="s">
        <v>1038</v>
      </c>
      <c r="G257" s="398" t="s">
        <v>671</v>
      </c>
      <c r="H257" s="398"/>
      <c r="I257" s="275" t="s">
        <v>435</v>
      </c>
    </row>
    <row r="258" spans="3:9">
      <c r="C258" s="273">
        <v>252</v>
      </c>
      <c r="D258" s="272" t="s">
        <v>1262</v>
      </c>
      <c r="E258" s="273">
        <f t="shared" si="3"/>
        <v>44</v>
      </c>
      <c r="F258" s="274" t="s">
        <v>775</v>
      </c>
      <c r="G258" s="398" t="s">
        <v>617</v>
      </c>
      <c r="H258" s="398"/>
      <c r="I258" s="275" t="s">
        <v>435</v>
      </c>
    </row>
    <row r="259" spans="3:9">
      <c r="C259" s="273">
        <v>253</v>
      </c>
      <c r="D259" s="272" t="s">
        <v>1263</v>
      </c>
      <c r="E259" s="273">
        <f t="shared" si="3"/>
        <v>44</v>
      </c>
      <c r="F259" s="274" t="s">
        <v>1039</v>
      </c>
      <c r="G259" s="398" t="s">
        <v>672</v>
      </c>
      <c r="H259" s="398"/>
      <c r="I259" s="275" t="s">
        <v>435</v>
      </c>
    </row>
    <row r="260" spans="3:9">
      <c r="C260" s="273">
        <v>254</v>
      </c>
      <c r="D260" s="272" t="s">
        <v>1264</v>
      </c>
      <c r="E260" s="273">
        <f t="shared" si="3"/>
        <v>44</v>
      </c>
      <c r="F260" s="274" t="s">
        <v>1040</v>
      </c>
      <c r="G260" s="398" t="s">
        <v>673</v>
      </c>
      <c r="H260" s="398"/>
      <c r="I260" s="275" t="s">
        <v>435</v>
      </c>
    </row>
    <row r="261" spans="3:9">
      <c r="C261" s="273">
        <v>255</v>
      </c>
      <c r="D261" s="272" t="s">
        <v>1265</v>
      </c>
      <c r="E261" s="273">
        <f t="shared" si="3"/>
        <v>44</v>
      </c>
      <c r="F261" s="274" t="s">
        <v>1041</v>
      </c>
      <c r="G261" s="398" t="s">
        <v>674</v>
      </c>
      <c r="H261" s="398"/>
      <c r="I261" s="275" t="s">
        <v>435</v>
      </c>
    </row>
    <row r="262" spans="3:9">
      <c r="C262" s="273">
        <v>256</v>
      </c>
      <c r="D262" s="272" t="s">
        <v>1266</v>
      </c>
      <c r="E262" s="273">
        <f t="shared" si="3"/>
        <v>44</v>
      </c>
      <c r="F262" s="274" t="s">
        <v>48</v>
      </c>
      <c r="G262" s="398" t="s">
        <v>675</v>
      </c>
      <c r="H262" s="398"/>
      <c r="I262" s="275" t="s">
        <v>435</v>
      </c>
    </row>
    <row r="263" spans="3:9">
      <c r="C263" s="273">
        <v>257</v>
      </c>
      <c r="D263" s="272" t="s">
        <v>1267</v>
      </c>
      <c r="E263" s="273">
        <f t="shared" si="3"/>
        <v>44</v>
      </c>
      <c r="F263" s="274" t="s">
        <v>970</v>
      </c>
      <c r="G263" s="398" t="s">
        <v>603</v>
      </c>
      <c r="H263" s="398"/>
      <c r="I263" s="275" t="s">
        <v>435</v>
      </c>
    </row>
    <row r="264" spans="3:9">
      <c r="C264" s="273">
        <v>258</v>
      </c>
      <c r="D264" s="272" t="s">
        <v>1268</v>
      </c>
      <c r="E264" s="273">
        <f t="shared" ref="E264:E327" si="4">MID(I264,1,3)*1</f>
        <v>44</v>
      </c>
      <c r="F264" s="274" t="s">
        <v>1042</v>
      </c>
      <c r="G264" s="398" t="s">
        <v>676</v>
      </c>
      <c r="H264" s="398"/>
      <c r="I264" s="275" t="s">
        <v>435</v>
      </c>
    </row>
    <row r="265" spans="3:9">
      <c r="C265" s="273">
        <v>259</v>
      </c>
      <c r="D265" s="272" t="s">
        <v>1269</v>
      </c>
      <c r="E265" s="273">
        <f t="shared" si="4"/>
        <v>44</v>
      </c>
      <c r="F265" s="274" t="s">
        <v>1043</v>
      </c>
      <c r="G265" s="398" t="s">
        <v>677</v>
      </c>
      <c r="H265" s="398"/>
      <c r="I265" s="275" t="s">
        <v>435</v>
      </c>
    </row>
    <row r="266" spans="3:9">
      <c r="C266" s="273">
        <v>260</v>
      </c>
      <c r="D266" s="272" t="s">
        <v>1270</v>
      </c>
      <c r="E266" s="273">
        <f t="shared" si="4"/>
        <v>44</v>
      </c>
      <c r="F266" s="274" t="s">
        <v>1044</v>
      </c>
      <c r="G266" s="398" t="s">
        <v>678</v>
      </c>
      <c r="H266" s="398"/>
      <c r="I266" s="275" t="s">
        <v>435</v>
      </c>
    </row>
    <row r="267" spans="3:9">
      <c r="C267" s="273">
        <v>261</v>
      </c>
      <c r="D267" s="272" t="s">
        <v>1271</v>
      </c>
      <c r="E267" s="273">
        <f t="shared" si="4"/>
        <v>44</v>
      </c>
      <c r="F267" s="274" t="s">
        <v>1045</v>
      </c>
      <c r="G267" s="398" t="s">
        <v>679</v>
      </c>
      <c r="H267" s="398"/>
      <c r="I267" s="275" t="s">
        <v>435</v>
      </c>
    </row>
    <row r="268" spans="3:9">
      <c r="C268" s="273">
        <v>262</v>
      </c>
      <c r="D268" s="272" t="s">
        <v>1272</v>
      </c>
      <c r="E268" s="273">
        <f t="shared" si="4"/>
        <v>44</v>
      </c>
      <c r="F268" s="274" t="s">
        <v>1046</v>
      </c>
      <c r="G268" s="398" t="s">
        <v>680</v>
      </c>
      <c r="H268" s="398"/>
      <c r="I268" s="275" t="s">
        <v>435</v>
      </c>
    </row>
    <row r="269" spans="3:9">
      <c r="C269" s="273">
        <v>263</v>
      </c>
      <c r="D269" s="272" t="s">
        <v>1273</v>
      </c>
      <c r="E269" s="273">
        <f t="shared" si="4"/>
        <v>44</v>
      </c>
      <c r="F269" s="274" t="s">
        <v>1047</v>
      </c>
      <c r="G269" s="398" t="s">
        <v>681</v>
      </c>
      <c r="H269" s="398"/>
      <c r="I269" s="275" t="s">
        <v>435</v>
      </c>
    </row>
    <row r="270" spans="3:9">
      <c r="C270" s="273">
        <v>264</v>
      </c>
      <c r="D270" s="272" t="s">
        <v>1274</v>
      </c>
      <c r="E270" s="273">
        <f t="shared" si="4"/>
        <v>44</v>
      </c>
      <c r="F270" s="274" t="s">
        <v>1048</v>
      </c>
      <c r="G270" s="398" t="s">
        <v>682</v>
      </c>
      <c r="H270" s="398"/>
      <c r="I270" s="275" t="s">
        <v>435</v>
      </c>
    </row>
    <row r="271" spans="3:9" ht="30">
      <c r="C271" s="273">
        <v>265</v>
      </c>
      <c r="D271" s="272" t="s">
        <v>1275</v>
      </c>
      <c r="E271" s="273">
        <f t="shared" si="4"/>
        <v>44</v>
      </c>
      <c r="F271" s="274" t="s">
        <v>1049</v>
      </c>
      <c r="G271" s="398" t="s">
        <v>683</v>
      </c>
      <c r="H271" s="398"/>
      <c r="I271" s="275" t="s">
        <v>435</v>
      </c>
    </row>
    <row r="272" spans="3:9" ht="30">
      <c r="C272" s="273">
        <v>266</v>
      </c>
      <c r="D272" s="272" t="s">
        <v>1276</v>
      </c>
      <c r="E272" s="273">
        <f t="shared" si="4"/>
        <v>44</v>
      </c>
      <c r="F272" s="274" t="s">
        <v>1050</v>
      </c>
      <c r="G272" s="398" t="s">
        <v>684</v>
      </c>
      <c r="H272" s="398"/>
      <c r="I272" s="275" t="s">
        <v>435</v>
      </c>
    </row>
    <row r="273" spans="3:9">
      <c r="C273" s="273">
        <v>267</v>
      </c>
      <c r="D273" s="272" t="s">
        <v>1277</v>
      </c>
      <c r="E273" s="273">
        <f t="shared" si="4"/>
        <v>44</v>
      </c>
      <c r="F273" s="274" t="s">
        <v>178</v>
      </c>
      <c r="G273" s="398" t="s">
        <v>11</v>
      </c>
      <c r="H273" s="398"/>
      <c r="I273" s="275" t="s">
        <v>435</v>
      </c>
    </row>
    <row r="274" spans="3:9">
      <c r="C274" s="273">
        <v>268</v>
      </c>
      <c r="D274" s="272" t="s">
        <v>1278</v>
      </c>
      <c r="E274" s="273">
        <f t="shared" si="4"/>
        <v>44</v>
      </c>
      <c r="F274" s="274" t="s">
        <v>253</v>
      </c>
      <c r="G274" s="398" t="s">
        <v>254</v>
      </c>
      <c r="H274" s="398"/>
      <c r="I274" s="275" t="s">
        <v>435</v>
      </c>
    </row>
    <row r="275" spans="3:9">
      <c r="C275" s="273">
        <v>269</v>
      </c>
      <c r="D275" s="272" t="s">
        <v>1279</v>
      </c>
      <c r="E275" s="273">
        <f t="shared" si="4"/>
        <v>44</v>
      </c>
      <c r="F275" s="274" t="s">
        <v>1051</v>
      </c>
      <c r="G275" s="398" t="s">
        <v>685</v>
      </c>
      <c r="H275" s="398"/>
      <c r="I275" s="275" t="s">
        <v>435</v>
      </c>
    </row>
    <row r="276" spans="3:9">
      <c r="C276" s="273">
        <v>270</v>
      </c>
      <c r="D276" s="272" t="s">
        <v>1280</v>
      </c>
      <c r="E276" s="273">
        <f t="shared" si="4"/>
        <v>44</v>
      </c>
      <c r="F276" s="274" t="s">
        <v>983</v>
      </c>
      <c r="G276" s="398" t="s">
        <v>618</v>
      </c>
      <c r="H276" s="398"/>
      <c r="I276" s="275" t="s">
        <v>435</v>
      </c>
    </row>
    <row r="277" spans="3:9">
      <c r="C277" s="273">
        <v>271</v>
      </c>
      <c r="D277" s="272" t="s">
        <v>1281</v>
      </c>
      <c r="E277" s="273">
        <f t="shared" si="4"/>
        <v>44</v>
      </c>
      <c r="F277" s="274" t="s">
        <v>1052</v>
      </c>
      <c r="G277" s="398" t="s">
        <v>686</v>
      </c>
      <c r="H277" s="398"/>
      <c r="I277" s="275" t="s">
        <v>435</v>
      </c>
    </row>
    <row r="278" spans="3:9">
      <c r="C278" s="273">
        <v>272</v>
      </c>
      <c r="D278" s="272" t="s">
        <v>1282</v>
      </c>
      <c r="E278" s="273">
        <f t="shared" si="4"/>
        <v>44</v>
      </c>
      <c r="F278" s="274" t="s">
        <v>1053</v>
      </c>
      <c r="G278" s="398" t="s">
        <v>687</v>
      </c>
      <c r="H278" s="398"/>
      <c r="I278" s="275" t="s">
        <v>435</v>
      </c>
    </row>
    <row r="279" spans="3:9">
      <c r="C279" s="273">
        <v>273</v>
      </c>
      <c r="D279" s="272" t="s">
        <v>1283</v>
      </c>
      <c r="E279" s="273">
        <f t="shared" si="4"/>
        <v>45</v>
      </c>
      <c r="F279" s="274" t="s">
        <v>1054</v>
      </c>
      <c r="G279" s="398" t="s">
        <v>688</v>
      </c>
      <c r="H279" s="398"/>
      <c r="I279" s="275" t="s">
        <v>436</v>
      </c>
    </row>
    <row r="280" spans="3:9">
      <c r="C280" s="273">
        <v>274</v>
      </c>
      <c r="D280" s="272" t="s">
        <v>1284</v>
      </c>
      <c r="E280" s="273">
        <f t="shared" si="4"/>
        <v>45</v>
      </c>
      <c r="F280" s="274" t="s">
        <v>1055</v>
      </c>
      <c r="G280" s="398" t="s">
        <v>689</v>
      </c>
      <c r="H280" s="398"/>
      <c r="I280" s="275" t="s">
        <v>436</v>
      </c>
    </row>
    <row r="281" spans="3:9">
      <c r="C281" s="273">
        <v>275</v>
      </c>
      <c r="D281" s="272" t="s">
        <v>1285</v>
      </c>
      <c r="E281" s="273">
        <f t="shared" si="4"/>
        <v>45</v>
      </c>
      <c r="F281" s="274" t="s">
        <v>1052</v>
      </c>
      <c r="G281" s="398" t="s">
        <v>686</v>
      </c>
      <c r="H281" s="398"/>
      <c r="I281" s="275" t="s">
        <v>436</v>
      </c>
    </row>
    <row r="282" spans="3:9">
      <c r="C282" s="273">
        <v>276</v>
      </c>
      <c r="D282" s="272" t="s">
        <v>1286</v>
      </c>
      <c r="E282" s="273">
        <f t="shared" si="4"/>
        <v>45</v>
      </c>
      <c r="F282" s="274" t="s">
        <v>1056</v>
      </c>
      <c r="G282" s="398" t="s">
        <v>694</v>
      </c>
      <c r="H282" s="398"/>
      <c r="I282" s="275" t="s">
        <v>436</v>
      </c>
    </row>
    <row r="283" spans="3:9">
      <c r="C283" s="273">
        <v>277</v>
      </c>
      <c r="D283" s="272" t="s">
        <v>1287</v>
      </c>
      <c r="E283" s="273">
        <f t="shared" si="4"/>
        <v>45</v>
      </c>
      <c r="F283" s="274" t="s">
        <v>1057</v>
      </c>
      <c r="G283" s="398" t="s">
        <v>693</v>
      </c>
      <c r="H283" s="398"/>
      <c r="I283" s="275" t="s">
        <v>436</v>
      </c>
    </row>
    <row r="284" spans="3:9">
      <c r="C284" s="273">
        <v>278</v>
      </c>
      <c r="D284" s="272" t="s">
        <v>1288</v>
      </c>
      <c r="E284" s="273">
        <f t="shared" si="4"/>
        <v>45</v>
      </c>
      <c r="F284" s="274" t="s">
        <v>1058</v>
      </c>
      <c r="G284" s="398" t="s">
        <v>690</v>
      </c>
      <c r="H284" s="398"/>
      <c r="I284" s="275" t="s">
        <v>436</v>
      </c>
    </row>
    <row r="285" spans="3:9">
      <c r="C285" s="273">
        <v>279</v>
      </c>
      <c r="D285" s="272" t="s">
        <v>1289</v>
      </c>
      <c r="E285" s="273">
        <f t="shared" si="4"/>
        <v>45</v>
      </c>
      <c r="F285" s="274" t="s">
        <v>1059</v>
      </c>
      <c r="G285" s="398" t="s">
        <v>695</v>
      </c>
      <c r="H285" s="398"/>
      <c r="I285" s="275" t="s">
        <v>436</v>
      </c>
    </row>
    <row r="286" spans="3:9">
      <c r="C286" s="273">
        <v>280</v>
      </c>
      <c r="D286" s="272" t="s">
        <v>1290</v>
      </c>
      <c r="E286" s="273">
        <f t="shared" si="4"/>
        <v>45</v>
      </c>
      <c r="F286" s="274" t="s">
        <v>1060</v>
      </c>
      <c r="G286" s="398" t="s">
        <v>696</v>
      </c>
      <c r="H286" s="398"/>
      <c r="I286" s="275" t="s">
        <v>436</v>
      </c>
    </row>
    <row r="287" spans="3:9">
      <c r="C287" s="273">
        <v>281</v>
      </c>
      <c r="D287" s="272" t="s">
        <v>1291</v>
      </c>
      <c r="E287" s="273">
        <f t="shared" si="4"/>
        <v>45</v>
      </c>
      <c r="F287" s="274" t="s">
        <v>771</v>
      </c>
      <c r="G287" s="398" t="s">
        <v>697</v>
      </c>
      <c r="H287" s="398"/>
      <c r="I287" s="275" t="s">
        <v>436</v>
      </c>
    </row>
    <row r="288" spans="3:9">
      <c r="C288" s="273">
        <v>282</v>
      </c>
      <c r="D288" s="272" t="s">
        <v>1292</v>
      </c>
      <c r="E288" s="273">
        <f t="shared" si="4"/>
        <v>45</v>
      </c>
      <c r="F288" s="274" t="s">
        <v>1018</v>
      </c>
      <c r="G288" s="398" t="s">
        <v>651</v>
      </c>
      <c r="H288" s="398"/>
      <c r="I288" s="275" t="s">
        <v>436</v>
      </c>
    </row>
    <row r="289" spans="3:9">
      <c r="C289" s="273">
        <v>283</v>
      </c>
      <c r="D289" s="272" t="s">
        <v>1293</v>
      </c>
      <c r="E289" s="273">
        <f t="shared" si="4"/>
        <v>45</v>
      </c>
      <c r="F289" s="274" t="s">
        <v>1061</v>
      </c>
      <c r="G289" s="398" t="s">
        <v>698</v>
      </c>
      <c r="H289" s="398"/>
      <c r="I289" s="275" t="s">
        <v>436</v>
      </c>
    </row>
    <row r="290" spans="3:9">
      <c r="C290" s="273">
        <v>284</v>
      </c>
      <c r="D290" s="272" t="s">
        <v>1294</v>
      </c>
      <c r="E290" s="273">
        <f t="shared" si="4"/>
        <v>45</v>
      </c>
      <c r="F290" s="274" t="s">
        <v>1062</v>
      </c>
      <c r="G290" s="398" t="s">
        <v>699</v>
      </c>
      <c r="H290" s="398"/>
      <c r="I290" s="275" t="s">
        <v>436</v>
      </c>
    </row>
    <row r="291" spans="3:9">
      <c r="C291" s="273">
        <v>285</v>
      </c>
      <c r="D291" s="272" t="s">
        <v>1295</v>
      </c>
      <c r="E291" s="273">
        <f t="shared" si="4"/>
        <v>45</v>
      </c>
      <c r="F291" s="274" t="s">
        <v>887</v>
      </c>
      <c r="G291" s="398" t="s">
        <v>526</v>
      </c>
      <c r="H291" s="398"/>
      <c r="I291" s="275" t="s">
        <v>436</v>
      </c>
    </row>
    <row r="292" spans="3:9">
      <c r="C292" s="273">
        <v>286</v>
      </c>
      <c r="D292" s="272" t="s">
        <v>1296</v>
      </c>
      <c r="E292" s="273">
        <f t="shared" si="4"/>
        <v>45</v>
      </c>
      <c r="F292" s="274" t="s">
        <v>1063</v>
      </c>
      <c r="G292" s="398" t="s">
        <v>700</v>
      </c>
      <c r="H292" s="398"/>
      <c r="I292" s="275" t="s">
        <v>436</v>
      </c>
    </row>
    <row r="293" spans="3:9">
      <c r="C293" s="273">
        <v>287</v>
      </c>
      <c r="D293" s="272" t="s">
        <v>1297</v>
      </c>
      <c r="E293" s="273">
        <f t="shared" si="4"/>
        <v>45</v>
      </c>
      <c r="F293" s="274" t="s">
        <v>1064</v>
      </c>
      <c r="G293" s="398" t="s">
        <v>701</v>
      </c>
      <c r="H293" s="398"/>
      <c r="I293" s="275" t="s">
        <v>436</v>
      </c>
    </row>
    <row r="294" spans="3:9" ht="30">
      <c r="C294" s="273">
        <v>288</v>
      </c>
      <c r="D294" s="272" t="s">
        <v>1298</v>
      </c>
      <c r="E294" s="273">
        <f t="shared" si="4"/>
        <v>45</v>
      </c>
      <c r="F294" s="274" t="s">
        <v>1065</v>
      </c>
      <c r="G294" s="398" t="s">
        <v>702</v>
      </c>
      <c r="H294" s="398"/>
      <c r="I294" s="275" t="s">
        <v>436</v>
      </c>
    </row>
    <row r="295" spans="3:9">
      <c r="C295" s="273">
        <v>289</v>
      </c>
      <c r="D295" s="272" t="s">
        <v>1299</v>
      </c>
      <c r="E295" s="273">
        <f t="shared" si="4"/>
        <v>45</v>
      </c>
      <c r="F295" s="274" t="s">
        <v>1066</v>
      </c>
      <c r="G295" s="398" t="s">
        <v>703</v>
      </c>
      <c r="H295" s="398"/>
      <c r="I295" s="275" t="s">
        <v>436</v>
      </c>
    </row>
    <row r="296" spans="3:9">
      <c r="C296" s="273">
        <v>290</v>
      </c>
      <c r="D296" s="272" t="s">
        <v>1300</v>
      </c>
      <c r="E296" s="273">
        <f t="shared" si="4"/>
        <v>45</v>
      </c>
      <c r="F296" s="274" t="s">
        <v>1067</v>
      </c>
      <c r="G296" s="398" t="s">
        <v>691</v>
      </c>
      <c r="H296" s="398"/>
      <c r="I296" s="275" t="s">
        <v>436</v>
      </c>
    </row>
    <row r="297" spans="3:9">
      <c r="C297" s="273">
        <v>291</v>
      </c>
      <c r="D297" s="272" t="s">
        <v>1301</v>
      </c>
      <c r="E297" s="273">
        <f t="shared" si="4"/>
        <v>45</v>
      </c>
      <c r="F297" s="274" t="s">
        <v>1068</v>
      </c>
      <c r="G297" s="398" t="s">
        <v>704</v>
      </c>
      <c r="H297" s="398"/>
      <c r="I297" s="275" t="s">
        <v>436</v>
      </c>
    </row>
    <row r="298" spans="3:9">
      <c r="C298" s="273">
        <v>292</v>
      </c>
      <c r="D298" s="272" t="s">
        <v>1302</v>
      </c>
      <c r="E298" s="273">
        <f t="shared" si="4"/>
        <v>45</v>
      </c>
      <c r="F298" s="274" t="s">
        <v>807</v>
      </c>
      <c r="G298" s="398" t="s">
        <v>705</v>
      </c>
      <c r="H298" s="398"/>
      <c r="I298" s="275" t="s">
        <v>436</v>
      </c>
    </row>
    <row r="299" spans="3:9">
      <c r="C299" s="273">
        <v>293</v>
      </c>
      <c r="D299" s="272" t="s">
        <v>1303</v>
      </c>
      <c r="E299" s="273">
        <f t="shared" si="4"/>
        <v>45</v>
      </c>
      <c r="F299" s="274" t="s">
        <v>1069</v>
      </c>
      <c r="G299" s="398" t="s">
        <v>706</v>
      </c>
      <c r="H299" s="398"/>
      <c r="I299" s="275" t="s">
        <v>436</v>
      </c>
    </row>
    <row r="300" spans="3:9">
      <c r="C300" s="273">
        <v>294</v>
      </c>
      <c r="D300" s="272" t="s">
        <v>1304</v>
      </c>
      <c r="E300" s="273">
        <f t="shared" si="4"/>
        <v>45</v>
      </c>
      <c r="F300" s="274" t="s">
        <v>1070</v>
      </c>
      <c r="G300" s="398" t="s">
        <v>707</v>
      </c>
      <c r="H300" s="398"/>
      <c r="I300" s="275" t="s">
        <v>436</v>
      </c>
    </row>
    <row r="301" spans="3:9" ht="30">
      <c r="C301" s="273">
        <v>295</v>
      </c>
      <c r="D301" s="272" t="s">
        <v>1305</v>
      </c>
      <c r="E301" s="273">
        <f t="shared" si="4"/>
        <v>45</v>
      </c>
      <c r="F301" s="274" t="s">
        <v>1071</v>
      </c>
      <c r="G301" s="398" t="s">
        <v>708</v>
      </c>
      <c r="H301" s="398"/>
      <c r="I301" s="275" t="s">
        <v>436</v>
      </c>
    </row>
    <row r="302" spans="3:9" ht="30">
      <c r="C302" s="273">
        <v>296</v>
      </c>
      <c r="D302" s="272" t="s">
        <v>1306</v>
      </c>
      <c r="E302" s="273">
        <f t="shared" si="4"/>
        <v>45</v>
      </c>
      <c r="F302" s="274" t="s">
        <v>1072</v>
      </c>
      <c r="G302" s="398" t="s">
        <v>709</v>
      </c>
      <c r="H302" s="398"/>
      <c r="I302" s="275" t="s">
        <v>436</v>
      </c>
    </row>
    <row r="303" spans="3:9" ht="30">
      <c r="C303" s="273">
        <v>297</v>
      </c>
      <c r="D303" s="272" t="s">
        <v>1307</v>
      </c>
      <c r="E303" s="273">
        <f t="shared" si="4"/>
        <v>45</v>
      </c>
      <c r="F303" s="274" t="s">
        <v>1073</v>
      </c>
      <c r="G303" s="398" t="s">
        <v>710</v>
      </c>
      <c r="H303" s="398"/>
      <c r="I303" s="275" t="s">
        <v>436</v>
      </c>
    </row>
    <row r="304" spans="3:9">
      <c r="C304" s="273">
        <v>298</v>
      </c>
      <c r="D304" s="272" t="s">
        <v>1308</v>
      </c>
      <c r="E304" s="273">
        <f t="shared" si="4"/>
        <v>45</v>
      </c>
      <c r="F304" s="274" t="s">
        <v>1074</v>
      </c>
      <c r="G304" s="398" t="s">
        <v>453</v>
      </c>
      <c r="H304" s="398"/>
      <c r="I304" s="275" t="s">
        <v>436</v>
      </c>
    </row>
    <row r="305" spans="3:13">
      <c r="C305" s="273">
        <v>299</v>
      </c>
      <c r="D305" s="272" t="s">
        <v>1309</v>
      </c>
      <c r="E305" s="273">
        <f t="shared" si="4"/>
        <v>45</v>
      </c>
      <c r="F305" s="274" t="s">
        <v>1075</v>
      </c>
      <c r="G305" s="398" t="s">
        <v>692</v>
      </c>
      <c r="H305" s="398"/>
      <c r="I305" s="275" t="s">
        <v>436</v>
      </c>
    </row>
    <row r="306" spans="3:13">
      <c r="C306" s="273">
        <v>300</v>
      </c>
      <c r="D306" s="272" t="s">
        <v>1310</v>
      </c>
      <c r="E306" s="273">
        <f t="shared" si="4"/>
        <v>45</v>
      </c>
      <c r="F306" s="274" t="s">
        <v>1076</v>
      </c>
      <c r="G306" s="398" t="s">
        <v>454</v>
      </c>
      <c r="H306" s="398"/>
      <c r="I306" s="275" t="s">
        <v>436</v>
      </c>
    </row>
    <row r="307" spans="3:13" ht="30">
      <c r="C307" s="273">
        <v>301</v>
      </c>
      <c r="D307" s="272" t="s">
        <v>1311</v>
      </c>
      <c r="E307" s="273">
        <f t="shared" si="4"/>
        <v>45</v>
      </c>
      <c r="F307" s="274" t="s">
        <v>1077</v>
      </c>
      <c r="G307" s="398" t="s">
        <v>711</v>
      </c>
      <c r="H307" s="398"/>
      <c r="I307" s="275" t="s">
        <v>436</v>
      </c>
    </row>
    <row r="308" spans="3:13" ht="30">
      <c r="C308" s="273">
        <v>302</v>
      </c>
      <c r="D308" s="272" t="s">
        <v>1312</v>
      </c>
      <c r="E308" s="273">
        <f t="shared" si="4"/>
        <v>45</v>
      </c>
      <c r="F308" s="274" t="s">
        <v>1078</v>
      </c>
      <c r="G308" s="398" t="s">
        <v>712</v>
      </c>
      <c r="H308" s="398"/>
      <c r="I308" s="275" t="s">
        <v>436</v>
      </c>
    </row>
    <row r="309" spans="3:13" ht="30">
      <c r="C309" s="273">
        <v>303</v>
      </c>
      <c r="D309" s="272" t="s">
        <v>1313</v>
      </c>
      <c r="E309" s="273">
        <f t="shared" si="4"/>
        <v>45</v>
      </c>
      <c r="F309" s="274" t="s">
        <v>1079</v>
      </c>
      <c r="G309" s="398" t="s">
        <v>713</v>
      </c>
      <c r="H309" s="398"/>
      <c r="I309" s="275" t="s">
        <v>436</v>
      </c>
    </row>
    <row r="310" spans="3:13">
      <c r="C310" s="273">
        <v>304</v>
      </c>
      <c r="D310" s="272" t="s">
        <v>1314</v>
      </c>
      <c r="E310" s="273">
        <f t="shared" si="4"/>
        <v>45</v>
      </c>
      <c r="F310" s="274" t="s">
        <v>1080</v>
      </c>
      <c r="G310" s="398" t="s">
        <v>714</v>
      </c>
      <c r="H310" s="398"/>
      <c r="I310" s="275" t="s">
        <v>436</v>
      </c>
      <c r="M310" s="128"/>
    </row>
    <row r="311" spans="3:13">
      <c r="C311" s="273">
        <v>305</v>
      </c>
      <c r="D311" s="272" t="s">
        <v>1315</v>
      </c>
      <c r="E311" s="273">
        <f t="shared" si="4"/>
        <v>45</v>
      </c>
      <c r="F311" s="274" t="s">
        <v>1081</v>
      </c>
      <c r="G311" s="398" t="s">
        <v>86</v>
      </c>
      <c r="H311" s="398"/>
      <c r="I311" s="275" t="s">
        <v>436</v>
      </c>
      <c r="M311" s="128"/>
    </row>
    <row r="312" spans="3:13">
      <c r="C312" s="273">
        <v>306</v>
      </c>
      <c r="D312" s="272" t="s">
        <v>1316</v>
      </c>
      <c r="E312" s="273">
        <f t="shared" si="4"/>
        <v>45</v>
      </c>
      <c r="F312" s="274" t="s">
        <v>1082</v>
      </c>
      <c r="G312" s="398" t="s">
        <v>87</v>
      </c>
      <c r="H312" s="398"/>
      <c r="I312" s="275" t="s">
        <v>436</v>
      </c>
      <c r="M312" s="128"/>
    </row>
    <row r="313" spans="3:13">
      <c r="C313" s="273">
        <v>307</v>
      </c>
      <c r="D313" s="272" t="s">
        <v>1317</v>
      </c>
      <c r="E313" s="273">
        <f t="shared" si="4"/>
        <v>45</v>
      </c>
      <c r="F313" s="274" t="s">
        <v>1083</v>
      </c>
      <c r="G313" s="398" t="s">
        <v>724</v>
      </c>
      <c r="H313" s="398"/>
      <c r="I313" s="275" t="s">
        <v>436</v>
      </c>
      <c r="M313" s="128"/>
    </row>
    <row r="314" spans="3:13">
      <c r="C314" s="273">
        <v>308</v>
      </c>
      <c r="D314" s="272" t="s">
        <v>1318</v>
      </c>
      <c r="E314" s="273">
        <f t="shared" si="4"/>
        <v>45</v>
      </c>
      <c r="F314" s="274" t="s">
        <v>1084</v>
      </c>
      <c r="G314" s="398" t="s">
        <v>717</v>
      </c>
      <c r="H314" s="398"/>
      <c r="I314" s="275" t="s">
        <v>436</v>
      </c>
      <c r="M314" s="128"/>
    </row>
    <row r="315" spans="3:13">
      <c r="C315" s="273">
        <v>309</v>
      </c>
      <c r="D315" s="272" t="s">
        <v>1319</v>
      </c>
      <c r="E315" s="273">
        <f t="shared" si="4"/>
        <v>45</v>
      </c>
      <c r="F315" s="274" t="s">
        <v>278</v>
      </c>
      <c r="G315" s="398" t="s">
        <v>718</v>
      </c>
      <c r="H315" s="398"/>
      <c r="I315" s="275" t="s">
        <v>436</v>
      </c>
    </row>
    <row r="316" spans="3:13">
      <c r="C316" s="273">
        <v>310</v>
      </c>
      <c r="D316" s="272" t="s">
        <v>1320</v>
      </c>
      <c r="E316" s="273">
        <f t="shared" si="4"/>
        <v>45</v>
      </c>
      <c r="F316" s="274" t="s">
        <v>1085</v>
      </c>
      <c r="G316" s="398" t="s">
        <v>9</v>
      </c>
      <c r="H316" s="398"/>
      <c r="I316" s="275" t="s">
        <v>436</v>
      </c>
    </row>
    <row r="317" spans="3:13">
      <c r="C317" s="273">
        <v>311</v>
      </c>
      <c r="D317" s="272" t="s">
        <v>1321</v>
      </c>
      <c r="E317" s="273">
        <f t="shared" si="4"/>
        <v>45</v>
      </c>
      <c r="F317" s="274" t="s">
        <v>82</v>
      </c>
      <c r="G317" s="398" t="s">
        <v>79</v>
      </c>
      <c r="H317" s="398"/>
      <c r="I317" s="275" t="s">
        <v>436</v>
      </c>
    </row>
    <row r="318" spans="3:13">
      <c r="C318" s="273">
        <v>312</v>
      </c>
      <c r="D318" s="272" t="s">
        <v>1322</v>
      </c>
      <c r="E318" s="273">
        <f t="shared" si="4"/>
        <v>45</v>
      </c>
      <c r="F318" s="274" t="s">
        <v>224</v>
      </c>
      <c r="G318" s="398" t="s">
        <v>182</v>
      </c>
      <c r="H318" s="398"/>
      <c r="I318" s="275" t="s">
        <v>436</v>
      </c>
    </row>
    <row r="319" spans="3:13">
      <c r="C319" s="273">
        <v>313</v>
      </c>
      <c r="D319" s="272" t="s">
        <v>1323</v>
      </c>
      <c r="E319" s="273">
        <f t="shared" si="4"/>
        <v>45</v>
      </c>
      <c r="F319" s="274" t="s">
        <v>1086</v>
      </c>
      <c r="G319" s="398" t="s">
        <v>719</v>
      </c>
      <c r="H319" s="398"/>
      <c r="I319" s="275" t="s">
        <v>436</v>
      </c>
    </row>
    <row r="320" spans="3:13">
      <c r="C320" s="273">
        <v>314</v>
      </c>
      <c r="D320" s="272" t="s">
        <v>1324</v>
      </c>
      <c r="E320" s="273">
        <f t="shared" si="4"/>
        <v>45</v>
      </c>
      <c r="F320" s="274" t="s">
        <v>1087</v>
      </c>
      <c r="G320" s="398" t="s">
        <v>720</v>
      </c>
      <c r="H320" s="398"/>
      <c r="I320" s="275" t="s">
        <v>436</v>
      </c>
    </row>
    <row r="321" spans="3:9">
      <c r="C321" s="273">
        <v>315</v>
      </c>
      <c r="D321" s="272" t="s">
        <v>1325</v>
      </c>
      <c r="E321" s="273">
        <f t="shared" si="4"/>
        <v>45</v>
      </c>
      <c r="F321" s="274" t="s">
        <v>1088</v>
      </c>
      <c r="G321" s="398" t="s">
        <v>290</v>
      </c>
      <c r="H321" s="398"/>
      <c r="I321" s="275" t="s">
        <v>436</v>
      </c>
    </row>
    <row r="322" spans="3:9">
      <c r="C322" s="273">
        <v>316</v>
      </c>
      <c r="D322" s="272" t="s">
        <v>1326</v>
      </c>
      <c r="E322" s="273">
        <f t="shared" si="4"/>
        <v>45</v>
      </c>
      <c r="F322" s="274" t="s">
        <v>1089</v>
      </c>
      <c r="G322" s="398" t="s">
        <v>721</v>
      </c>
      <c r="H322" s="398"/>
      <c r="I322" s="275" t="s">
        <v>436</v>
      </c>
    </row>
    <row r="323" spans="3:9">
      <c r="C323" s="273">
        <v>317</v>
      </c>
      <c r="D323" s="272" t="s">
        <v>1327</v>
      </c>
      <c r="E323" s="273">
        <f t="shared" si="4"/>
        <v>45</v>
      </c>
      <c r="F323" s="274" t="s">
        <v>1090</v>
      </c>
      <c r="G323" s="398" t="s">
        <v>722</v>
      </c>
      <c r="H323" s="398"/>
      <c r="I323" s="275" t="s">
        <v>436</v>
      </c>
    </row>
    <row r="324" spans="3:9">
      <c r="C324" s="273">
        <v>318</v>
      </c>
      <c r="D324" s="272" t="s">
        <v>1328</v>
      </c>
      <c r="E324" s="273">
        <f t="shared" si="4"/>
        <v>45</v>
      </c>
      <c r="F324" s="274" t="s">
        <v>1091</v>
      </c>
      <c r="G324" s="398" t="s">
        <v>723</v>
      </c>
      <c r="H324" s="398"/>
      <c r="I324" s="275" t="s">
        <v>436</v>
      </c>
    </row>
    <row r="325" spans="3:9">
      <c r="C325" s="273">
        <v>319</v>
      </c>
      <c r="D325" s="272" t="s">
        <v>1329</v>
      </c>
      <c r="E325" s="273">
        <f t="shared" si="4"/>
        <v>45</v>
      </c>
      <c r="F325" s="274" t="s">
        <v>1092</v>
      </c>
      <c r="G325" s="398" t="s">
        <v>725</v>
      </c>
      <c r="H325" s="398"/>
      <c r="I325" s="275" t="s">
        <v>436</v>
      </c>
    </row>
    <row r="326" spans="3:9">
      <c r="C326" s="273">
        <v>320</v>
      </c>
      <c r="D326" s="272" t="s">
        <v>1330</v>
      </c>
      <c r="E326" s="273">
        <f t="shared" si="4"/>
        <v>45</v>
      </c>
      <c r="F326" s="274" t="s">
        <v>14</v>
      </c>
      <c r="G326" s="398" t="s">
        <v>14</v>
      </c>
      <c r="H326" s="398"/>
      <c r="I326" s="275" t="s">
        <v>436</v>
      </c>
    </row>
    <row r="327" spans="3:9">
      <c r="C327" s="273">
        <v>321</v>
      </c>
      <c r="D327" s="272" t="s">
        <v>1331</v>
      </c>
      <c r="E327" s="273">
        <f t="shared" si="4"/>
        <v>45</v>
      </c>
      <c r="F327" s="274" t="s">
        <v>726</v>
      </c>
      <c r="G327" s="398" t="s">
        <v>726</v>
      </c>
      <c r="H327" s="398"/>
      <c r="I327" s="275" t="s">
        <v>436</v>
      </c>
    </row>
    <row r="328" spans="3:9">
      <c r="C328" s="273">
        <v>322</v>
      </c>
      <c r="D328" s="272" t="s">
        <v>1332</v>
      </c>
      <c r="E328" s="273">
        <f t="shared" ref="E328:E363" si="5">MID(I328,1,3)*1</f>
        <v>45</v>
      </c>
      <c r="F328" s="274" t="s">
        <v>732</v>
      </c>
      <c r="G328" s="398" t="s">
        <v>732</v>
      </c>
      <c r="H328" s="398"/>
      <c r="I328" s="275" t="s">
        <v>436</v>
      </c>
    </row>
    <row r="329" spans="3:9">
      <c r="C329" s="273">
        <v>323</v>
      </c>
      <c r="D329" s="272" t="s">
        <v>1333</v>
      </c>
      <c r="E329" s="273">
        <f t="shared" si="5"/>
        <v>45</v>
      </c>
      <c r="F329" s="274" t="s">
        <v>106</v>
      </c>
      <c r="G329" s="398" t="s">
        <v>77</v>
      </c>
      <c r="H329" s="398"/>
      <c r="I329" s="275" t="s">
        <v>436</v>
      </c>
    </row>
    <row r="330" spans="3:9">
      <c r="C330" s="273">
        <v>324</v>
      </c>
      <c r="D330" s="272" t="s">
        <v>1334</v>
      </c>
      <c r="E330" s="273">
        <f t="shared" si="5"/>
        <v>45</v>
      </c>
      <c r="F330" s="274" t="s">
        <v>1093</v>
      </c>
      <c r="G330" s="398" t="s">
        <v>727</v>
      </c>
      <c r="H330" s="398"/>
      <c r="I330" s="275" t="s">
        <v>436</v>
      </c>
    </row>
    <row r="331" spans="3:9">
      <c r="C331" s="273">
        <v>325</v>
      </c>
      <c r="D331" s="272" t="s">
        <v>1335</v>
      </c>
      <c r="E331" s="273">
        <f t="shared" si="5"/>
        <v>45</v>
      </c>
      <c r="F331" s="274" t="s">
        <v>106</v>
      </c>
      <c r="G331" s="398" t="s">
        <v>29</v>
      </c>
      <c r="H331" s="398"/>
      <c r="I331" s="275" t="s">
        <v>436</v>
      </c>
    </row>
    <row r="332" spans="3:9">
      <c r="C332" s="273">
        <v>326</v>
      </c>
      <c r="D332" s="272" t="s">
        <v>1336</v>
      </c>
      <c r="E332" s="273">
        <f t="shared" si="5"/>
        <v>45</v>
      </c>
      <c r="F332" s="274" t="s">
        <v>99</v>
      </c>
      <c r="G332" s="398" t="s">
        <v>305</v>
      </c>
      <c r="H332" s="398"/>
      <c r="I332" s="275" t="s">
        <v>436</v>
      </c>
    </row>
    <row r="333" spans="3:9">
      <c r="C333" s="273">
        <v>327</v>
      </c>
      <c r="D333" s="272" t="s">
        <v>1337</v>
      </c>
      <c r="E333" s="273">
        <f t="shared" si="5"/>
        <v>45</v>
      </c>
      <c r="F333" s="274" t="s">
        <v>1094</v>
      </c>
      <c r="G333" s="398" t="s">
        <v>728</v>
      </c>
      <c r="H333" s="398"/>
      <c r="I333" s="275" t="s">
        <v>436</v>
      </c>
    </row>
    <row r="334" spans="3:9">
      <c r="C334" s="273">
        <v>328</v>
      </c>
      <c r="D334" s="272" t="s">
        <v>1338</v>
      </c>
      <c r="E334" s="273">
        <f t="shared" si="5"/>
        <v>45</v>
      </c>
      <c r="F334" s="274" t="s">
        <v>775</v>
      </c>
      <c r="G334" s="398" t="s">
        <v>617</v>
      </c>
      <c r="H334" s="398"/>
      <c r="I334" s="275" t="s">
        <v>436</v>
      </c>
    </row>
    <row r="335" spans="3:9">
      <c r="C335" s="273">
        <v>329</v>
      </c>
      <c r="D335" s="272" t="s">
        <v>1339</v>
      </c>
      <c r="E335" s="273">
        <f t="shared" si="5"/>
        <v>45</v>
      </c>
      <c r="F335" s="274" t="s">
        <v>1095</v>
      </c>
      <c r="G335" s="398" t="s">
        <v>729</v>
      </c>
      <c r="H335" s="398"/>
      <c r="I335" s="275" t="s">
        <v>436</v>
      </c>
    </row>
    <row r="336" spans="3:9">
      <c r="C336" s="273">
        <v>330</v>
      </c>
      <c r="D336" s="272" t="s">
        <v>1340</v>
      </c>
      <c r="E336" s="273">
        <f t="shared" si="5"/>
        <v>45</v>
      </c>
      <c r="F336" s="274" t="s">
        <v>1096</v>
      </c>
      <c r="G336" s="398" t="s">
        <v>94</v>
      </c>
      <c r="H336" s="398"/>
      <c r="I336" s="275" t="s">
        <v>436</v>
      </c>
    </row>
    <row r="337" spans="3:9">
      <c r="C337" s="273">
        <v>331</v>
      </c>
      <c r="D337" s="272" t="s">
        <v>1341</v>
      </c>
      <c r="E337" s="273">
        <f t="shared" si="5"/>
        <v>45</v>
      </c>
      <c r="F337" s="274" t="s">
        <v>1097</v>
      </c>
      <c r="G337" s="398" t="s">
        <v>731</v>
      </c>
      <c r="H337" s="398"/>
      <c r="I337" s="275" t="s">
        <v>436</v>
      </c>
    </row>
    <row r="338" spans="3:9">
      <c r="C338" s="273">
        <v>332</v>
      </c>
      <c r="D338" s="272" t="s">
        <v>1342</v>
      </c>
      <c r="E338" s="273">
        <f t="shared" si="5"/>
        <v>45</v>
      </c>
      <c r="F338" s="274" t="s">
        <v>1098</v>
      </c>
      <c r="G338" s="398" t="s">
        <v>96</v>
      </c>
      <c r="H338" s="398"/>
      <c r="I338" s="275" t="s">
        <v>436</v>
      </c>
    </row>
    <row r="339" spans="3:9">
      <c r="C339" s="273">
        <v>333</v>
      </c>
      <c r="D339" s="272" t="s">
        <v>1343</v>
      </c>
      <c r="E339" s="273">
        <f t="shared" si="5"/>
        <v>45</v>
      </c>
      <c r="F339" s="274" t="s">
        <v>1099</v>
      </c>
      <c r="G339" s="398" t="s">
        <v>730</v>
      </c>
      <c r="H339" s="398"/>
      <c r="I339" s="275" t="s">
        <v>436</v>
      </c>
    </row>
    <row r="340" spans="3:9">
      <c r="C340" s="273">
        <v>334</v>
      </c>
      <c r="D340" s="272" t="s">
        <v>1344</v>
      </c>
      <c r="E340" s="273">
        <f t="shared" si="5"/>
        <v>45</v>
      </c>
      <c r="F340" s="274" t="s">
        <v>906</v>
      </c>
      <c r="G340" s="398" t="s">
        <v>417</v>
      </c>
      <c r="H340" s="398"/>
      <c r="I340" s="275" t="s">
        <v>436</v>
      </c>
    </row>
    <row r="341" spans="3:9">
      <c r="C341" s="273">
        <v>335</v>
      </c>
      <c r="D341" s="272" t="s">
        <v>1345</v>
      </c>
      <c r="E341" s="273">
        <f t="shared" si="5"/>
        <v>45</v>
      </c>
      <c r="F341" s="274"/>
      <c r="G341" s="398"/>
      <c r="H341" s="398"/>
      <c r="I341" s="275" t="s">
        <v>436</v>
      </c>
    </row>
    <row r="342" spans="3:9">
      <c r="C342" s="273">
        <v>336</v>
      </c>
      <c r="D342" s="272" t="s">
        <v>1346</v>
      </c>
      <c r="E342" s="273">
        <f t="shared" si="5"/>
        <v>45</v>
      </c>
      <c r="F342" s="274"/>
      <c r="G342" s="398"/>
      <c r="H342" s="398"/>
      <c r="I342" s="275" t="s">
        <v>436</v>
      </c>
    </row>
    <row r="343" spans="3:9">
      <c r="C343" s="273">
        <v>337</v>
      </c>
      <c r="D343" s="272" t="s">
        <v>1347</v>
      </c>
      <c r="E343" s="273">
        <f t="shared" si="5"/>
        <v>45</v>
      </c>
      <c r="F343" s="274"/>
      <c r="G343" s="398"/>
      <c r="H343" s="398"/>
      <c r="I343" s="275" t="s">
        <v>436</v>
      </c>
    </row>
    <row r="344" spans="3:9">
      <c r="C344" s="273">
        <v>338</v>
      </c>
      <c r="D344" s="272" t="s">
        <v>1348</v>
      </c>
      <c r="E344" s="273">
        <f t="shared" si="5"/>
        <v>45</v>
      </c>
      <c r="F344" s="274"/>
      <c r="G344" s="398"/>
      <c r="H344" s="398"/>
      <c r="I344" s="275" t="s">
        <v>436</v>
      </c>
    </row>
    <row r="345" spans="3:9">
      <c r="C345" s="273">
        <v>339</v>
      </c>
      <c r="D345" s="272" t="s">
        <v>1349</v>
      </c>
      <c r="E345" s="273">
        <f t="shared" si="5"/>
        <v>45</v>
      </c>
      <c r="F345" s="274"/>
      <c r="G345" s="398"/>
      <c r="H345" s="398"/>
      <c r="I345" s="275" t="s">
        <v>436</v>
      </c>
    </row>
    <row r="346" spans="3:9">
      <c r="C346" s="273">
        <v>340</v>
      </c>
      <c r="D346" s="272" t="s">
        <v>1350</v>
      </c>
      <c r="E346" s="273">
        <f t="shared" si="5"/>
        <v>45</v>
      </c>
      <c r="F346" s="274"/>
      <c r="G346" s="398"/>
      <c r="H346" s="398"/>
      <c r="I346" s="275" t="s">
        <v>436</v>
      </c>
    </row>
    <row r="347" spans="3:9">
      <c r="C347" s="273">
        <v>341</v>
      </c>
      <c r="D347" s="272" t="s">
        <v>1351</v>
      </c>
      <c r="E347" s="273">
        <f t="shared" si="5"/>
        <v>45</v>
      </c>
      <c r="F347" s="274"/>
      <c r="G347" s="398"/>
      <c r="H347" s="398"/>
      <c r="I347" s="275" t="s">
        <v>436</v>
      </c>
    </row>
    <row r="348" spans="3:9">
      <c r="C348" s="273">
        <v>342</v>
      </c>
      <c r="D348" s="272" t="s">
        <v>1352</v>
      </c>
      <c r="E348" s="273">
        <f t="shared" si="5"/>
        <v>45</v>
      </c>
      <c r="F348" s="274"/>
      <c r="G348" s="398"/>
      <c r="H348" s="398"/>
      <c r="I348" s="275" t="s">
        <v>436</v>
      </c>
    </row>
    <row r="349" spans="3:9">
      <c r="C349" s="273">
        <v>343</v>
      </c>
      <c r="D349" s="272" t="s">
        <v>1353</v>
      </c>
      <c r="E349" s="273">
        <f t="shared" si="5"/>
        <v>45</v>
      </c>
      <c r="F349" s="274"/>
      <c r="G349" s="398"/>
      <c r="H349" s="398"/>
      <c r="I349" s="275" t="s">
        <v>436</v>
      </c>
    </row>
    <row r="350" spans="3:9">
      <c r="C350" s="273">
        <v>344</v>
      </c>
      <c r="D350" s="272" t="s">
        <v>1354</v>
      </c>
      <c r="E350" s="273">
        <f t="shared" si="5"/>
        <v>45</v>
      </c>
      <c r="F350" s="274"/>
      <c r="G350" s="398"/>
      <c r="H350" s="398"/>
      <c r="I350" s="275" t="s">
        <v>436</v>
      </c>
    </row>
    <row r="351" spans="3:9">
      <c r="C351" s="273">
        <v>345</v>
      </c>
      <c r="D351" s="272" t="s">
        <v>1355</v>
      </c>
      <c r="E351" s="273">
        <f t="shared" si="5"/>
        <v>45</v>
      </c>
      <c r="F351" s="274"/>
      <c r="G351" s="398"/>
      <c r="H351" s="398"/>
      <c r="I351" s="275" t="s">
        <v>436</v>
      </c>
    </row>
    <row r="352" spans="3:9">
      <c r="C352" s="273">
        <v>346</v>
      </c>
      <c r="D352" s="272" t="s">
        <v>1356</v>
      </c>
      <c r="E352" s="273">
        <f t="shared" si="5"/>
        <v>45</v>
      </c>
      <c r="F352" s="274"/>
      <c r="G352" s="398"/>
      <c r="H352" s="398"/>
      <c r="I352" s="275" t="s">
        <v>436</v>
      </c>
    </row>
    <row r="353" spans="3:9">
      <c r="C353" s="273">
        <v>347</v>
      </c>
      <c r="D353" s="272" t="s">
        <v>1357</v>
      </c>
      <c r="E353" s="273">
        <f t="shared" si="5"/>
        <v>45</v>
      </c>
      <c r="F353" s="274"/>
      <c r="G353" s="398"/>
      <c r="H353" s="398"/>
      <c r="I353" s="275" t="s">
        <v>436</v>
      </c>
    </row>
    <row r="354" spans="3:9">
      <c r="C354" s="273">
        <v>348</v>
      </c>
      <c r="D354" s="272" t="s">
        <v>1358</v>
      </c>
      <c r="E354" s="273">
        <f t="shared" si="5"/>
        <v>45</v>
      </c>
      <c r="F354" s="274"/>
      <c r="G354" s="398"/>
      <c r="H354" s="398"/>
      <c r="I354" s="275" t="s">
        <v>436</v>
      </c>
    </row>
    <row r="355" spans="3:9">
      <c r="C355" s="273">
        <v>349</v>
      </c>
      <c r="D355" s="272" t="s">
        <v>1359</v>
      </c>
      <c r="E355" s="273">
        <f t="shared" si="5"/>
        <v>45</v>
      </c>
      <c r="F355" s="274"/>
      <c r="G355" s="398"/>
      <c r="H355" s="398"/>
      <c r="I355" s="275" t="s">
        <v>436</v>
      </c>
    </row>
    <row r="356" spans="3:9">
      <c r="C356" s="273">
        <v>350</v>
      </c>
      <c r="D356" s="272" t="s">
        <v>1360</v>
      </c>
      <c r="E356" s="273">
        <f t="shared" si="5"/>
        <v>45</v>
      </c>
      <c r="F356" s="274"/>
      <c r="G356" s="398"/>
      <c r="H356" s="398"/>
      <c r="I356" s="275" t="s">
        <v>436</v>
      </c>
    </row>
    <row r="357" spans="3:9">
      <c r="C357" s="273">
        <v>351</v>
      </c>
      <c r="D357" s="272" t="s">
        <v>1361</v>
      </c>
      <c r="E357" s="273">
        <f t="shared" si="5"/>
        <v>45</v>
      </c>
      <c r="F357" s="274"/>
      <c r="G357" s="398"/>
      <c r="H357" s="398"/>
      <c r="I357" s="275" t="s">
        <v>436</v>
      </c>
    </row>
    <row r="358" spans="3:9">
      <c r="C358" s="273">
        <v>352</v>
      </c>
      <c r="D358" s="272" t="s">
        <v>1362</v>
      </c>
      <c r="E358" s="273">
        <f t="shared" si="5"/>
        <v>45</v>
      </c>
      <c r="F358" s="274"/>
      <c r="G358" s="398"/>
      <c r="H358" s="398"/>
      <c r="I358" s="275" t="s">
        <v>436</v>
      </c>
    </row>
    <row r="359" spans="3:9">
      <c r="C359" s="273">
        <v>353</v>
      </c>
      <c r="D359" s="272" t="s">
        <v>1363</v>
      </c>
      <c r="E359" s="273">
        <f t="shared" si="5"/>
        <v>45</v>
      </c>
      <c r="F359" s="274"/>
      <c r="G359" s="398"/>
      <c r="H359" s="398"/>
      <c r="I359" s="275" t="s">
        <v>436</v>
      </c>
    </row>
    <row r="360" spans="3:9">
      <c r="C360" s="273">
        <v>354</v>
      </c>
      <c r="D360" s="272" t="s">
        <v>1364</v>
      </c>
      <c r="E360" s="273">
        <f t="shared" si="5"/>
        <v>45</v>
      </c>
      <c r="F360" s="274"/>
      <c r="G360" s="398"/>
      <c r="H360" s="398"/>
      <c r="I360" s="275" t="s">
        <v>436</v>
      </c>
    </row>
    <row r="361" spans="3:9">
      <c r="C361" s="273">
        <v>355</v>
      </c>
      <c r="D361" s="272" t="s">
        <v>1365</v>
      </c>
      <c r="E361" s="273">
        <f t="shared" si="5"/>
        <v>45</v>
      </c>
      <c r="F361" s="274"/>
      <c r="G361" s="398"/>
      <c r="H361" s="398"/>
      <c r="I361" s="275" t="s">
        <v>436</v>
      </c>
    </row>
    <row r="362" spans="3:9">
      <c r="C362" s="273">
        <v>356</v>
      </c>
      <c r="D362" s="272" t="s">
        <v>1366</v>
      </c>
      <c r="E362" s="273">
        <f t="shared" si="5"/>
        <v>45</v>
      </c>
      <c r="F362" s="274"/>
      <c r="G362" s="398"/>
      <c r="H362" s="398"/>
      <c r="I362" s="275" t="s">
        <v>436</v>
      </c>
    </row>
    <row r="363" spans="3:9">
      <c r="C363" s="273">
        <v>357</v>
      </c>
      <c r="D363" s="272" t="s">
        <v>1367</v>
      </c>
      <c r="E363" s="273">
        <f t="shared" si="5"/>
        <v>45</v>
      </c>
      <c r="F363" s="274"/>
      <c r="G363" s="398"/>
      <c r="H363" s="398"/>
      <c r="I363" s="275" t="s">
        <v>436</v>
      </c>
    </row>
  </sheetData>
  <mergeCells count="1">
    <mergeCell ref="C3:I3"/>
  </mergeCells>
  <phoneticPr fontId="37" type="noConversion"/>
  <conditionalFormatting sqref="Q5:Q6 D5:D6">
    <cfRule type="duplicateValues" dxfId="0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E7" sqref="E7"/>
    </sheetView>
  </sheetViews>
  <sheetFormatPr defaultRowHeight="23.25"/>
  <cols>
    <col min="1" max="1" width="4.85546875" customWidth="1"/>
    <col min="2" max="2" width="7.7109375" style="206" customWidth="1"/>
    <col min="3" max="3" width="22.140625" style="206" customWidth="1"/>
    <col min="4" max="4" width="45" style="206" bestFit="1" customWidth="1"/>
    <col min="5" max="5" width="24.140625" style="206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611" customWidth="1"/>
    <col min="11" max="11" width="11.140625" style="161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411"/>
      <c r="C1" s="202"/>
      <c r="D1" s="202"/>
      <c r="E1" s="202"/>
      <c r="F1" s="202"/>
      <c r="G1" s="202"/>
      <c r="H1" s="202"/>
      <c r="I1" s="202"/>
      <c r="J1" s="606"/>
      <c r="K1" s="365"/>
    </row>
    <row r="2" spans="2:18" ht="46.5" customHeight="1">
      <c r="B2" s="1800" t="s">
        <v>108</v>
      </c>
      <c r="C2" s="1800"/>
      <c r="D2" s="1800"/>
      <c r="E2" s="1800"/>
      <c r="F2" s="1800"/>
      <c r="G2" s="1800"/>
      <c r="H2" s="1800"/>
      <c r="I2" s="1800"/>
      <c r="J2" s="153"/>
      <c r="K2"/>
    </row>
    <row r="3" spans="2:18" ht="27.75" customHeight="1">
      <c r="B3" s="1799" t="str">
        <f>$L$4&amp;"( "&amp;$N$4&amp;" - "&amp;DAY($O$4)&amp;"/"&amp;$M$3&amp;"/"&amp;YEAR($O$4)&amp;" )"</f>
        <v>ប្រចាំខែ កក្កដា  ( 01/07/2026 - 31/07/2026 )</v>
      </c>
      <c r="C3" s="1799"/>
      <c r="D3" s="1799"/>
      <c r="E3" s="1799"/>
      <c r="F3" s="1799"/>
      <c r="G3" s="1799"/>
      <c r="H3" s="1799"/>
      <c r="I3" s="1799"/>
      <c r="J3" s="153"/>
      <c r="K3"/>
      <c r="L3" s="129" t="s">
        <v>30</v>
      </c>
      <c r="M3" s="133" t="str">
        <f>MID(L3,1,2)</f>
        <v>07</v>
      </c>
      <c r="N3" s="13">
        <v>2026</v>
      </c>
      <c r="P3" s="375">
        <v>45292</v>
      </c>
      <c r="Q3" s="375">
        <f>EOMONTH(DATE(YEAR(N4),MONTH(N4),1),-1)</f>
        <v>46203</v>
      </c>
    </row>
    <row r="4" spans="2:18" ht="29.25" customHeight="1">
      <c r="B4" s="938" t="s">
        <v>47</v>
      </c>
      <c r="C4" s="938" t="s">
        <v>109</v>
      </c>
      <c r="D4" s="938" t="s">
        <v>61</v>
      </c>
      <c r="E4" s="938" t="s">
        <v>62</v>
      </c>
      <c r="F4" s="938" t="s">
        <v>1642</v>
      </c>
      <c r="G4" s="938" t="str">
        <f>"ស្តុកផលិត"&amp;" ខែ"&amp;MID(L3,4,50)</f>
        <v>ស្តុកផលិត ខែកក្កដា</v>
      </c>
      <c r="H4" s="938" t="str">
        <f>"ស្តុកលក់"&amp;" ខែ"&amp;MID(L3,4,50)</f>
        <v>ស្តុកលក់ ខែកក្កដា</v>
      </c>
      <c r="I4" s="938" t="s">
        <v>110</v>
      </c>
      <c r="J4" s="938" t="s">
        <v>260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374">
        <f>EOMONTH(N4,0)</f>
        <v>46234</v>
      </c>
      <c r="P4" s="13"/>
      <c r="Q4" s="121"/>
    </row>
    <row r="5" spans="2:18" ht="21" customHeight="1">
      <c r="B5" s="889" t="s">
        <v>10</v>
      </c>
      <c r="C5" s="889" t="s">
        <v>111</v>
      </c>
      <c r="D5" s="889" t="s">
        <v>75</v>
      </c>
      <c r="E5" s="889" t="s">
        <v>14</v>
      </c>
      <c r="F5" s="889" t="s">
        <v>112</v>
      </c>
      <c r="G5" s="889" t="s">
        <v>113</v>
      </c>
      <c r="H5" s="889" t="s">
        <v>215</v>
      </c>
      <c r="I5" s="889" t="s">
        <v>114</v>
      </c>
      <c r="J5" s="889" t="s">
        <v>261</v>
      </c>
      <c r="K5"/>
      <c r="L5" s="406" t="s">
        <v>739</v>
      </c>
      <c r="N5" s="126" t="str">
        <f>"01/01/"&amp;N3</f>
        <v>01/01/2026</v>
      </c>
      <c r="O5" s="374">
        <f ca="1">NOW()</f>
        <v>46216.723524537039</v>
      </c>
      <c r="P5" s="374">
        <f>EOMONTH(N5,-1)</f>
        <v>46022</v>
      </c>
    </row>
    <row r="6" spans="2:18" ht="35.25" hidden="1" customHeight="1">
      <c r="B6" s="2"/>
      <c r="C6" s="1008"/>
      <c r="D6" s="1008"/>
      <c r="E6" s="1008"/>
      <c r="F6" s="1008"/>
      <c r="G6" s="1008"/>
      <c r="H6" s="1008"/>
      <c r="I6" s="1008"/>
      <c r="J6" s="153"/>
      <c r="K6"/>
    </row>
    <row r="7" spans="2:18" ht="24.95" customHeight="1">
      <c r="B7" s="428">
        <v>1</v>
      </c>
      <c r="C7" s="433" t="str">
        <f>IFERROR(IF(D7&lt;&gt;"",VLOOKUP(MID(D7,1,2),product_list,2,FALSE),""),"")</f>
        <v/>
      </c>
      <c r="D7" s="1145" t="s">
        <v>3246</v>
      </c>
      <c r="E7" s="661" t="str">
        <f t="shared" ref="E7:E18" si="0">IF(D7="","",MID(VLOOKUP(MID(D7,1,5)*1,product_list,11,FALSE),5,50))</f>
        <v>width:4m</v>
      </c>
      <c r="F7" s="428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428" t="e">
        <f>IF(OR(C7="",SUMIFS(#REF!,#REF!,C7,#REF!,$M$3,#REF!,$N$3,#REF!,"=1")=0),"",SUMIFS(#REF!,#REF!,C7,#REF!,$M$3,#REF!,$N$3,#REF!,"=1"))</f>
        <v>#REF!</v>
      </c>
      <c r="H7" s="428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428" t="e">
        <f>IF((IF(F7="",0,F7)+IF(G7="",0,G7)-IF(H7="",0,H7))=0,"",IF(F7="",0,F7)+IF(G7="",0,G7)-IF(H7="",0,H7))</f>
        <v>#REF!</v>
      </c>
      <c r="J7" s="368"/>
      <c r="K7"/>
      <c r="R7" s="153"/>
    </row>
    <row r="8" spans="2:18" ht="24.95" customHeight="1">
      <c r="B8" s="428">
        <v>2</v>
      </c>
      <c r="C8" s="433" t="str">
        <f t="shared" ref="C8:C262" si="1">IFERROR(IF(D8&lt;&gt;"",VLOOKUP(MID(D8,1,2),product_list,2,FALSE),""),"")</f>
        <v/>
      </c>
      <c r="D8" s="1145" t="s">
        <v>3247</v>
      </c>
      <c r="E8" s="661" t="str">
        <f t="shared" si="0"/>
        <v>idth: 4m</v>
      </c>
      <c r="F8" s="428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428" t="e">
        <f>IF(OR(C8="",SUMIFS(#REF!,#REF!,C8,#REF!,$M$3,#REF!,$N$3,#REF!,"=1")=0),"",SUMIFS(#REF!,#REF!,C8,#REF!,$M$3,#REF!,$N$3,#REF!,"=1"))</f>
        <v>#REF!</v>
      </c>
      <c r="H8" s="428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428" t="e">
        <f t="shared" ref="I8" si="2">IF((IF(F8="",0,F8)+IF(G8="",0,G8)-IF(H8="",0,H8))=0,"",IF(F8="",0,F8)+IF(G8="",0,G8)-IF(H8="",0,H8))</f>
        <v>#REF!</v>
      </c>
      <c r="J8" s="368"/>
      <c r="K8"/>
      <c r="L8" s="13"/>
      <c r="M8" s="13"/>
      <c r="R8" s="153"/>
    </row>
    <row r="9" spans="2:18" ht="24.95" customHeight="1">
      <c r="B9" s="428">
        <v>3</v>
      </c>
      <c r="C9" s="433"/>
      <c r="D9" s="1145" t="s">
        <v>3248</v>
      </c>
      <c r="E9" s="661" t="str">
        <f t="shared" si="0"/>
        <v>idth:4m</v>
      </c>
      <c r="F9" s="428"/>
      <c r="G9" s="428"/>
      <c r="H9" s="428"/>
      <c r="I9" s="428"/>
      <c r="J9" s="368"/>
      <c r="K9"/>
      <c r="L9" s="13"/>
      <c r="M9" s="13"/>
      <c r="R9" s="153"/>
    </row>
    <row r="10" spans="2:18" ht="24.95" customHeight="1">
      <c r="B10" s="428">
        <v>4</v>
      </c>
      <c r="C10" s="433"/>
      <c r="D10" s="1145" t="s">
        <v>3249</v>
      </c>
      <c r="E10" s="661" t="str">
        <f t="shared" si="0"/>
        <v>idth:4m</v>
      </c>
      <c r="F10" s="428"/>
      <c r="G10" s="428"/>
      <c r="H10" s="428"/>
      <c r="I10" s="428"/>
      <c r="J10" s="368"/>
      <c r="K10"/>
      <c r="L10" s="13"/>
      <c r="M10" s="13"/>
      <c r="R10" s="153"/>
    </row>
    <row r="11" spans="2:18" ht="24.95" customHeight="1">
      <c r="B11" s="428">
        <v>5</v>
      </c>
      <c r="C11" s="433"/>
      <c r="D11" s="1145" t="s">
        <v>3250</v>
      </c>
      <c r="E11" s="661" t="str">
        <f t="shared" si="0"/>
        <v>idth:4m</v>
      </c>
      <c r="F11" s="428"/>
      <c r="G11" s="428"/>
      <c r="H11" s="428"/>
      <c r="I11" s="428"/>
      <c r="J11" s="368"/>
      <c r="K11"/>
      <c r="L11" s="13"/>
      <c r="M11" s="13"/>
      <c r="R11" s="153"/>
    </row>
    <row r="12" spans="2:18" ht="24.95" customHeight="1">
      <c r="B12" s="428">
        <v>6</v>
      </c>
      <c r="C12" s="433"/>
      <c r="D12" s="1145" t="s">
        <v>3251</v>
      </c>
      <c r="E12" s="661" t="str">
        <f t="shared" si="0"/>
        <v>idth:4m</v>
      </c>
      <c r="F12" s="428"/>
      <c r="G12" s="428"/>
      <c r="H12" s="428"/>
      <c r="I12" s="428"/>
      <c r="J12" s="368"/>
      <c r="K12"/>
      <c r="L12" s="13"/>
      <c r="M12" s="13"/>
      <c r="R12" s="153"/>
    </row>
    <row r="13" spans="2:18" ht="24.95" customHeight="1">
      <c r="B13" s="428">
        <v>7</v>
      </c>
      <c r="C13" s="433"/>
      <c r="D13" s="1145" t="s">
        <v>3252</v>
      </c>
      <c r="E13" s="661" t="str">
        <f t="shared" si="0"/>
        <v>idth:4m</v>
      </c>
      <c r="F13" s="428"/>
      <c r="G13" s="428"/>
      <c r="H13" s="428"/>
      <c r="I13" s="428"/>
      <c r="J13" s="368"/>
      <c r="K13"/>
      <c r="L13" s="13"/>
      <c r="M13" s="13"/>
      <c r="R13" s="153"/>
    </row>
    <row r="14" spans="2:18" ht="24.95" customHeight="1">
      <c r="B14" s="428">
        <v>8</v>
      </c>
      <c r="C14" s="433"/>
      <c r="D14" s="1145" t="s">
        <v>3253</v>
      </c>
      <c r="E14" s="661" t="str">
        <f t="shared" si="0"/>
        <v>idth:4m</v>
      </c>
      <c r="F14" s="428"/>
      <c r="G14" s="428"/>
      <c r="H14" s="428"/>
      <c r="I14" s="428"/>
      <c r="J14" s="368"/>
      <c r="K14"/>
      <c r="L14" s="13"/>
      <c r="M14" s="13"/>
      <c r="R14" s="153"/>
    </row>
    <row r="15" spans="2:18" ht="24.95" customHeight="1">
      <c r="B15" s="428">
        <v>9</v>
      </c>
      <c r="C15" s="433"/>
      <c r="D15" s="1145" t="s">
        <v>3254</v>
      </c>
      <c r="E15" s="661" t="str">
        <f t="shared" si="0"/>
        <v>width:4m</v>
      </c>
      <c r="F15" s="428"/>
      <c r="G15" s="428"/>
      <c r="H15" s="428"/>
      <c r="I15" s="428"/>
      <c r="J15" s="368"/>
      <c r="K15"/>
      <c r="L15" s="13"/>
      <c r="M15" s="13"/>
      <c r="R15" s="153"/>
    </row>
    <row r="16" spans="2:18" ht="24.95" customHeight="1">
      <c r="B16" s="428">
        <v>10</v>
      </c>
      <c r="C16" s="433"/>
      <c r="D16" s="1145" t="s">
        <v>3255</v>
      </c>
      <c r="E16" s="661" t="str">
        <f t="shared" si="0"/>
        <v>width:4m</v>
      </c>
      <c r="F16" s="428"/>
      <c r="G16" s="428"/>
      <c r="H16" s="428"/>
      <c r="I16" s="428"/>
      <c r="J16" s="368"/>
      <c r="K16"/>
      <c r="L16" s="13"/>
      <c r="M16" s="13"/>
      <c r="R16" s="153"/>
    </row>
    <row r="17" spans="2:18" ht="24.95" customHeight="1">
      <c r="B17" s="428">
        <v>11</v>
      </c>
      <c r="C17" s="433"/>
      <c r="D17" s="1145" t="s">
        <v>3256</v>
      </c>
      <c r="E17" s="661" t="str">
        <f t="shared" si="0"/>
        <v>idth: 4m</v>
      </c>
      <c r="F17" s="428"/>
      <c r="G17" s="428"/>
      <c r="H17" s="428"/>
      <c r="I17" s="428"/>
      <c r="J17" s="368"/>
      <c r="K17"/>
      <c r="L17" s="13"/>
      <c r="M17" s="13"/>
      <c r="R17" s="153"/>
    </row>
    <row r="18" spans="2:18" ht="24.95" customHeight="1">
      <c r="B18" s="428">
        <v>12</v>
      </c>
      <c r="C18" s="433"/>
      <c r="D18" s="1145" t="s">
        <v>3257</v>
      </c>
      <c r="E18" s="661" t="str">
        <f t="shared" si="0"/>
        <v>idth:4m</v>
      </c>
      <c r="F18" s="428"/>
      <c r="G18" s="428"/>
      <c r="H18" s="428"/>
      <c r="I18" s="428"/>
      <c r="J18" s="368"/>
      <c r="K18"/>
      <c r="L18" s="13"/>
      <c r="M18" s="13"/>
      <c r="R18" s="153"/>
    </row>
    <row r="19" spans="2:18" ht="24.95" customHeight="1">
      <c r="B19" s="428">
        <v>13</v>
      </c>
      <c r="C19" s="433"/>
      <c r="D19" s="1145" t="s">
        <v>3258</v>
      </c>
      <c r="E19" s="661"/>
      <c r="F19" s="428"/>
      <c r="G19" s="428"/>
      <c r="H19" s="428"/>
      <c r="I19" s="428"/>
      <c r="J19" s="368"/>
      <c r="K19"/>
      <c r="L19" s="13"/>
      <c r="M19" s="13"/>
      <c r="R19" s="153"/>
    </row>
    <row r="20" spans="2:18" ht="24.95" customHeight="1">
      <c r="B20" s="428">
        <v>14</v>
      </c>
      <c r="C20" s="433"/>
      <c r="D20" s="1145" t="s">
        <v>3259</v>
      </c>
      <c r="E20" s="661"/>
      <c r="F20" s="428"/>
      <c r="G20" s="428"/>
      <c r="H20" s="428"/>
      <c r="I20" s="428"/>
      <c r="J20" s="368"/>
      <c r="K20"/>
      <c r="L20" s="13"/>
      <c r="M20" s="13"/>
      <c r="R20" s="153"/>
    </row>
    <row r="21" spans="2:18" ht="24.95" customHeight="1">
      <c r="B21" s="428">
        <v>15</v>
      </c>
      <c r="C21" s="433"/>
      <c r="D21" s="1145" t="s">
        <v>3260</v>
      </c>
      <c r="E21" s="661"/>
      <c r="F21" s="428"/>
      <c r="G21" s="428"/>
      <c r="H21" s="428"/>
      <c r="I21" s="428"/>
      <c r="J21" s="368"/>
      <c r="K21"/>
      <c r="L21" s="13"/>
      <c r="M21" s="13"/>
      <c r="R21" s="153"/>
    </row>
    <row r="22" spans="2:18" ht="24.95" customHeight="1">
      <c r="B22" s="428">
        <v>16</v>
      </c>
      <c r="C22" s="433"/>
      <c r="D22" s="1145" t="s">
        <v>3261</v>
      </c>
      <c r="E22" s="661"/>
      <c r="F22" s="428"/>
      <c r="G22" s="428"/>
      <c r="H22" s="428"/>
      <c r="I22" s="428"/>
      <c r="J22" s="368"/>
      <c r="K22"/>
      <c r="L22" s="13"/>
      <c r="M22" s="13"/>
      <c r="R22" s="153"/>
    </row>
    <row r="23" spans="2:18" ht="24.95" customHeight="1">
      <c r="B23" s="428">
        <v>17</v>
      </c>
      <c r="C23" s="433"/>
      <c r="D23" s="1145" t="s">
        <v>3262</v>
      </c>
      <c r="E23" s="661"/>
      <c r="F23" s="428"/>
      <c r="G23" s="428"/>
      <c r="H23" s="428"/>
      <c r="I23" s="428"/>
      <c r="J23" s="368"/>
      <c r="K23"/>
      <c r="L23" s="13"/>
      <c r="M23" s="13"/>
      <c r="R23" s="153"/>
    </row>
    <row r="24" spans="2:18" ht="24.95" customHeight="1">
      <c r="B24" s="428">
        <v>18</v>
      </c>
      <c r="C24" s="433"/>
      <c r="D24" s="1145" t="s">
        <v>3263</v>
      </c>
      <c r="E24" s="661"/>
      <c r="F24" s="428"/>
      <c r="G24" s="428"/>
      <c r="H24" s="428"/>
      <c r="I24" s="428"/>
      <c r="J24" s="368"/>
      <c r="K24"/>
      <c r="L24" s="13"/>
      <c r="M24" s="13"/>
      <c r="R24" s="153"/>
    </row>
    <row r="25" spans="2:18" ht="24.95" customHeight="1">
      <c r="B25" s="428">
        <v>19</v>
      </c>
      <c r="C25" s="433"/>
      <c r="D25" s="1145" t="s">
        <v>3264</v>
      </c>
      <c r="E25" s="661"/>
      <c r="F25" s="428"/>
      <c r="G25" s="428"/>
      <c r="H25" s="428"/>
      <c r="I25" s="428"/>
      <c r="J25" s="368"/>
      <c r="K25"/>
      <c r="L25" s="13"/>
      <c r="M25" s="13"/>
      <c r="R25" s="153"/>
    </row>
    <row r="26" spans="2:18" ht="24.95" customHeight="1">
      <c r="B26" s="428">
        <v>20</v>
      </c>
      <c r="C26" s="433"/>
      <c r="D26" s="1145" t="s">
        <v>3265</v>
      </c>
      <c r="E26" s="661"/>
      <c r="F26" s="428"/>
      <c r="G26" s="428"/>
      <c r="H26" s="428"/>
      <c r="I26" s="428"/>
      <c r="J26" s="368"/>
      <c r="K26"/>
      <c r="L26" s="13"/>
      <c r="M26" s="13"/>
      <c r="R26" s="153"/>
    </row>
    <row r="27" spans="2:18" ht="24.95" customHeight="1">
      <c r="B27" s="428">
        <v>21</v>
      </c>
      <c r="C27" s="433"/>
      <c r="D27" s="1145" t="s">
        <v>3266</v>
      </c>
      <c r="E27" s="661"/>
      <c r="F27" s="428"/>
      <c r="G27" s="428"/>
      <c r="H27" s="428"/>
      <c r="I27" s="428"/>
      <c r="J27" s="368"/>
      <c r="K27"/>
      <c r="L27" s="13"/>
      <c r="M27" s="13"/>
      <c r="R27" s="153"/>
    </row>
    <row r="28" spans="2:18" ht="24.95" customHeight="1">
      <c r="B28" s="428">
        <v>22</v>
      </c>
      <c r="C28" s="433"/>
      <c r="D28" s="1145" t="s">
        <v>3267</v>
      </c>
      <c r="E28" s="661"/>
      <c r="F28" s="428"/>
      <c r="G28" s="428"/>
      <c r="H28" s="428"/>
      <c r="I28" s="428"/>
      <c r="J28" s="368"/>
      <c r="K28"/>
      <c r="L28" s="13"/>
      <c r="M28" s="13"/>
      <c r="R28" s="153"/>
    </row>
    <row r="29" spans="2:18" ht="24.95" customHeight="1">
      <c r="B29" s="428">
        <v>23</v>
      </c>
      <c r="C29" s="433"/>
      <c r="D29" s="1145" t="s">
        <v>3268</v>
      </c>
      <c r="E29" s="661"/>
      <c r="F29" s="428"/>
      <c r="G29" s="428"/>
      <c r="H29" s="428"/>
      <c r="I29" s="428"/>
      <c r="J29" s="368"/>
      <c r="K29"/>
      <c r="L29" s="13"/>
      <c r="M29" s="13"/>
      <c r="R29" s="153"/>
    </row>
    <row r="30" spans="2:18" ht="24.95" customHeight="1">
      <c r="B30" s="428">
        <v>24</v>
      </c>
      <c r="C30" s="433"/>
      <c r="D30" s="1145" t="s">
        <v>3269</v>
      </c>
      <c r="E30" s="661"/>
      <c r="F30" s="428"/>
      <c r="G30" s="428"/>
      <c r="H30" s="428"/>
      <c r="I30" s="428"/>
      <c r="J30" s="368"/>
      <c r="K30"/>
      <c r="L30" s="13"/>
      <c r="M30" s="13"/>
      <c r="R30" s="153"/>
    </row>
    <row r="31" spans="2:18" ht="24.95" customHeight="1">
      <c r="B31" s="428">
        <v>25</v>
      </c>
      <c r="C31" s="433"/>
      <c r="D31" s="1145" t="s">
        <v>3270</v>
      </c>
      <c r="E31" s="661"/>
      <c r="F31" s="428"/>
      <c r="G31" s="428"/>
      <c r="H31" s="428"/>
      <c r="I31" s="428"/>
      <c r="J31" s="368"/>
      <c r="K31"/>
      <c r="L31" s="13"/>
      <c r="M31" s="13"/>
      <c r="R31" s="153"/>
    </row>
    <row r="32" spans="2:18" ht="24.95" customHeight="1">
      <c r="B32" s="428">
        <v>26</v>
      </c>
      <c r="C32" s="433"/>
      <c r="D32" s="1145" t="s">
        <v>3271</v>
      </c>
      <c r="E32" s="661"/>
      <c r="F32" s="428"/>
      <c r="G32" s="428"/>
      <c r="H32" s="428"/>
      <c r="I32" s="428"/>
      <c r="J32" s="368"/>
      <c r="K32"/>
      <c r="L32" s="13"/>
      <c r="M32" s="13"/>
      <c r="R32" s="153"/>
    </row>
    <row r="33" spans="2:18" ht="24.95" customHeight="1">
      <c r="B33" s="428">
        <v>27</v>
      </c>
      <c r="C33" s="433"/>
      <c r="D33" s="1145" t="s">
        <v>3272</v>
      </c>
      <c r="E33" s="661"/>
      <c r="F33" s="428"/>
      <c r="G33" s="428"/>
      <c r="H33" s="428"/>
      <c r="I33" s="428"/>
      <c r="J33" s="368"/>
      <c r="K33"/>
      <c r="L33" s="13"/>
      <c r="M33" s="13"/>
      <c r="R33" s="153"/>
    </row>
    <row r="34" spans="2:18" ht="24.95" customHeight="1">
      <c r="B34" s="428">
        <v>28</v>
      </c>
      <c r="C34" s="433"/>
      <c r="D34" s="1145" t="s">
        <v>3273</v>
      </c>
      <c r="E34" s="661"/>
      <c r="F34" s="428"/>
      <c r="G34" s="428"/>
      <c r="H34" s="428"/>
      <c r="I34" s="428"/>
      <c r="J34" s="368"/>
      <c r="K34"/>
      <c r="L34" s="13"/>
      <c r="M34" s="13"/>
      <c r="R34" s="153"/>
    </row>
    <row r="35" spans="2:18" ht="24.95" customHeight="1">
      <c r="B35" s="428">
        <v>29</v>
      </c>
      <c r="C35" s="433"/>
      <c r="D35" s="1145" t="s">
        <v>3274</v>
      </c>
      <c r="E35" s="661"/>
      <c r="F35" s="428"/>
      <c r="G35" s="428"/>
      <c r="H35" s="428"/>
      <c r="I35" s="428"/>
      <c r="J35" s="368"/>
      <c r="K35"/>
      <c r="L35" s="13"/>
      <c r="M35" s="13"/>
      <c r="R35" s="153"/>
    </row>
    <row r="36" spans="2:18" ht="24.95" customHeight="1">
      <c r="B36" s="428">
        <v>30</v>
      </c>
      <c r="C36" s="433"/>
      <c r="D36" s="1145" t="s">
        <v>3275</v>
      </c>
      <c r="E36" s="661"/>
      <c r="F36" s="428"/>
      <c r="G36" s="428"/>
      <c r="H36" s="428"/>
      <c r="I36" s="428"/>
      <c r="J36" s="368"/>
      <c r="K36"/>
      <c r="L36" s="13"/>
      <c r="M36" s="13"/>
      <c r="R36" s="153"/>
    </row>
    <row r="37" spans="2:18" ht="24.95" customHeight="1">
      <c r="B37" s="428">
        <v>31</v>
      </c>
      <c r="C37" s="433"/>
      <c r="D37" s="1145" t="s">
        <v>3276</v>
      </c>
      <c r="E37" s="661"/>
      <c r="F37" s="428"/>
      <c r="G37" s="428"/>
      <c r="H37" s="428"/>
      <c r="I37" s="428"/>
      <c r="J37" s="368"/>
      <c r="K37"/>
      <c r="L37" s="13"/>
      <c r="M37" s="13"/>
      <c r="R37" s="153"/>
    </row>
    <row r="38" spans="2:18" ht="24.95" customHeight="1">
      <c r="B38" s="428">
        <v>32</v>
      </c>
      <c r="C38" s="433"/>
      <c r="D38" s="1145" t="s">
        <v>3277</v>
      </c>
      <c r="E38" s="661"/>
      <c r="F38" s="428"/>
      <c r="G38" s="428"/>
      <c r="H38" s="428"/>
      <c r="I38" s="428"/>
      <c r="J38" s="368"/>
      <c r="K38"/>
      <c r="L38" s="13"/>
      <c r="M38" s="13"/>
      <c r="R38" s="153"/>
    </row>
    <row r="39" spans="2:18" ht="24.95" customHeight="1">
      <c r="B39" s="428">
        <v>33</v>
      </c>
      <c r="C39" s="433"/>
      <c r="D39" s="1145" t="s">
        <v>3278</v>
      </c>
      <c r="E39" s="661"/>
      <c r="F39" s="428"/>
      <c r="G39" s="428"/>
      <c r="H39" s="428"/>
      <c r="I39" s="428"/>
      <c r="J39" s="368"/>
      <c r="K39"/>
      <c r="L39" s="13"/>
      <c r="M39" s="13"/>
      <c r="R39" s="153"/>
    </row>
    <row r="40" spans="2:18" ht="24.95" customHeight="1">
      <c r="B40" s="428">
        <v>34</v>
      </c>
      <c r="C40" s="433"/>
      <c r="D40" s="1145" t="s">
        <v>3279</v>
      </c>
      <c r="E40" s="661"/>
      <c r="F40" s="428"/>
      <c r="G40" s="428"/>
      <c r="H40" s="428"/>
      <c r="I40" s="428"/>
      <c r="J40" s="368"/>
      <c r="K40"/>
      <c r="L40" s="13"/>
      <c r="M40" s="13"/>
      <c r="R40" s="153"/>
    </row>
    <row r="41" spans="2:18" ht="24.95" customHeight="1">
      <c r="B41" s="428">
        <v>35</v>
      </c>
      <c r="C41" s="433"/>
      <c r="D41" s="1145" t="s">
        <v>3280</v>
      </c>
      <c r="E41" s="661"/>
      <c r="F41" s="428"/>
      <c r="G41" s="428"/>
      <c r="H41" s="428"/>
      <c r="I41" s="428"/>
      <c r="J41" s="368"/>
      <c r="K41"/>
      <c r="L41" s="13"/>
      <c r="M41" s="13"/>
      <c r="R41" s="153"/>
    </row>
    <row r="42" spans="2:18" ht="24.95" customHeight="1">
      <c r="B42" s="428">
        <v>36</v>
      </c>
      <c r="C42" s="433"/>
      <c r="D42" s="1145" t="s">
        <v>3281</v>
      </c>
      <c r="E42" s="661"/>
      <c r="F42" s="428"/>
      <c r="G42" s="428"/>
      <c r="H42" s="428"/>
      <c r="I42" s="428"/>
      <c r="J42" s="368"/>
      <c r="K42"/>
      <c r="L42" s="13"/>
      <c r="M42" s="13"/>
      <c r="R42" s="153"/>
    </row>
    <row r="43" spans="2:18" ht="24.95" customHeight="1">
      <c r="B43" s="428">
        <v>37</v>
      </c>
      <c r="C43" s="433"/>
      <c r="D43" s="1145" t="s">
        <v>3282</v>
      </c>
      <c r="E43" s="661"/>
      <c r="F43" s="428"/>
      <c r="G43" s="428"/>
      <c r="H43" s="428"/>
      <c r="I43" s="428"/>
      <c r="J43" s="368"/>
      <c r="K43"/>
      <c r="L43" s="13"/>
      <c r="M43" s="13"/>
      <c r="R43" s="153"/>
    </row>
    <row r="44" spans="2:18" ht="24.95" customHeight="1">
      <c r="B44" s="428">
        <v>38</v>
      </c>
      <c r="C44" s="433"/>
      <c r="D44" s="1145" t="s">
        <v>3283</v>
      </c>
      <c r="E44" s="661"/>
      <c r="F44" s="428"/>
      <c r="G44" s="428"/>
      <c r="H44" s="428"/>
      <c r="I44" s="428"/>
      <c r="J44" s="368"/>
      <c r="K44"/>
      <c r="L44" s="13"/>
      <c r="M44" s="13"/>
      <c r="R44" s="153"/>
    </row>
    <row r="45" spans="2:18" ht="24.95" customHeight="1">
      <c r="B45" s="428">
        <v>39</v>
      </c>
      <c r="C45" s="433"/>
      <c r="D45" s="1145" t="s">
        <v>3284</v>
      </c>
      <c r="E45" s="661"/>
      <c r="F45" s="428"/>
      <c r="G45" s="428"/>
      <c r="H45" s="428"/>
      <c r="I45" s="428"/>
      <c r="J45" s="368"/>
      <c r="K45"/>
      <c r="L45" s="13"/>
      <c r="M45" s="13"/>
      <c r="R45" s="153"/>
    </row>
    <row r="46" spans="2:18" ht="24.95" customHeight="1">
      <c r="B46" s="428">
        <v>40</v>
      </c>
      <c r="C46" s="433"/>
      <c r="D46" s="1145" t="s">
        <v>3285</v>
      </c>
      <c r="E46" s="661"/>
      <c r="F46" s="428"/>
      <c r="G46" s="428"/>
      <c r="H46" s="428"/>
      <c r="I46" s="428"/>
      <c r="J46" s="368"/>
      <c r="K46"/>
      <c r="L46" s="13"/>
      <c r="M46" s="13"/>
      <c r="R46" s="153"/>
    </row>
    <row r="47" spans="2:18" ht="24.95" customHeight="1">
      <c r="B47" s="428">
        <v>41</v>
      </c>
      <c r="C47" s="433"/>
      <c r="D47" s="1145" t="s">
        <v>3286</v>
      </c>
      <c r="E47" s="661"/>
      <c r="F47" s="428"/>
      <c r="G47" s="428"/>
      <c r="H47" s="428"/>
      <c r="I47" s="428"/>
      <c r="J47" s="368"/>
      <c r="K47"/>
      <c r="L47" s="13"/>
      <c r="M47" s="13"/>
      <c r="R47" s="153"/>
    </row>
    <row r="48" spans="2:18" ht="24.95" customHeight="1">
      <c r="B48" s="428">
        <v>42</v>
      </c>
      <c r="C48" s="433"/>
      <c r="D48" s="1145" t="s">
        <v>3287</v>
      </c>
      <c r="E48" s="661"/>
      <c r="F48" s="428"/>
      <c r="G48" s="428"/>
      <c r="H48" s="428"/>
      <c r="I48" s="428"/>
      <c r="J48" s="368"/>
      <c r="K48"/>
      <c r="L48" s="13"/>
      <c r="M48" s="13"/>
      <c r="R48" s="153"/>
    </row>
    <row r="49" spans="2:18" ht="24.95" customHeight="1">
      <c r="B49" s="428">
        <v>43</v>
      </c>
      <c r="C49" s="433"/>
      <c r="D49" s="1145" t="s">
        <v>3288</v>
      </c>
      <c r="E49" s="661"/>
      <c r="F49" s="428"/>
      <c r="G49" s="428"/>
      <c r="H49" s="428"/>
      <c r="I49" s="428"/>
      <c r="J49" s="368"/>
      <c r="K49"/>
      <c r="L49" s="13"/>
      <c r="M49" s="13"/>
      <c r="R49" s="153"/>
    </row>
    <row r="50" spans="2:18" ht="24.95" customHeight="1">
      <c r="B50" s="428">
        <v>44</v>
      </c>
      <c r="C50" s="433"/>
      <c r="D50" s="1145" t="s">
        <v>3289</v>
      </c>
      <c r="E50" s="661"/>
      <c r="F50" s="428"/>
      <c r="G50" s="428"/>
      <c r="H50" s="428"/>
      <c r="I50" s="428"/>
      <c r="J50" s="368"/>
      <c r="K50"/>
      <c r="L50" s="13"/>
      <c r="M50" s="13"/>
      <c r="R50" s="153"/>
    </row>
    <row r="51" spans="2:18" ht="24.95" customHeight="1">
      <c r="B51" s="428">
        <v>45</v>
      </c>
      <c r="C51" s="433"/>
      <c r="D51" s="1145" t="s">
        <v>3290</v>
      </c>
      <c r="E51" s="661"/>
      <c r="F51" s="428"/>
      <c r="G51" s="428"/>
      <c r="H51" s="428"/>
      <c r="I51" s="428"/>
      <c r="J51" s="368"/>
      <c r="K51"/>
      <c r="L51" s="13"/>
      <c r="M51" s="13"/>
      <c r="R51" s="153"/>
    </row>
    <row r="52" spans="2:18" ht="24.95" customHeight="1">
      <c r="B52" s="428">
        <v>46</v>
      </c>
      <c r="C52" s="433"/>
      <c r="D52" s="1145" t="s">
        <v>3291</v>
      </c>
      <c r="E52" s="661"/>
      <c r="F52" s="428"/>
      <c r="G52" s="428"/>
      <c r="H52" s="428"/>
      <c r="I52" s="428"/>
      <c r="J52" s="368"/>
      <c r="K52"/>
      <c r="L52" s="13"/>
      <c r="M52" s="13"/>
      <c r="R52" s="153"/>
    </row>
    <row r="53" spans="2:18" ht="24.95" customHeight="1">
      <c r="B53" s="428">
        <v>47</v>
      </c>
      <c r="C53" s="433"/>
      <c r="D53" s="1145" t="s">
        <v>3292</v>
      </c>
      <c r="E53" s="661"/>
      <c r="F53" s="428"/>
      <c r="G53" s="428"/>
      <c r="H53" s="428"/>
      <c r="I53" s="428"/>
      <c r="J53" s="368"/>
      <c r="K53"/>
      <c r="L53" s="13"/>
      <c r="M53" s="13"/>
      <c r="R53" s="153"/>
    </row>
    <row r="54" spans="2:18" ht="24.95" customHeight="1">
      <c r="B54" s="428">
        <v>48</v>
      </c>
      <c r="C54" s="433"/>
      <c r="D54" s="1145" t="s">
        <v>3293</v>
      </c>
      <c r="E54" s="661"/>
      <c r="F54" s="428"/>
      <c r="G54" s="428"/>
      <c r="H54" s="428"/>
      <c r="I54" s="428"/>
      <c r="J54" s="368"/>
      <c r="K54"/>
      <c r="L54" s="13"/>
      <c r="M54" s="13"/>
      <c r="R54" s="153"/>
    </row>
    <row r="55" spans="2:18" ht="24.95" customHeight="1">
      <c r="B55" s="428">
        <v>49</v>
      </c>
      <c r="C55" s="433"/>
      <c r="D55" s="1145" t="s">
        <v>3294</v>
      </c>
      <c r="E55" s="661"/>
      <c r="F55" s="428"/>
      <c r="G55" s="428"/>
      <c r="H55" s="428"/>
      <c r="I55" s="428"/>
      <c r="J55" s="368"/>
      <c r="K55"/>
      <c r="L55" s="13"/>
      <c r="M55" s="13"/>
      <c r="R55" s="153"/>
    </row>
    <row r="56" spans="2:18" ht="24.95" customHeight="1">
      <c r="B56" s="428">
        <v>50</v>
      </c>
      <c r="C56" s="433"/>
      <c r="D56" s="1145" t="s">
        <v>3295</v>
      </c>
      <c r="E56" s="661"/>
      <c r="F56" s="428"/>
      <c r="G56" s="428"/>
      <c r="H56" s="428"/>
      <c r="I56" s="428"/>
      <c r="J56" s="368"/>
      <c r="K56"/>
      <c r="L56" s="13"/>
      <c r="M56" s="13"/>
      <c r="R56" s="153"/>
    </row>
    <row r="57" spans="2:18" ht="24.95" customHeight="1">
      <c r="B57" s="428">
        <v>51</v>
      </c>
      <c r="C57" s="433"/>
      <c r="D57" s="1145" t="s">
        <v>3296</v>
      </c>
      <c r="E57" s="661"/>
      <c r="F57" s="428"/>
      <c r="G57" s="428"/>
      <c r="H57" s="428"/>
      <c r="I57" s="428"/>
      <c r="J57" s="368"/>
      <c r="K57"/>
      <c r="L57" s="13"/>
      <c r="M57" s="13"/>
      <c r="R57" s="153"/>
    </row>
    <row r="58" spans="2:18" ht="24.95" customHeight="1">
      <c r="B58" s="428">
        <v>52</v>
      </c>
      <c r="C58" s="433"/>
      <c r="D58" s="1145" t="s">
        <v>3297</v>
      </c>
      <c r="E58" s="661"/>
      <c r="F58" s="428"/>
      <c r="G58" s="428"/>
      <c r="H58" s="428"/>
      <c r="I58" s="428"/>
      <c r="J58" s="368"/>
      <c r="K58"/>
      <c r="L58" s="13"/>
      <c r="M58" s="13"/>
      <c r="R58" s="153"/>
    </row>
    <row r="59" spans="2:18" ht="24.95" customHeight="1">
      <c r="B59" s="428">
        <v>53</v>
      </c>
      <c r="C59" s="433"/>
      <c r="D59" s="1145" t="s">
        <v>3298</v>
      </c>
      <c r="E59" s="661"/>
      <c r="F59" s="428"/>
      <c r="G59" s="428"/>
      <c r="H59" s="428"/>
      <c r="I59" s="428"/>
      <c r="J59" s="368"/>
      <c r="K59"/>
      <c r="L59" s="13"/>
      <c r="M59" s="13"/>
      <c r="R59" s="153"/>
    </row>
    <row r="60" spans="2:18" ht="24.95" customHeight="1">
      <c r="B60" s="428">
        <v>54</v>
      </c>
      <c r="C60" s="433"/>
      <c r="D60" s="1145" t="s">
        <v>3299</v>
      </c>
      <c r="E60" s="661"/>
      <c r="F60" s="428"/>
      <c r="G60" s="428"/>
      <c r="H60" s="428"/>
      <c r="I60" s="428"/>
      <c r="J60" s="368"/>
      <c r="K60"/>
      <c r="L60" s="13"/>
      <c r="M60" s="13"/>
      <c r="R60" s="153"/>
    </row>
    <row r="61" spans="2:18" ht="24.95" customHeight="1">
      <c r="B61" s="428">
        <v>55</v>
      </c>
      <c r="C61" s="433"/>
      <c r="D61" s="1145" t="s">
        <v>3300</v>
      </c>
      <c r="E61" s="661"/>
      <c r="F61" s="428"/>
      <c r="G61" s="428"/>
      <c r="H61" s="428"/>
      <c r="I61" s="428"/>
      <c r="J61" s="368"/>
      <c r="K61"/>
      <c r="L61" s="13"/>
      <c r="M61" s="13"/>
      <c r="R61" s="153"/>
    </row>
    <row r="62" spans="2:18" ht="24.95" customHeight="1">
      <c r="B62" s="428">
        <v>56</v>
      </c>
      <c r="C62" s="433"/>
      <c r="D62" s="1145" t="s">
        <v>3301</v>
      </c>
      <c r="E62" s="661"/>
      <c r="F62" s="428"/>
      <c r="G62" s="428"/>
      <c r="H62" s="428"/>
      <c r="I62" s="428"/>
      <c r="J62" s="368"/>
      <c r="K62"/>
      <c r="L62" s="13"/>
      <c r="M62" s="13"/>
      <c r="R62" s="153"/>
    </row>
    <row r="63" spans="2:18" ht="24.95" customHeight="1">
      <c r="B63" s="428">
        <v>57</v>
      </c>
      <c r="C63" s="433"/>
      <c r="D63" s="1145" t="s">
        <v>3302</v>
      </c>
      <c r="E63" s="661"/>
      <c r="F63" s="428"/>
      <c r="G63" s="428"/>
      <c r="H63" s="428"/>
      <c r="I63" s="428"/>
      <c r="J63" s="368"/>
      <c r="K63"/>
      <c r="L63" s="13"/>
      <c r="M63" s="13"/>
      <c r="R63" s="153"/>
    </row>
    <row r="64" spans="2:18" ht="24.95" customHeight="1">
      <c r="B64" s="428">
        <v>58</v>
      </c>
      <c r="C64" s="433"/>
      <c r="D64" s="1145" t="s">
        <v>3303</v>
      </c>
      <c r="E64" s="661"/>
      <c r="F64" s="428"/>
      <c r="G64" s="428"/>
      <c r="H64" s="428"/>
      <c r="I64" s="428"/>
      <c r="J64" s="368"/>
      <c r="K64"/>
      <c r="L64" s="13"/>
      <c r="M64" s="13"/>
      <c r="R64" s="153"/>
    </row>
    <row r="65" spans="2:18" ht="24.95" customHeight="1">
      <c r="B65" s="428">
        <v>59</v>
      </c>
      <c r="C65" s="433"/>
      <c r="D65" s="1145" t="s">
        <v>3304</v>
      </c>
      <c r="E65" s="661"/>
      <c r="F65" s="428"/>
      <c r="G65" s="428"/>
      <c r="H65" s="428"/>
      <c r="I65" s="428"/>
      <c r="J65" s="368"/>
      <c r="K65"/>
      <c r="L65" s="13"/>
      <c r="M65" s="13"/>
      <c r="R65" s="153"/>
    </row>
    <row r="66" spans="2:18" ht="24.95" customHeight="1">
      <c r="B66" s="428">
        <v>60</v>
      </c>
      <c r="C66" s="433"/>
      <c r="D66" s="1145" t="s">
        <v>3305</v>
      </c>
      <c r="E66" s="661"/>
      <c r="F66" s="428"/>
      <c r="G66" s="428"/>
      <c r="H66" s="428"/>
      <c r="I66" s="428"/>
      <c r="J66" s="368"/>
      <c r="K66"/>
      <c r="L66" s="13"/>
      <c r="M66" s="13"/>
      <c r="R66" s="153"/>
    </row>
    <row r="67" spans="2:18" ht="24.95" customHeight="1">
      <c r="B67" s="428">
        <v>61</v>
      </c>
      <c r="C67" s="433"/>
      <c r="D67" s="1145" t="s">
        <v>3306</v>
      </c>
      <c r="E67" s="661"/>
      <c r="F67" s="428"/>
      <c r="G67" s="428"/>
      <c r="H67" s="428"/>
      <c r="I67" s="428"/>
      <c r="J67" s="368"/>
      <c r="K67"/>
      <c r="L67" s="13"/>
      <c r="M67" s="13"/>
      <c r="R67" s="153"/>
    </row>
    <row r="68" spans="2:18" ht="24.95" customHeight="1">
      <c r="B68" s="428">
        <v>62</v>
      </c>
      <c r="C68" s="433"/>
      <c r="D68" s="1145" t="s">
        <v>3307</v>
      </c>
      <c r="E68" s="661"/>
      <c r="F68" s="428"/>
      <c r="G68" s="428"/>
      <c r="H68" s="428"/>
      <c r="I68" s="428"/>
      <c r="J68" s="368"/>
      <c r="K68"/>
      <c r="L68" s="13"/>
      <c r="M68" s="13"/>
      <c r="R68" s="153"/>
    </row>
    <row r="69" spans="2:18" ht="24.95" customHeight="1">
      <c r="B69" s="428">
        <v>63</v>
      </c>
      <c r="C69" s="433"/>
      <c r="D69" s="1145" t="s">
        <v>3308</v>
      </c>
      <c r="E69" s="661"/>
      <c r="F69" s="428"/>
      <c r="G69" s="428"/>
      <c r="H69" s="428"/>
      <c r="I69" s="428"/>
      <c r="J69" s="368"/>
      <c r="K69"/>
      <c r="L69" s="13"/>
      <c r="M69" s="13"/>
      <c r="R69" s="153"/>
    </row>
    <row r="70" spans="2:18" ht="24.95" customHeight="1">
      <c r="B70" s="428">
        <v>64</v>
      </c>
      <c r="C70" s="433"/>
      <c r="D70" s="1145" t="s">
        <v>3309</v>
      </c>
      <c r="E70" s="661"/>
      <c r="F70" s="428"/>
      <c r="G70" s="428"/>
      <c r="H70" s="428"/>
      <c r="I70" s="428"/>
      <c r="J70" s="368"/>
      <c r="K70"/>
      <c r="L70" s="13"/>
      <c r="M70" s="13"/>
      <c r="R70" s="153"/>
    </row>
    <row r="71" spans="2:18" ht="24.95" customHeight="1">
      <c r="B71" s="428">
        <v>65</v>
      </c>
      <c r="C71" s="433"/>
      <c r="D71" s="1145" t="s">
        <v>3310</v>
      </c>
      <c r="E71" s="661"/>
      <c r="F71" s="428"/>
      <c r="G71" s="428"/>
      <c r="H71" s="428"/>
      <c r="I71" s="428"/>
      <c r="J71" s="368"/>
      <c r="K71"/>
      <c r="L71" s="13"/>
      <c r="M71" s="13"/>
      <c r="R71" s="153"/>
    </row>
    <row r="72" spans="2:18" ht="24.95" customHeight="1">
      <c r="B72" s="428">
        <v>66</v>
      </c>
      <c r="C72" s="433"/>
      <c r="D72" s="1145" t="s">
        <v>3311</v>
      </c>
      <c r="E72" s="661"/>
      <c r="F72" s="428"/>
      <c r="G72" s="428"/>
      <c r="H72" s="428"/>
      <c r="I72" s="428"/>
      <c r="J72" s="368"/>
      <c r="K72"/>
      <c r="L72" s="13"/>
      <c r="M72" s="13"/>
      <c r="R72" s="153"/>
    </row>
    <row r="73" spans="2:18" ht="24.95" customHeight="1">
      <c r="B73" s="428">
        <v>67</v>
      </c>
      <c r="C73" s="433"/>
      <c r="D73" s="1145" t="s">
        <v>3312</v>
      </c>
      <c r="E73" s="661"/>
      <c r="F73" s="428"/>
      <c r="G73" s="428"/>
      <c r="H73" s="428"/>
      <c r="I73" s="428"/>
      <c r="J73" s="368"/>
      <c r="K73"/>
      <c r="L73" s="13"/>
      <c r="M73" s="13"/>
      <c r="R73" s="153"/>
    </row>
    <row r="74" spans="2:18" ht="24.95" customHeight="1">
      <c r="B74" s="428">
        <v>68</v>
      </c>
      <c r="C74" s="433"/>
      <c r="D74" s="1145" t="s">
        <v>3313</v>
      </c>
      <c r="E74" s="661"/>
      <c r="F74" s="428"/>
      <c r="G74" s="428"/>
      <c r="H74" s="428"/>
      <c r="I74" s="428"/>
      <c r="J74" s="368"/>
      <c r="K74"/>
      <c r="L74" s="13"/>
      <c r="M74" s="13"/>
      <c r="R74" s="153"/>
    </row>
    <row r="75" spans="2:18" ht="24.95" customHeight="1">
      <c r="B75" s="428">
        <v>69</v>
      </c>
      <c r="C75" s="433"/>
      <c r="D75" s="1145" t="s">
        <v>3314</v>
      </c>
      <c r="E75" s="661"/>
      <c r="F75" s="428"/>
      <c r="G75" s="428"/>
      <c r="H75" s="428"/>
      <c r="I75" s="428"/>
      <c r="J75" s="368"/>
      <c r="K75"/>
      <c r="L75" s="13"/>
      <c r="M75" s="13"/>
      <c r="R75" s="153"/>
    </row>
    <row r="76" spans="2:18" ht="24.95" customHeight="1">
      <c r="B76" s="428">
        <v>70</v>
      </c>
      <c r="C76" s="433"/>
      <c r="D76" s="1145" t="s">
        <v>3315</v>
      </c>
      <c r="E76" s="661"/>
      <c r="F76" s="428"/>
      <c r="G76" s="428"/>
      <c r="H76" s="428"/>
      <c r="I76" s="428"/>
      <c r="J76" s="368"/>
      <c r="K76"/>
      <c r="L76" s="13"/>
      <c r="M76" s="13"/>
      <c r="R76" s="153"/>
    </row>
    <row r="77" spans="2:18" ht="24.95" customHeight="1">
      <c r="B77" s="428">
        <v>71</v>
      </c>
      <c r="C77" s="433"/>
      <c r="D77" s="1145" t="s">
        <v>3316</v>
      </c>
      <c r="E77" s="661"/>
      <c r="F77" s="428"/>
      <c r="G77" s="428"/>
      <c r="H77" s="428"/>
      <c r="I77" s="428"/>
      <c r="J77" s="368"/>
      <c r="K77"/>
      <c r="L77" s="13"/>
      <c r="M77" s="13"/>
      <c r="R77" s="153"/>
    </row>
    <row r="78" spans="2:18" ht="24.95" customHeight="1">
      <c r="B78" s="428">
        <v>72</v>
      </c>
      <c r="C78" s="433"/>
      <c r="D78" s="1145" t="s">
        <v>3317</v>
      </c>
      <c r="E78" s="661"/>
      <c r="F78" s="428"/>
      <c r="G78" s="428"/>
      <c r="H78" s="428"/>
      <c r="I78" s="428"/>
      <c r="J78" s="368"/>
      <c r="K78"/>
      <c r="L78" s="13"/>
      <c r="M78" s="13"/>
      <c r="R78" s="153"/>
    </row>
    <row r="79" spans="2:18" ht="24.95" customHeight="1">
      <c r="B79" s="428">
        <v>73</v>
      </c>
      <c r="C79" s="433"/>
      <c r="D79" s="1145" t="s">
        <v>3318</v>
      </c>
      <c r="E79" s="661"/>
      <c r="F79" s="428"/>
      <c r="G79" s="428"/>
      <c r="H79" s="428"/>
      <c r="I79" s="428"/>
      <c r="J79" s="368"/>
      <c r="K79"/>
      <c r="L79" s="13"/>
      <c r="M79" s="13"/>
      <c r="R79" s="153"/>
    </row>
    <row r="80" spans="2:18" ht="24.95" customHeight="1">
      <c r="B80" s="428">
        <v>74</v>
      </c>
      <c r="C80" s="433"/>
      <c r="D80" s="1145" t="s">
        <v>3319</v>
      </c>
      <c r="E80" s="661"/>
      <c r="F80" s="428"/>
      <c r="G80" s="428"/>
      <c r="H80" s="428"/>
      <c r="I80" s="428"/>
      <c r="J80" s="368"/>
      <c r="K80"/>
      <c r="L80" s="13"/>
      <c r="M80" s="13"/>
      <c r="R80" s="153"/>
    </row>
    <row r="81" spans="2:18" ht="24.95" customHeight="1">
      <c r="B81" s="428">
        <v>75</v>
      </c>
      <c r="C81" s="433"/>
      <c r="D81" s="1145" t="s">
        <v>3320</v>
      </c>
      <c r="E81" s="661"/>
      <c r="F81" s="428"/>
      <c r="G81" s="428"/>
      <c r="H81" s="428"/>
      <c r="I81" s="428"/>
      <c r="J81" s="368"/>
      <c r="K81"/>
      <c r="L81" s="13"/>
      <c r="M81" s="13"/>
      <c r="R81" s="153"/>
    </row>
    <row r="82" spans="2:18" ht="24.95" customHeight="1">
      <c r="B82" s="428">
        <v>76</v>
      </c>
      <c r="C82" s="433"/>
      <c r="D82" s="1145" t="s">
        <v>3321</v>
      </c>
      <c r="E82" s="661"/>
      <c r="F82" s="428"/>
      <c r="G82" s="428"/>
      <c r="H82" s="428"/>
      <c r="I82" s="428"/>
      <c r="J82" s="368"/>
      <c r="K82"/>
      <c r="L82" s="13"/>
      <c r="M82" s="13"/>
      <c r="R82" s="153"/>
    </row>
    <row r="83" spans="2:18" ht="24.95" customHeight="1">
      <c r="B83" s="428">
        <v>77</v>
      </c>
      <c r="C83" s="433"/>
      <c r="D83" s="1145" t="s">
        <v>3322</v>
      </c>
      <c r="E83" s="661"/>
      <c r="F83" s="428"/>
      <c r="G83" s="428"/>
      <c r="H83" s="428"/>
      <c r="I83" s="428"/>
      <c r="J83" s="368"/>
      <c r="K83"/>
      <c r="L83" s="13"/>
      <c r="M83" s="13"/>
      <c r="R83" s="153"/>
    </row>
    <row r="84" spans="2:18" ht="24.95" customHeight="1">
      <c r="B84" s="428">
        <v>78</v>
      </c>
      <c r="C84" s="433"/>
      <c r="D84" s="1145" t="s">
        <v>3323</v>
      </c>
      <c r="E84" s="661"/>
      <c r="F84" s="428"/>
      <c r="G84" s="428"/>
      <c r="H84" s="428"/>
      <c r="I84" s="428"/>
      <c r="J84" s="368"/>
      <c r="K84"/>
      <c r="L84" s="13"/>
      <c r="M84" s="13"/>
      <c r="R84" s="153"/>
    </row>
    <row r="85" spans="2:18" ht="24.95" customHeight="1">
      <c r="B85" s="428">
        <v>79</v>
      </c>
      <c r="C85" s="433"/>
      <c r="D85" s="1145" t="s">
        <v>3324</v>
      </c>
      <c r="E85" s="661"/>
      <c r="F85" s="428"/>
      <c r="G85" s="428"/>
      <c r="H85" s="428"/>
      <c r="I85" s="428"/>
      <c r="J85" s="368"/>
      <c r="K85"/>
      <c r="L85" s="13"/>
      <c r="M85" s="13"/>
      <c r="R85" s="153"/>
    </row>
    <row r="86" spans="2:18" ht="24.95" customHeight="1">
      <c r="B86" s="428">
        <v>80</v>
      </c>
      <c r="C86" s="433"/>
      <c r="D86" s="1145" t="s">
        <v>3325</v>
      </c>
      <c r="E86" s="661"/>
      <c r="F86" s="428"/>
      <c r="G86" s="428"/>
      <c r="H86" s="428"/>
      <c r="I86" s="428"/>
      <c r="J86" s="368"/>
      <c r="K86"/>
      <c r="L86" s="13"/>
      <c r="M86" s="13"/>
      <c r="R86" s="153"/>
    </row>
    <row r="87" spans="2:18" ht="24.95" customHeight="1">
      <c r="B87" s="428">
        <v>81</v>
      </c>
      <c r="C87" s="433"/>
      <c r="D87" s="1145" t="s">
        <v>3326</v>
      </c>
      <c r="E87" s="661"/>
      <c r="F87" s="428"/>
      <c r="G87" s="428"/>
      <c r="H87" s="428"/>
      <c r="I87" s="428"/>
      <c r="J87" s="368"/>
      <c r="K87"/>
      <c r="L87" s="13"/>
      <c r="M87" s="13"/>
      <c r="R87" s="153"/>
    </row>
    <row r="88" spans="2:18" ht="24.95" customHeight="1">
      <c r="B88" s="428">
        <v>82</v>
      </c>
      <c r="C88" s="433"/>
      <c r="D88" s="1145" t="s">
        <v>3327</v>
      </c>
      <c r="E88" s="661"/>
      <c r="F88" s="428"/>
      <c r="G88" s="428"/>
      <c r="H88" s="428"/>
      <c r="I88" s="428"/>
      <c r="J88" s="368"/>
      <c r="K88"/>
      <c r="L88" s="13"/>
      <c r="M88" s="13"/>
      <c r="R88" s="153"/>
    </row>
    <row r="89" spans="2:18" ht="24.95" customHeight="1">
      <c r="B89" s="428">
        <v>83</v>
      </c>
      <c r="C89" s="433"/>
      <c r="D89" s="1145" t="s">
        <v>3328</v>
      </c>
      <c r="E89" s="661"/>
      <c r="F89" s="428"/>
      <c r="G89" s="428"/>
      <c r="H89" s="428"/>
      <c r="I89" s="428"/>
      <c r="J89" s="368"/>
      <c r="K89"/>
      <c r="L89" s="13"/>
      <c r="M89" s="13"/>
      <c r="R89" s="153"/>
    </row>
    <row r="90" spans="2:18" ht="24.95" customHeight="1">
      <c r="B90" s="428">
        <v>84</v>
      </c>
      <c r="C90" s="433"/>
      <c r="D90" s="1145" t="s">
        <v>3329</v>
      </c>
      <c r="E90" s="661"/>
      <c r="F90" s="428"/>
      <c r="G90" s="428"/>
      <c r="H90" s="428"/>
      <c r="I90" s="428"/>
      <c r="J90" s="368"/>
      <c r="K90"/>
      <c r="L90" s="13"/>
      <c r="M90" s="13"/>
      <c r="R90" s="153"/>
    </row>
    <row r="91" spans="2:18" ht="24.95" customHeight="1">
      <c r="B91" s="428">
        <v>85</v>
      </c>
      <c r="C91" s="433"/>
      <c r="D91" s="1145" t="s">
        <v>3330</v>
      </c>
      <c r="E91" s="661"/>
      <c r="F91" s="428"/>
      <c r="G91" s="428"/>
      <c r="H91" s="428"/>
      <c r="I91" s="428"/>
      <c r="J91" s="368"/>
      <c r="K91"/>
      <c r="L91" s="13"/>
      <c r="M91" s="13"/>
      <c r="R91" s="153"/>
    </row>
    <row r="92" spans="2:18" ht="24.95" customHeight="1">
      <c r="B92" s="428">
        <v>86</v>
      </c>
      <c r="C92" s="433"/>
      <c r="D92" s="1145" t="s">
        <v>3331</v>
      </c>
      <c r="E92" s="661"/>
      <c r="F92" s="428"/>
      <c r="G92" s="428"/>
      <c r="H92" s="428"/>
      <c r="I92" s="428"/>
      <c r="J92" s="368"/>
      <c r="K92"/>
      <c r="L92" s="13"/>
      <c r="M92" s="13"/>
      <c r="R92" s="153"/>
    </row>
    <row r="93" spans="2:18" ht="24.95" customHeight="1">
      <c r="B93" s="428">
        <v>87</v>
      </c>
      <c r="C93" s="433"/>
      <c r="D93" s="1145" t="s">
        <v>3332</v>
      </c>
      <c r="E93" s="661"/>
      <c r="F93" s="428"/>
      <c r="G93" s="428"/>
      <c r="H93" s="428"/>
      <c r="I93" s="428"/>
      <c r="J93" s="368"/>
      <c r="K93"/>
      <c r="L93" s="13"/>
      <c r="M93" s="13"/>
      <c r="R93" s="153"/>
    </row>
    <row r="94" spans="2:18" ht="24.95" customHeight="1">
      <c r="B94" s="428">
        <v>88</v>
      </c>
      <c r="C94" s="433"/>
      <c r="D94" s="1145" t="s">
        <v>3333</v>
      </c>
      <c r="E94" s="661"/>
      <c r="F94" s="428"/>
      <c r="G94" s="428"/>
      <c r="H94" s="428"/>
      <c r="I94" s="428"/>
      <c r="J94" s="368"/>
      <c r="K94"/>
      <c r="L94" s="13"/>
      <c r="M94" s="13"/>
      <c r="R94" s="153"/>
    </row>
    <row r="95" spans="2:18" ht="24.95" customHeight="1">
      <c r="B95" s="428">
        <v>89</v>
      </c>
      <c r="C95" s="433"/>
      <c r="D95" s="1145" t="s">
        <v>3334</v>
      </c>
      <c r="E95" s="661"/>
      <c r="F95" s="428"/>
      <c r="G95" s="428"/>
      <c r="H95" s="428"/>
      <c r="I95" s="428"/>
      <c r="J95" s="368"/>
      <c r="K95"/>
      <c r="L95" s="13"/>
      <c r="M95" s="13"/>
      <c r="R95" s="153"/>
    </row>
    <row r="96" spans="2:18" ht="24.95" customHeight="1">
      <c r="B96" s="428">
        <v>90</v>
      </c>
      <c r="C96" s="433"/>
      <c r="D96" s="1145" t="s">
        <v>3335</v>
      </c>
      <c r="E96" s="661"/>
      <c r="F96" s="428"/>
      <c r="G96" s="428"/>
      <c r="H96" s="428"/>
      <c r="I96" s="428"/>
      <c r="J96" s="368"/>
      <c r="K96"/>
      <c r="L96" s="13"/>
      <c r="M96" s="13"/>
      <c r="R96" s="153"/>
    </row>
    <row r="97" spans="2:18" ht="24.95" customHeight="1">
      <c r="B97" s="428">
        <v>91</v>
      </c>
      <c r="C97" s="433"/>
      <c r="D97" s="1145" t="s">
        <v>3336</v>
      </c>
      <c r="E97" s="661"/>
      <c r="F97" s="428"/>
      <c r="G97" s="428"/>
      <c r="H97" s="428"/>
      <c r="I97" s="428"/>
      <c r="J97" s="368"/>
      <c r="K97"/>
      <c r="L97" s="13"/>
      <c r="M97" s="13"/>
      <c r="R97" s="153"/>
    </row>
    <row r="98" spans="2:18" ht="24.95" customHeight="1">
      <c r="B98" s="428">
        <v>92</v>
      </c>
      <c r="C98" s="433"/>
      <c r="D98" s="1145" t="s">
        <v>3337</v>
      </c>
      <c r="E98" s="661"/>
      <c r="F98" s="428"/>
      <c r="G98" s="428"/>
      <c r="H98" s="428"/>
      <c r="I98" s="428"/>
      <c r="J98" s="368"/>
      <c r="K98"/>
      <c r="L98" s="13"/>
      <c r="M98" s="13"/>
      <c r="R98" s="153"/>
    </row>
    <row r="99" spans="2:18" ht="24.95" customHeight="1">
      <c r="B99" s="428">
        <v>93</v>
      </c>
      <c r="C99" s="433"/>
      <c r="D99" s="1145" t="s">
        <v>3338</v>
      </c>
      <c r="E99" s="661"/>
      <c r="F99" s="428"/>
      <c r="G99" s="428"/>
      <c r="H99" s="428"/>
      <c r="I99" s="428"/>
      <c r="J99" s="368"/>
      <c r="K99"/>
      <c r="L99" s="13"/>
      <c r="M99" s="13"/>
      <c r="R99" s="153"/>
    </row>
    <row r="100" spans="2:18" ht="24.95" customHeight="1">
      <c r="B100" s="428">
        <v>94</v>
      </c>
      <c r="C100" s="433"/>
      <c r="D100" s="1145" t="s">
        <v>3339</v>
      </c>
      <c r="E100" s="661"/>
      <c r="F100" s="428"/>
      <c r="G100" s="428"/>
      <c r="H100" s="428"/>
      <c r="I100" s="428"/>
      <c r="J100" s="368"/>
      <c r="K100"/>
      <c r="L100" s="13"/>
      <c r="M100" s="13"/>
      <c r="R100" s="153"/>
    </row>
    <row r="101" spans="2:18" ht="24.95" customHeight="1">
      <c r="B101" s="428">
        <v>95</v>
      </c>
      <c r="C101" s="433"/>
      <c r="D101" s="1145" t="s">
        <v>3340</v>
      </c>
      <c r="E101" s="661"/>
      <c r="F101" s="428"/>
      <c r="G101" s="428"/>
      <c r="H101" s="428"/>
      <c r="I101" s="428"/>
      <c r="J101" s="368"/>
      <c r="K101"/>
      <c r="L101" s="13"/>
      <c r="M101" s="13"/>
      <c r="R101" s="153"/>
    </row>
    <row r="102" spans="2:18" ht="24.95" customHeight="1">
      <c r="B102" s="428">
        <v>96</v>
      </c>
      <c r="C102" s="433"/>
      <c r="D102" s="1145" t="s">
        <v>3341</v>
      </c>
      <c r="E102" s="661"/>
      <c r="F102" s="428"/>
      <c r="G102" s="428"/>
      <c r="H102" s="428"/>
      <c r="I102" s="428"/>
      <c r="J102" s="368"/>
      <c r="K102"/>
      <c r="L102" s="13"/>
      <c r="M102" s="13"/>
      <c r="R102" s="153"/>
    </row>
    <row r="103" spans="2:18" ht="24.95" customHeight="1">
      <c r="B103" s="428">
        <v>97</v>
      </c>
      <c r="C103" s="433"/>
      <c r="D103" s="1145" t="s">
        <v>3342</v>
      </c>
      <c r="E103" s="661"/>
      <c r="F103" s="428"/>
      <c r="G103" s="428"/>
      <c r="H103" s="428"/>
      <c r="I103" s="428"/>
      <c r="J103" s="368"/>
      <c r="K103"/>
      <c r="L103" s="13"/>
      <c r="M103" s="13"/>
      <c r="R103" s="153"/>
    </row>
    <row r="104" spans="2:18" ht="24.95" customHeight="1">
      <c r="B104" s="428">
        <v>98</v>
      </c>
      <c r="C104" s="433"/>
      <c r="D104" s="1145" t="s">
        <v>3343</v>
      </c>
      <c r="E104" s="661"/>
      <c r="F104" s="428"/>
      <c r="G104" s="428"/>
      <c r="H104" s="428"/>
      <c r="I104" s="428"/>
      <c r="J104" s="368"/>
      <c r="K104"/>
      <c r="L104" s="13"/>
      <c r="M104" s="13"/>
      <c r="R104" s="153"/>
    </row>
    <row r="105" spans="2:18" ht="24.95" customHeight="1">
      <c r="B105" s="428">
        <v>99</v>
      </c>
      <c r="C105" s="433"/>
      <c r="D105" s="1145" t="s">
        <v>3344</v>
      </c>
      <c r="E105" s="661"/>
      <c r="F105" s="428"/>
      <c r="G105" s="428"/>
      <c r="H105" s="428"/>
      <c r="I105" s="428"/>
      <c r="J105" s="368"/>
      <c r="K105"/>
      <c r="L105" s="13"/>
      <c r="M105" s="13"/>
      <c r="R105" s="153"/>
    </row>
    <row r="106" spans="2:18" ht="24.95" customHeight="1">
      <c r="B106" s="428">
        <v>100</v>
      </c>
      <c r="C106" s="433"/>
      <c r="D106" s="1145" t="s">
        <v>3345</v>
      </c>
      <c r="E106" s="661"/>
      <c r="F106" s="428"/>
      <c r="G106" s="428"/>
      <c r="H106" s="428"/>
      <c r="I106" s="428"/>
      <c r="J106" s="368"/>
      <c r="K106"/>
      <c r="L106" s="13"/>
      <c r="M106" s="13"/>
      <c r="R106" s="153"/>
    </row>
    <row r="107" spans="2:18" ht="24.95" customHeight="1">
      <c r="B107" s="428">
        <v>101</v>
      </c>
      <c r="C107" s="433"/>
      <c r="D107" s="1145" t="s">
        <v>3346</v>
      </c>
      <c r="E107" s="661"/>
      <c r="F107" s="428"/>
      <c r="G107" s="428"/>
      <c r="H107" s="428"/>
      <c r="I107" s="428"/>
      <c r="J107" s="368"/>
      <c r="K107"/>
      <c r="L107" s="13"/>
      <c r="M107" s="13"/>
      <c r="R107" s="153"/>
    </row>
    <row r="108" spans="2:18" ht="24.95" customHeight="1">
      <c r="B108" s="428">
        <v>102</v>
      </c>
      <c r="C108" s="433"/>
      <c r="D108" s="1145" t="s">
        <v>3347</v>
      </c>
      <c r="E108" s="661"/>
      <c r="F108" s="428"/>
      <c r="G108" s="428"/>
      <c r="H108" s="428"/>
      <c r="I108" s="428"/>
      <c r="J108" s="368"/>
      <c r="K108"/>
      <c r="L108" s="13"/>
      <c r="M108" s="13"/>
      <c r="R108" s="153"/>
    </row>
    <row r="109" spans="2:18" ht="24.95" customHeight="1">
      <c r="B109" s="428">
        <v>103</v>
      </c>
      <c r="C109" s="433"/>
      <c r="D109" s="1145" t="s">
        <v>3348</v>
      </c>
      <c r="E109" s="661"/>
      <c r="F109" s="428"/>
      <c r="G109" s="428"/>
      <c r="H109" s="428"/>
      <c r="I109" s="428"/>
      <c r="J109" s="368"/>
      <c r="K109"/>
      <c r="L109" s="13"/>
      <c r="M109" s="13"/>
      <c r="R109" s="153"/>
    </row>
    <row r="110" spans="2:18" ht="24.95" customHeight="1">
      <c r="B110" s="428">
        <v>104</v>
      </c>
      <c r="C110" s="433"/>
      <c r="D110" s="1145" t="s">
        <v>3349</v>
      </c>
      <c r="E110" s="661"/>
      <c r="F110" s="428"/>
      <c r="G110" s="428"/>
      <c r="H110" s="428"/>
      <c r="I110" s="428"/>
      <c r="J110" s="368"/>
      <c r="K110"/>
      <c r="L110" s="13"/>
      <c r="M110" s="13"/>
      <c r="R110" s="153"/>
    </row>
    <row r="111" spans="2:18" ht="24.95" customHeight="1">
      <c r="B111" s="428">
        <v>105</v>
      </c>
      <c r="C111" s="433"/>
      <c r="D111" s="1145" t="s">
        <v>3350</v>
      </c>
      <c r="E111" s="661"/>
      <c r="F111" s="428"/>
      <c r="G111" s="428"/>
      <c r="H111" s="428"/>
      <c r="I111" s="428"/>
      <c r="J111" s="368"/>
      <c r="K111"/>
      <c r="L111" s="13"/>
      <c r="M111" s="13"/>
      <c r="R111" s="153"/>
    </row>
    <row r="112" spans="2:18" ht="24.95" customHeight="1">
      <c r="B112" s="428">
        <v>106</v>
      </c>
      <c r="C112" s="433"/>
      <c r="D112" s="1145" t="s">
        <v>3351</v>
      </c>
      <c r="E112" s="661"/>
      <c r="F112" s="428"/>
      <c r="G112" s="428"/>
      <c r="H112" s="428"/>
      <c r="I112" s="428"/>
      <c r="J112" s="368"/>
      <c r="K112"/>
      <c r="L112" s="13"/>
      <c r="M112" s="13"/>
      <c r="R112" s="153"/>
    </row>
    <row r="113" spans="2:18" ht="24.95" customHeight="1">
      <c r="B113" s="428">
        <v>107</v>
      </c>
      <c r="C113" s="433"/>
      <c r="D113" s="1145" t="s">
        <v>3352</v>
      </c>
      <c r="E113" s="661"/>
      <c r="F113" s="428"/>
      <c r="G113" s="428"/>
      <c r="H113" s="428"/>
      <c r="I113" s="428"/>
      <c r="J113" s="368"/>
      <c r="K113"/>
      <c r="L113" s="13"/>
      <c r="M113" s="13"/>
      <c r="R113" s="153"/>
    </row>
    <row r="114" spans="2:18" ht="24.95" customHeight="1">
      <c r="B114" s="428">
        <v>108</v>
      </c>
      <c r="C114" s="433"/>
      <c r="D114" s="1145" t="s">
        <v>3353</v>
      </c>
      <c r="E114" s="661"/>
      <c r="F114" s="428"/>
      <c r="G114" s="428"/>
      <c r="H114" s="428"/>
      <c r="I114" s="428"/>
      <c r="J114" s="368"/>
      <c r="K114"/>
      <c r="L114" s="13"/>
      <c r="M114" s="13"/>
      <c r="R114" s="153"/>
    </row>
    <row r="115" spans="2:18" ht="24.95" customHeight="1">
      <c r="B115" s="428">
        <v>109</v>
      </c>
      <c r="C115" s="433"/>
      <c r="D115" s="1145" t="s">
        <v>3354</v>
      </c>
      <c r="E115" s="661"/>
      <c r="F115" s="428"/>
      <c r="G115" s="428"/>
      <c r="H115" s="428"/>
      <c r="I115" s="428"/>
      <c r="J115" s="368"/>
      <c r="K115"/>
      <c r="L115" s="13"/>
      <c r="M115" s="13"/>
      <c r="R115" s="153"/>
    </row>
    <row r="116" spans="2:18" ht="24.95" customHeight="1">
      <c r="B116" s="428">
        <v>110</v>
      </c>
      <c r="C116" s="433"/>
      <c r="D116" s="1145" t="s">
        <v>3355</v>
      </c>
      <c r="E116" s="661"/>
      <c r="F116" s="428"/>
      <c r="G116" s="428"/>
      <c r="H116" s="428"/>
      <c r="I116" s="428"/>
      <c r="J116" s="368"/>
      <c r="K116"/>
      <c r="L116" s="13"/>
      <c r="M116" s="13"/>
      <c r="R116" s="153"/>
    </row>
    <row r="117" spans="2:18" ht="24.95" customHeight="1">
      <c r="B117" s="428">
        <v>111</v>
      </c>
      <c r="C117" s="433"/>
      <c r="D117" s="1145" t="s">
        <v>3356</v>
      </c>
      <c r="E117" s="661"/>
      <c r="F117" s="428"/>
      <c r="G117" s="428"/>
      <c r="H117" s="428"/>
      <c r="I117" s="428"/>
      <c r="J117" s="368"/>
      <c r="K117"/>
      <c r="L117" s="13"/>
      <c r="M117" s="13"/>
      <c r="R117" s="153"/>
    </row>
    <row r="118" spans="2:18" ht="24.95" customHeight="1">
      <c r="B118" s="428">
        <v>112</v>
      </c>
      <c r="C118" s="433"/>
      <c r="D118" s="1145" t="s">
        <v>3357</v>
      </c>
      <c r="E118" s="661"/>
      <c r="F118" s="428"/>
      <c r="G118" s="428"/>
      <c r="H118" s="428"/>
      <c r="I118" s="428"/>
      <c r="J118" s="368"/>
      <c r="K118"/>
      <c r="L118" s="13"/>
      <c r="M118" s="13"/>
      <c r="R118" s="153"/>
    </row>
    <row r="119" spans="2:18" ht="24.95" customHeight="1">
      <c r="B119" s="428">
        <v>113</v>
      </c>
      <c r="C119" s="433"/>
      <c r="D119" s="1145" t="s">
        <v>3358</v>
      </c>
      <c r="E119" s="661"/>
      <c r="F119" s="428"/>
      <c r="G119" s="428"/>
      <c r="H119" s="428"/>
      <c r="I119" s="428"/>
      <c r="J119" s="368"/>
      <c r="K119"/>
      <c r="L119" s="13"/>
      <c r="M119" s="13"/>
      <c r="R119" s="153"/>
    </row>
    <row r="120" spans="2:18" ht="24.95" customHeight="1">
      <c r="B120" s="428">
        <v>114</v>
      </c>
      <c r="C120" s="433"/>
      <c r="D120" s="1145" t="s">
        <v>3359</v>
      </c>
      <c r="E120" s="661"/>
      <c r="F120" s="428"/>
      <c r="G120" s="428"/>
      <c r="H120" s="428"/>
      <c r="I120" s="428"/>
      <c r="J120" s="368"/>
      <c r="K120"/>
      <c r="L120" s="13"/>
      <c r="M120" s="13"/>
      <c r="R120" s="153"/>
    </row>
    <row r="121" spans="2:18" ht="24.95" customHeight="1">
      <c r="B121" s="428">
        <v>115</v>
      </c>
      <c r="C121" s="433"/>
      <c r="D121" s="1145" t="s">
        <v>3360</v>
      </c>
      <c r="E121" s="661"/>
      <c r="F121" s="428"/>
      <c r="G121" s="428"/>
      <c r="H121" s="428"/>
      <c r="I121" s="428"/>
      <c r="J121" s="368"/>
      <c r="K121"/>
      <c r="L121" s="13"/>
      <c r="M121" s="13"/>
      <c r="R121" s="153"/>
    </row>
    <row r="122" spans="2:18" ht="24.95" customHeight="1">
      <c r="B122" s="428">
        <v>116</v>
      </c>
      <c r="C122" s="433"/>
      <c r="D122" s="1145" t="s">
        <v>3361</v>
      </c>
      <c r="E122" s="661"/>
      <c r="F122" s="428"/>
      <c r="G122" s="428"/>
      <c r="H122" s="428"/>
      <c r="I122" s="428"/>
      <c r="J122" s="368"/>
      <c r="K122"/>
      <c r="L122" s="13"/>
      <c r="M122" s="13"/>
      <c r="R122" s="153"/>
    </row>
    <row r="123" spans="2:18" ht="24.95" customHeight="1">
      <c r="B123" s="428">
        <v>117</v>
      </c>
      <c r="C123" s="433"/>
      <c r="D123" s="1145" t="s">
        <v>3362</v>
      </c>
      <c r="E123" s="661"/>
      <c r="F123" s="428"/>
      <c r="G123" s="428"/>
      <c r="H123" s="428"/>
      <c r="I123" s="428"/>
      <c r="J123" s="368"/>
      <c r="K123"/>
      <c r="L123" s="13"/>
      <c r="M123" s="13"/>
      <c r="R123" s="153"/>
    </row>
    <row r="124" spans="2:18" ht="24.95" customHeight="1">
      <c r="B124" s="428">
        <v>118</v>
      </c>
      <c r="C124" s="433"/>
      <c r="D124" s="1145" t="s">
        <v>3363</v>
      </c>
      <c r="E124" s="661"/>
      <c r="F124" s="428"/>
      <c r="G124" s="428"/>
      <c r="H124" s="428"/>
      <c r="I124" s="428"/>
      <c r="J124" s="368"/>
      <c r="K124"/>
      <c r="L124" s="13"/>
      <c r="M124" s="13"/>
      <c r="R124" s="153"/>
    </row>
    <row r="125" spans="2:18" ht="24.95" customHeight="1">
      <c r="B125" s="428">
        <v>119</v>
      </c>
      <c r="C125" s="433"/>
      <c r="D125" s="1145" t="s">
        <v>3364</v>
      </c>
      <c r="E125" s="661"/>
      <c r="F125" s="428"/>
      <c r="G125" s="428"/>
      <c r="H125" s="428"/>
      <c r="I125" s="428"/>
      <c r="J125" s="368"/>
      <c r="K125"/>
      <c r="L125" s="13"/>
      <c r="M125" s="13"/>
      <c r="R125" s="153"/>
    </row>
    <row r="126" spans="2:18" ht="24.95" customHeight="1">
      <c r="B126" s="428">
        <v>120</v>
      </c>
      <c r="C126" s="433"/>
      <c r="D126" s="1145" t="s">
        <v>3365</v>
      </c>
      <c r="E126" s="661"/>
      <c r="F126" s="428"/>
      <c r="G126" s="428"/>
      <c r="H126" s="428"/>
      <c r="I126" s="428"/>
      <c r="J126" s="368"/>
      <c r="K126"/>
      <c r="L126" s="13"/>
      <c r="M126" s="13"/>
      <c r="R126" s="153"/>
    </row>
    <row r="127" spans="2:18" ht="24.95" customHeight="1">
      <c r="B127" s="428">
        <v>121</v>
      </c>
      <c r="C127" s="433"/>
      <c r="D127" s="1145" t="s">
        <v>3366</v>
      </c>
      <c r="E127" s="661"/>
      <c r="F127" s="428"/>
      <c r="G127" s="428"/>
      <c r="H127" s="428"/>
      <c r="I127" s="428"/>
      <c r="J127" s="368"/>
      <c r="K127"/>
      <c r="L127" s="13"/>
      <c r="M127" s="13"/>
      <c r="R127" s="153"/>
    </row>
    <row r="128" spans="2:18" ht="24.95" customHeight="1">
      <c r="B128" s="428">
        <v>122</v>
      </c>
      <c r="C128" s="433"/>
      <c r="D128" s="1145" t="s">
        <v>3367</v>
      </c>
      <c r="E128" s="661"/>
      <c r="F128" s="428"/>
      <c r="G128" s="428"/>
      <c r="H128" s="428"/>
      <c r="I128" s="428"/>
      <c r="J128" s="368"/>
      <c r="K128"/>
      <c r="L128" s="13"/>
      <c r="M128" s="13"/>
      <c r="R128" s="153"/>
    </row>
    <row r="129" spans="2:18" ht="24.95" customHeight="1">
      <c r="B129" s="428">
        <v>123</v>
      </c>
      <c r="C129" s="433"/>
      <c r="D129" s="1145" t="s">
        <v>3368</v>
      </c>
      <c r="E129" s="661"/>
      <c r="F129" s="428"/>
      <c r="G129" s="428"/>
      <c r="H129" s="428"/>
      <c r="I129" s="428"/>
      <c r="J129" s="368"/>
      <c r="K129"/>
      <c r="L129" s="13"/>
      <c r="M129" s="13"/>
      <c r="R129" s="153"/>
    </row>
    <row r="130" spans="2:18" ht="24.95" customHeight="1">
      <c r="B130" s="428">
        <v>124</v>
      </c>
      <c r="C130" s="433"/>
      <c r="D130" s="1145" t="s">
        <v>3369</v>
      </c>
      <c r="E130" s="661"/>
      <c r="F130" s="428"/>
      <c r="G130" s="428"/>
      <c r="H130" s="428"/>
      <c r="I130" s="428"/>
      <c r="J130" s="368"/>
      <c r="K130"/>
      <c r="L130" s="13"/>
      <c r="M130" s="13"/>
      <c r="R130" s="153"/>
    </row>
    <row r="131" spans="2:18" ht="24.95" customHeight="1">
      <c r="B131" s="428">
        <v>125</v>
      </c>
      <c r="C131" s="433"/>
      <c r="D131" s="1145" t="s">
        <v>3370</v>
      </c>
      <c r="E131" s="661"/>
      <c r="F131" s="428"/>
      <c r="G131" s="428"/>
      <c r="H131" s="428"/>
      <c r="I131" s="428"/>
      <c r="J131" s="368"/>
      <c r="K131"/>
      <c r="L131" s="13"/>
      <c r="M131" s="13"/>
      <c r="R131" s="153"/>
    </row>
    <row r="132" spans="2:18" ht="24.95" customHeight="1">
      <c r="B132" s="428">
        <v>126</v>
      </c>
      <c r="C132" s="433"/>
      <c r="D132" s="1145" t="s">
        <v>3371</v>
      </c>
      <c r="E132" s="661"/>
      <c r="F132" s="428"/>
      <c r="G132" s="428"/>
      <c r="H132" s="428"/>
      <c r="I132" s="428"/>
      <c r="J132" s="368"/>
      <c r="K132"/>
      <c r="L132" s="13"/>
      <c r="M132" s="13"/>
      <c r="R132" s="153"/>
    </row>
    <row r="133" spans="2:18" ht="24.95" customHeight="1">
      <c r="B133" s="428">
        <v>127</v>
      </c>
      <c r="C133" s="433"/>
      <c r="D133" s="1145" t="s">
        <v>3372</v>
      </c>
      <c r="E133" s="661"/>
      <c r="F133" s="428"/>
      <c r="G133" s="428"/>
      <c r="H133" s="428"/>
      <c r="I133" s="428"/>
      <c r="J133" s="368"/>
      <c r="K133"/>
      <c r="L133" s="13"/>
      <c r="M133" s="13"/>
      <c r="R133" s="153"/>
    </row>
    <row r="134" spans="2:18" ht="24.95" customHeight="1">
      <c r="B134" s="428">
        <v>128</v>
      </c>
      <c r="C134" s="433"/>
      <c r="D134" s="1145" t="s">
        <v>3373</v>
      </c>
      <c r="E134" s="661"/>
      <c r="F134" s="428"/>
      <c r="G134" s="428"/>
      <c r="H134" s="428"/>
      <c r="I134" s="428"/>
      <c r="J134" s="368"/>
      <c r="K134"/>
      <c r="L134" s="13"/>
      <c r="M134" s="13"/>
      <c r="R134" s="153"/>
    </row>
    <row r="135" spans="2:18" ht="24.95" customHeight="1">
      <c r="B135" s="428">
        <v>129</v>
      </c>
      <c r="C135" s="433"/>
      <c r="D135" s="1145" t="s">
        <v>3374</v>
      </c>
      <c r="E135" s="661"/>
      <c r="F135" s="428"/>
      <c r="G135" s="428"/>
      <c r="H135" s="428"/>
      <c r="I135" s="428"/>
      <c r="J135" s="368"/>
      <c r="K135"/>
      <c r="L135" s="13"/>
      <c r="M135" s="13"/>
      <c r="R135" s="153"/>
    </row>
    <row r="136" spans="2:18" ht="24.95" customHeight="1">
      <c r="B136" s="428">
        <v>130</v>
      </c>
      <c r="C136" s="433"/>
      <c r="D136" s="1145" t="s">
        <v>3375</v>
      </c>
      <c r="E136" s="661"/>
      <c r="F136" s="428"/>
      <c r="G136" s="428"/>
      <c r="H136" s="428"/>
      <c r="I136" s="428"/>
      <c r="J136" s="368"/>
      <c r="K136"/>
      <c r="L136" s="13"/>
      <c r="M136" s="13"/>
      <c r="R136" s="153"/>
    </row>
    <row r="137" spans="2:18" ht="24.95" customHeight="1">
      <c r="B137" s="428">
        <v>131</v>
      </c>
      <c r="C137" s="433"/>
      <c r="D137" s="1145" t="s">
        <v>3376</v>
      </c>
      <c r="E137" s="661"/>
      <c r="F137" s="428"/>
      <c r="G137" s="428"/>
      <c r="H137" s="428"/>
      <c r="I137" s="428"/>
      <c r="J137" s="368"/>
      <c r="K137"/>
      <c r="L137" s="13"/>
      <c r="M137" s="13"/>
      <c r="R137" s="153"/>
    </row>
    <row r="138" spans="2:18" ht="24.95" customHeight="1">
      <c r="B138" s="428">
        <v>132</v>
      </c>
      <c r="C138" s="433"/>
      <c r="D138" s="1145" t="s">
        <v>3377</v>
      </c>
      <c r="E138" s="661"/>
      <c r="F138" s="428"/>
      <c r="G138" s="428"/>
      <c r="H138" s="428"/>
      <c r="I138" s="428"/>
      <c r="J138" s="368"/>
      <c r="K138"/>
      <c r="L138" s="13"/>
      <c r="M138" s="13"/>
      <c r="R138" s="153"/>
    </row>
    <row r="139" spans="2:18" ht="24.95" customHeight="1">
      <c r="B139" s="428">
        <v>133</v>
      </c>
      <c r="C139" s="433"/>
      <c r="D139" s="1145" t="s">
        <v>3378</v>
      </c>
      <c r="E139" s="661"/>
      <c r="F139" s="428"/>
      <c r="G139" s="428"/>
      <c r="H139" s="428"/>
      <c r="I139" s="428"/>
      <c r="J139" s="368"/>
      <c r="K139"/>
      <c r="L139" s="13"/>
      <c r="M139" s="13"/>
      <c r="R139" s="153"/>
    </row>
    <row r="140" spans="2:18" ht="24.95" customHeight="1">
      <c r="B140" s="428">
        <v>134</v>
      </c>
      <c r="C140" s="433"/>
      <c r="D140" s="1145" t="s">
        <v>3379</v>
      </c>
      <c r="E140" s="661"/>
      <c r="F140" s="428"/>
      <c r="G140" s="428"/>
      <c r="H140" s="428"/>
      <c r="I140" s="428"/>
      <c r="J140" s="368"/>
      <c r="K140"/>
      <c r="L140" s="13"/>
      <c r="M140" s="13"/>
      <c r="R140" s="153"/>
    </row>
    <row r="141" spans="2:18" ht="24.95" customHeight="1">
      <c r="B141" s="428">
        <v>135</v>
      </c>
      <c r="C141" s="433"/>
      <c r="D141" s="1145" t="s">
        <v>3380</v>
      </c>
      <c r="E141" s="661"/>
      <c r="F141" s="428"/>
      <c r="G141" s="428"/>
      <c r="H141" s="428"/>
      <c r="I141" s="428"/>
      <c r="J141" s="368"/>
      <c r="K141"/>
      <c r="L141" s="13"/>
      <c r="M141" s="13"/>
      <c r="R141" s="153"/>
    </row>
    <row r="142" spans="2:18" ht="24.95" customHeight="1">
      <c r="B142" s="428">
        <v>136</v>
      </c>
      <c r="C142" s="433"/>
      <c r="D142" s="1145" t="s">
        <v>3381</v>
      </c>
      <c r="E142" s="661"/>
      <c r="F142" s="428"/>
      <c r="G142" s="428"/>
      <c r="H142" s="428"/>
      <c r="I142" s="428"/>
      <c r="J142" s="368"/>
      <c r="K142"/>
      <c r="L142" s="13"/>
      <c r="M142" s="13"/>
      <c r="R142" s="153"/>
    </row>
    <row r="143" spans="2:18" ht="24.95" customHeight="1">
      <c r="B143" s="428">
        <v>137</v>
      </c>
      <c r="C143" s="433"/>
      <c r="D143" s="1145" t="s">
        <v>3382</v>
      </c>
      <c r="E143" s="661"/>
      <c r="F143" s="428"/>
      <c r="G143" s="428"/>
      <c r="H143" s="428"/>
      <c r="I143" s="428"/>
      <c r="J143" s="368"/>
      <c r="K143"/>
      <c r="L143" s="13"/>
      <c r="M143" s="13"/>
      <c r="R143" s="153"/>
    </row>
    <row r="144" spans="2:18" ht="24.95" customHeight="1">
      <c r="B144" s="428">
        <v>138</v>
      </c>
      <c r="C144" s="433"/>
      <c r="D144" s="1145" t="s">
        <v>3383</v>
      </c>
      <c r="E144" s="661"/>
      <c r="F144" s="428"/>
      <c r="G144" s="428"/>
      <c r="H144" s="428"/>
      <c r="I144" s="428"/>
      <c r="J144" s="368"/>
      <c r="K144"/>
      <c r="L144" s="13"/>
      <c r="M144" s="13"/>
      <c r="R144" s="153"/>
    </row>
    <row r="145" spans="2:18" ht="24.95" customHeight="1">
      <c r="B145" s="428">
        <v>139</v>
      </c>
      <c r="C145" s="433"/>
      <c r="D145" s="1145" t="s">
        <v>3384</v>
      </c>
      <c r="E145" s="661"/>
      <c r="F145" s="428"/>
      <c r="G145" s="428"/>
      <c r="H145" s="428"/>
      <c r="I145" s="428"/>
      <c r="J145" s="368"/>
      <c r="K145"/>
      <c r="L145" s="13"/>
      <c r="M145" s="13"/>
      <c r="R145" s="153"/>
    </row>
    <row r="146" spans="2:18" ht="24.95" customHeight="1">
      <c r="B146" s="428">
        <v>140</v>
      </c>
      <c r="C146" s="433"/>
      <c r="D146" s="1145" t="s">
        <v>3385</v>
      </c>
      <c r="E146" s="661"/>
      <c r="F146" s="428"/>
      <c r="G146" s="428"/>
      <c r="H146" s="428"/>
      <c r="I146" s="428"/>
      <c r="J146" s="368"/>
      <c r="K146"/>
      <c r="L146" s="13"/>
      <c r="M146" s="13"/>
      <c r="R146" s="153"/>
    </row>
    <row r="147" spans="2:18" ht="24.95" customHeight="1">
      <c r="B147" s="428">
        <v>141</v>
      </c>
      <c r="C147" s="433"/>
      <c r="D147" s="1145" t="s">
        <v>3386</v>
      </c>
      <c r="E147" s="661"/>
      <c r="F147" s="428"/>
      <c r="G147" s="428"/>
      <c r="H147" s="428"/>
      <c r="I147" s="428"/>
      <c r="J147" s="368"/>
      <c r="K147"/>
      <c r="L147" s="13"/>
      <c r="M147" s="13"/>
      <c r="R147" s="153"/>
    </row>
    <row r="148" spans="2:18" ht="24.95" customHeight="1">
      <c r="B148" s="428">
        <v>142</v>
      </c>
      <c r="C148" s="433"/>
      <c r="D148" s="1145" t="s">
        <v>3387</v>
      </c>
      <c r="E148" s="661"/>
      <c r="F148" s="428"/>
      <c r="G148" s="428"/>
      <c r="H148" s="428"/>
      <c r="I148" s="428"/>
      <c r="J148" s="368"/>
      <c r="K148"/>
      <c r="L148" s="13"/>
      <c r="M148" s="13"/>
      <c r="R148" s="153"/>
    </row>
    <row r="149" spans="2:18" ht="24.95" customHeight="1">
      <c r="B149" s="428">
        <v>143</v>
      </c>
      <c r="C149" s="433"/>
      <c r="D149" s="1145" t="s">
        <v>3388</v>
      </c>
      <c r="E149" s="661"/>
      <c r="F149" s="428"/>
      <c r="G149" s="428"/>
      <c r="H149" s="428"/>
      <c r="I149" s="428"/>
      <c r="J149" s="368"/>
      <c r="K149"/>
      <c r="L149" s="13"/>
      <c r="M149" s="13"/>
      <c r="R149" s="153"/>
    </row>
    <row r="150" spans="2:18" ht="24.95" customHeight="1">
      <c r="B150" s="428">
        <v>144</v>
      </c>
      <c r="C150" s="433"/>
      <c r="D150" s="1145" t="s">
        <v>3389</v>
      </c>
      <c r="E150" s="661"/>
      <c r="F150" s="428"/>
      <c r="G150" s="428"/>
      <c r="H150" s="428"/>
      <c r="I150" s="428"/>
      <c r="J150" s="368"/>
      <c r="K150"/>
      <c r="L150" s="13"/>
      <c r="M150" s="13"/>
      <c r="R150" s="153"/>
    </row>
    <row r="151" spans="2:18" ht="24.95" customHeight="1">
      <c r="B151" s="428">
        <v>145</v>
      </c>
      <c r="C151" s="433"/>
      <c r="D151" s="1145" t="s">
        <v>3390</v>
      </c>
      <c r="E151" s="661"/>
      <c r="F151" s="428"/>
      <c r="G151" s="428"/>
      <c r="H151" s="428"/>
      <c r="I151" s="428"/>
      <c r="J151" s="368"/>
      <c r="K151"/>
      <c r="L151" s="13"/>
      <c r="M151" s="13"/>
      <c r="R151" s="153"/>
    </row>
    <row r="152" spans="2:18" ht="24.95" customHeight="1">
      <c r="B152" s="428">
        <v>146</v>
      </c>
      <c r="C152" s="433"/>
      <c r="D152" s="1145" t="s">
        <v>3391</v>
      </c>
      <c r="E152" s="661"/>
      <c r="F152" s="428"/>
      <c r="G152" s="428"/>
      <c r="H152" s="428"/>
      <c r="I152" s="428"/>
      <c r="J152" s="368"/>
      <c r="K152"/>
      <c r="L152" s="13"/>
      <c r="M152" s="13"/>
      <c r="R152" s="153"/>
    </row>
    <row r="153" spans="2:18" ht="24.95" customHeight="1">
      <c r="B153" s="428">
        <v>147</v>
      </c>
      <c r="C153" s="433"/>
      <c r="D153" s="1145" t="s">
        <v>3392</v>
      </c>
      <c r="E153" s="661"/>
      <c r="F153" s="428"/>
      <c r="G153" s="428"/>
      <c r="H153" s="428"/>
      <c r="I153" s="428"/>
      <c r="J153" s="368"/>
      <c r="K153"/>
      <c r="L153" s="13"/>
      <c r="M153" s="13"/>
      <c r="R153" s="153"/>
    </row>
    <row r="154" spans="2:18" ht="24.95" customHeight="1">
      <c r="B154" s="428">
        <v>148</v>
      </c>
      <c r="C154" s="433"/>
      <c r="D154" s="1145" t="s">
        <v>3393</v>
      </c>
      <c r="E154" s="661"/>
      <c r="F154" s="428"/>
      <c r="G154" s="428"/>
      <c r="H154" s="428"/>
      <c r="I154" s="428"/>
      <c r="J154" s="368"/>
      <c r="K154"/>
      <c r="L154" s="13"/>
      <c r="M154" s="13"/>
      <c r="R154" s="153"/>
    </row>
    <row r="155" spans="2:18" ht="24.95" customHeight="1">
      <c r="B155" s="428">
        <v>149</v>
      </c>
      <c r="C155" s="433"/>
      <c r="D155" s="1145" t="s">
        <v>3394</v>
      </c>
      <c r="E155" s="661"/>
      <c r="F155" s="428"/>
      <c r="G155" s="428"/>
      <c r="H155" s="428"/>
      <c r="I155" s="428"/>
      <c r="J155" s="368"/>
      <c r="K155"/>
      <c r="L155" s="13"/>
      <c r="M155" s="13"/>
      <c r="R155" s="153"/>
    </row>
    <row r="156" spans="2:18" ht="24.95" customHeight="1">
      <c r="B156" s="428">
        <v>150</v>
      </c>
      <c r="C156" s="433"/>
      <c r="D156" s="1145" t="s">
        <v>3395</v>
      </c>
      <c r="E156" s="661"/>
      <c r="F156" s="428"/>
      <c r="G156" s="428"/>
      <c r="H156" s="428"/>
      <c r="I156" s="428"/>
      <c r="J156" s="368"/>
      <c r="K156"/>
      <c r="L156" s="13"/>
      <c r="M156" s="13"/>
      <c r="R156" s="153"/>
    </row>
    <row r="157" spans="2:18" ht="24.95" customHeight="1">
      <c r="B157" s="428">
        <v>151</v>
      </c>
      <c r="C157" s="433"/>
      <c r="D157" s="1145" t="s">
        <v>3396</v>
      </c>
      <c r="E157" s="661"/>
      <c r="F157" s="428"/>
      <c r="G157" s="428"/>
      <c r="H157" s="428"/>
      <c r="I157" s="428"/>
      <c r="J157" s="368"/>
      <c r="K157"/>
      <c r="L157" s="13"/>
      <c r="M157" s="13"/>
      <c r="R157" s="153"/>
    </row>
    <row r="158" spans="2:18" ht="24.95" customHeight="1">
      <c r="B158" s="428">
        <v>152</v>
      </c>
      <c r="C158" s="433"/>
      <c r="D158" s="1145" t="s">
        <v>3397</v>
      </c>
      <c r="E158" s="661"/>
      <c r="F158" s="428"/>
      <c r="G158" s="428"/>
      <c r="H158" s="428"/>
      <c r="I158" s="428"/>
      <c r="J158" s="368"/>
      <c r="K158"/>
      <c r="L158" s="13"/>
      <c r="M158" s="13"/>
      <c r="R158" s="153"/>
    </row>
    <row r="159" spans="2:18" ht="24.95" customHeight="1">
      <c r="B159" s="428">
        <v>153</v>
      </c>
      <c r="C159" s="433"/>
      <c r="D159" s="1145" t="s">
        <v>3398</v>
      </c>
      <c r="E159" s="661"/>
      <c r="F159" s="428"/>
      <c r="G159" s="428"/>
      <c r="H159" s="428"/>
      <c r="I159" s="428"/>
      <c r="J159" s="368"/>
      <c r="K159"/>
      <c r="L159" s="13"/>
      <c r="M159" s="13"/>
      <c r="R159" s="153"/>
    </row>
    <row r="160" spans="2:18" ht="24.95" customHeight="1">
      <c r="B160" s="428">
        <v>154</v>
      </c>
      <c r="C160" s="433"/>
      <c r="D160" s="1145" t="s">
        <v>3399</v>
      </c>
      <c r="E160" s="661"/>
      <c r="F160" s="428"/>
      <c r="G160" s="428"/>
      <c r="H160" s="428"/>
      <c r="I160" s="428"/>
      <c r="J160" s="368"/>
      <c r="K160"/>
      <c r="L160" s="13"/>
      <c r="M160" s="13"/>
      <c r="R160" s="153"/>
    </row>
    <row r="161" spans="2:18" ht="24.95" customHeight="1">
      <c r="B161" s="428">
        <v>155</v>
      </c>
      <c r="C161" s="433"/>
      <c r="D161" s="1145" t="s">
        <v>3400</v>
      </c>
      <c r="E161" s="661"/>
      <c r="F161" s="428"/>
      <c r="G161" s="428"/>
      <c r="H161" s="428"/>
      <c r="I161" s="428"/>
      <c r="J161" s="368"/>
      <c r="K161"/>
      <c r="L161" s="13"/>
      <c r="M161" s="13"/>
      <c r="R161" s="153"/>
    </row>
    <row r="162" spans="2:18" ht="24.95" customHeight="1">
      <c r="B162" s="428">
        <v>156</v>
      </c>
      <c r="C162" s="433"/>
      <c r="D162" s="1145" t="s">
        <v>3401</v>
      </c>
      <c r="E162" s="661"/>
      <c r="F162" s="428"/>
      <c r="G162" s="428"/>
      <c r="H162" s="428"/>
      <c r="I162" s="428"/>
      <c r="J162" s="368"/>
      <c r="K162"/>
      <c r="L162" s="13"/>
      <c r="M162" s="13"/>
      <c r="R162" s="153"/>
    </row>
    <row r="163" spans="2:18" ht="24.95" customHeight="1">
      <c r="B163" s="428">
        <v>157</v>
      </c>
      <c r="C163" s="433"/>
      <c r="D163" s="1145" t="s">
        <v>3402</v>
      </c>
      <c r="E163" s="661"/>
      <c r="F163" s="428"/>
      <c r="G163" s="428"/>
      <c r="H163" s="428"/>
      <c r="I163" s="428"/>
      <c r="J163" s="368"/>
      <c r="K163"/>
      <c r="L163" s="13"/>
      <c r="M163" s="13"/>
      <c r="R163" s="153"/>
    </row>
    <row r="164" spans="2:18" ht="24.95" customHeight="1">
      <c r="B164" s="428">
        <v>158</v>
      </c>
      <c r="C164" s="433"/>
      <c r="D164" s="1145" t="s">
        <v>3403</v>
      </c>
      <c r="E164" s="661"/>
      <c r="F164" s="428"/>
      <c r="G164" s="428"/>
      <c r="H164" s="428"/>
      <c r="I164" s="428"/>
      <c r="J164" s="368"/>
      <c r="K164"/>
      <c r="L164" s="13"/>
      <c r="M164" s="13"/>
      <c r="R164" s="153"/>
    </row>
    <row r="165" spans="2:18" ht="24.95" customHeight="1">
      <c r="B165" s="428">
        <v>159</v>
      </c>
      <c r="C165" s="433"/>
      <c r="D165" s="1145" t="s">
        <v>3404</v>
      </c>
      <c r="E165" s="661"/>
      <c r="F165" s="428"/>
      <c r="G165" s="428"/>
      <c r="H165" s="428"/>
      <c r="I165" s="428"/>
      <c r="J165" s="368"/>
      <c r="K165"/>
      <c r="L165" s="13"/>
      <c r="M165" s="13"/>
      <c r="R165" s="153"/>
    </row>
    <row r="166" spans="2:18" ht="24.95" customHeight="1">
      <c r="B166" s="428">
        <v>160</v>
      </c>
      <c r="C166" s="433"/>
      <c r="D166" s="1145" t="s">
        <v>3405</v>
      </c>
      <c r="E166" s="661"/>
      <c r="F166" s="428"/>
      <c r="G166" s="428"/>
      <c r="H166" s="428"/>
      <c r="I166" s="428"/>
      <c r="J166" s="368"/>
      <c r="K166"/>
      <c r="L166" s="13"/>
      <c r="M166" s="13"/>
      <c r="R166" s="153"/>
    </row>
    <row r="167" spans="2:18" ht="24.95" customHeight="1">
      <c r="B167" s="428">
        <v>161</v>
      </c>
      <c r="C167" s="433"/>
      <c r="D167" s="1145" t="s">
        <v>3406</v>
      </c>
      <c r="E167" s="661"/>
      <c r="F167" s="428"/>
      <c r="G167" s="428"/>
      <c r="H167" s="428"/>
      <c r="I167" s="428"/>
      <c r="J167" s="368"/>
      <c r="K167"/>
      <c r="L167" s="13"/>
      <c r="M167" s="13"/>
      <c r="R167" s="153"/>
    </row>
    <row r="168" spans="2:18" ht="24.95" customHeight="1">
      <c r="B168" s="428">
        <v>162</v>
      </c>
      <c r="C168" s="433"/>
      <c r="D168" s="1145" t="s">
        <v>3407</v>
      </c>
      <c r="E168" s="661"/>
      <c r="F168" s="428"/>
      <c r="G168" s="428"/>
      <c r="H168" s="428"/>
      <c r="I168" s="428"/>
      <c r="J168" s="368"/>
      <c r="K168"/>
      <c r="L168" s="13"/>
      <c r="M168" s="13"/>
      <c r="R168" s="153"/>
    </row>
    <row r="169" spans="2:18" ht="24.95" customHeight="1">
      <c r="B169" s="428">
        <v>163</v>
      </c>
      <c r="C169" s="433"/>
      <c r="D169" s="1145" t="s">
        <v>3408</v>
      </c>
      <c r="E169" s="661"/>
      <c r="F169" s="428"/>
      <c r="G169" s="428"/>
      <c r="H169" s="428"/>
      <c r="I169" s="428"/>
      <c r="J169" s="368"/>
      <c r="K169"/>
      <c r="L169" s="13"/>
      <c r="M169" s="13"/>
      <c r="R169" s="153"/>
    </row>
    <row r="170" spans="2:18" ht="24.95" customHeight="1">
      <c r="B170" s="428">
        <v>164</v>
      </c>
      <c r="C170" s="433"/>
      <c r="D170" s="1145" t="s">
        <v>3409</v>
      </c>
      <c r="E170" s="661"/>
      <c r="F170" s="428"/>
      <c r="G170" s="428"/>
      <c r="H170" s="428"/>
      <c r="I170" s="428"/>
      <c r="J170" s="368"/>
      <c r="K170"/>
      <c r="L170" s="13"/>
      <c r="M170" s="13"/>
      <c r="R170" s="153"/>
    </row>
    <row r="171" spans="2:18" ht="24.95" customHeight="1">
      <c r="B171" s="428">
        <v>165</v>
      </c>
      <c r="C171" s="433"/>
      <c r="D171" s="1145" t="s">
        <v>3410</v>
      </c>
      <c r="E171" s="661"/>
      <c r="F171" s="428"/>
      <c r="G171" s="428"/>
      <c r="H171" s="428"/>
      <c r="I171" s="428"/>
      <c r="J171" s="368"/>
      <c r="K171"/>
      <c r="L171" s="13"/>
      <c r="M171" s="13"/>
      <c r="R171" s="153"/>
    </row>
    <row r="172" spans="2:18" ht="24.95" customHeight="1">
      <c r="B172" s="428">
        <v>166</v>
      </c>
      <c r="C172" s="433"/>
      <c r="D172" s="1145" t="s">
        <v>3411</v>
      </c>
      <c r="E172" s="661"/>
      <c r="F172" s="428"/>
      <c r="G172" s="428"/>
      <c r="H172" s="428"/>
      <c r="I172" s="428"/>
      <c r="J172" s="368"/>
      <c r="K172"/>
      <c r="L172" s="13"/>
      <c r="M172" s="13"/>
      <c r="R172" s="153"/>
    </row>
    <row r="173" spans="2:18" ht="24.95" customHeight="1">
      <c r="B173" s="428">
        <v>167</v>
      </c>
      <c r="C173" s="433"/>
      <c r="D173" s="1145" t="s">
        <v>3412</v>
      </c>
      <c r="E173" s="661"/>
      <c r="F173" s="428"/>
      <c r="G173" s="428"/>
      <c r="H173" s="428"/>
      <c r="I173" s="428"/>
      <c r="J173" s="368"/>
      <c r="K173"/>
      <c r="L173" s="13"/>
      <c r="M173" s="13"/>
      <c r="R173" s="153"/>
    </row>
    <row r="174" spans="2:18" ht="24.95" customHeight="1">
      <c r="B174" s="428">
        <v>168</v>
      </c>
      <c r="C174" s="433"/>
      <c r="D174" s="1145" t="s">
        <v>3413</v>
      </c>
      <c r="E174" s="661"/>
      <c r="F174" s="428"/>
      <c r="G174" s="428"/>
      <c r="H174" s="428"/>
      <c r="I174" s="428"/>
      <c r="J174" s="368"/>
      <c r="K174"/>
      <c r="L174" s="13"/>
      <c r="M174" s="13"/>
      <c r="R174" s="153"/>
    </row>
    <row r="175" spans="2:18" ht="24.95" customHeight="1">
      <c r="B175" s="428">
        <v>169</v>
      </c>
      <c r="C175" s="433"/>
      <c r="D175" s="1145" t="s">
        <v>3414</v>
      </c>
      <c r="E175" s="661"/>
      <c r="F175" s="428"/>
      <c r="G175" s="428"/>
      <c r="H175" s="428"/>
      <c r="I175" s="428"/>
      <c r="J175" s="368"/>
      <c r="K175"/>
      <c r="L175" s="13"/>
      <c r="M175" s="13"/>
      <c r="R175" s="153"/>
    </row>
    <row r="176" spans="2:18" ht="24.95" customHeight="1">
      <c r="B176" s="428">
        <v>170</v>
      </c>
      <c r="C176" s="433"/>
      <c r="D176" s="1145" t="s">
        <v>3415</v>
      </c>
      <c r="E176" s="661"/>
      <c r="F176" s="428"/>
      <c r="G176" s="428"/>
      <c r="H176" s="428"/>
      <c r="I176" s="428"/>
      <c r="J176" s="368"/>
      <c r="K176"/>
      <c r="L176" s="13"/>
      <c r="M176" s="13"/>
      <c r="R176" s="153"/>
    </row>
    <row r="177" spans="2:18" ht="24.95" customHeight="1">
      <c r="B177" s="428">
        <v>171</v>
      </c>
      <c r="C177" s="433"/>
      <c r="D177" s="1145" t="s">
        <v>3416</v>
      </c>
      <c r="E177" s="661"/>
      <c r="F177" s="428"/>
      <c r="G177" s="428"/>
      <c r="H177" s="428"/>
      <c r="I177" s="428"/>
      <c r="J177" s="368"/>
      <c r="K177"/>
      <c r="L177" s="13"/>
      <c r="M177" s="13"/>
      <c r="R177" s="153"/>
    </row>
    <row r="178" spans="2:18" ht="24.95" customHeight="1">
      <c r="B178" s="428">
        <v>172</v>
      </c>
      <c r="C178" s="433"/>
      <c r="D178" s="1145" t="s">
        <v>3417</v>
      </c>
      <c r="E178" s="661"/>
      <c r="F178" s="428"/>
      <c r="G178" s="428"/>
      <c r="H178" s="428"/>
      <c r="I178" s="428"/>
      <c r="J178" s="368"/>
      <c r="K178"/>
      <c r="L178" s="13"/>
      <c r="M178" s="13"/>
      <c r="R178" s="153"/>
    </row>
    <row r="179" spans="2:18" ht="24.95" customHeight="1">
      <c r="B179" s="428">
        <v>173</v>
      </c>
      <c r="C179" s="433"/>
      <c r="D179" s="1145" t="s">
        <v>3418</v>
      </c>
      <c r="E179" s="661"/>
      <c r="F179" s="428"/>
      <c r="G179" s="428"/>
      <c r="H179" s="428"/>
      <c r="I179" s="428"/>
      <c r="J179" s="368"/>
      <c r="K179"/>
      <c r="L179" s="13"/>
      <c r="M179" s="13"/>
      <c r="R179" s="153"/>
    </row>
    <row r="180" spans="2:18" ht="24.95" customHeight="1">
      <c r="B180" s="428">
        <v>174</v>
      </c>
      <c r="C180" s="433"/>
      <c r="D180" s="1145" t="s">
        <v>3419</v>
      </c>
      <c r="E180" s="661"/>
      <c r="F180" s="428"/>
      <c r="G180" s="428"/>
      <c r="H180" s="428"/>
      <c r="I180" s="428"/>
      <c r="J180" s="368"/>
      <c r="K180"/>
      <c r="L180" s="13"/>
      <c r="M180" s="13"/>
      <c r="R180" s="153"/>
    </row>
    <row r="181" spans="2:18" ht="24.95" customHeight="1">
      <c r="B181" s="428">
        <v>175</v>
      </c>
      <c r="C181" s="433"/>
      <c r="D181" s="1145" t="s">
        <v>3420</v>
      </c>
      <c r="E181" s="661"/>
      <c r="F181" s="428"/>
      <c r="G181" s="428"/>
      <c r="H181" s="428"/>
      <c r="I181" s="428"/>
      <c r="J181" s="368"/>
      <c r="K181"/>
      <c r="L181" s="13"/>
      <c r="M181" s="13"/>
      <c r="R181" s="153"/>
    </row>
    <row r="182" spans="2:18" ht="24.95" customHeight="1">
      <c r="B182" s="428">
        <v>176</v>
      </c>
      <c r="C182" s="433"/>
      <c r="D182" s="1145" t="s">
        <v>3421</v>
      </c>
      <c r="E182" s="661"/>
      <c r="F182" s="428"/>
      <c r="G182" s="428"/>
      <c r="H182" s="428"/>
      <c r="I182" s="428"/>
      <c r="J182" s="368"/>
      <c r="K182"/>
      <c r="L182" s="13"/>
      <c r="M182" s="13"/>
      <c r="R182" s="153"/>
    </row>
    <row r="183" spans="2:18" ht="24.95" customHeight="1">
      <c r="B183" s="428">
        <v>177</v>
      </c>
      <c r="C183" s="433"/>
      <c r="D183" s="1145" t="s">
        <v>3422</v>
      </c>
      <c r="E183" s="661"/>
      <c r="F183" s="428"/>
      <c r="G183" s="428"/>
      <c r="H183" s="428"/>
      <c r="I183" s="428"/>
      <c r="J183" s="368"/>
      <c r="K183"/>
      <c r="L183" s="13"/>
      <c r="M183" s="13"/>
      <c r="R183" s="153"/>
    </row>
    <row r="184" spans="2:18" ht="24.95" customHeight="1">
      <c r="B184" s="428">
        <v>178</v>
      </c>
      <c r="C184" s="433"/>
      <c r="D184" s="1145" t="s">
        <v>3423</v>
      </c>
      <c r="E184" s="661"/>
      <c r="F184" s="428"/>
      <c r="G184" s="428"/>
      <c r="H184" s="428"/>
      <c r="I184" s="428"/>
      <c r="J184" s="368"/>
      <c r="K184"/>
      <c r="L184" s="13"/>
      <c r="M184" s="13"/>
      <c r="R184" s="153"/>
    </row>
    <row r="185" spans="2:18" ht="24.95" customHeight="1">
      <c r="B185" s="428">
        <v>179</v>
      </c>
      <c r="C185" s="433"/>
      <c r="D185" s="1145" t="s">
        <v>3424</v>
      </c>
      <c r="E185" s="661"/>
      <c r="F185" s="428"/>
      <c r="G185" s="428"/>
      <c r="H185" s="428"/>
      <c r="I185" s="428"/>
      <c r="J185" s="368"/>
      <c r="K185"/>
      <c r="L185" s="13"/>
      <c r="M185" s="13"/>
      <c r="R185" s="153"/>
    </row>
    <row r="186" spans="2:18" ht="24.95" customHeight="1">
      <c r="B186" s="428">
        <v>180</v>
      </c>
      <c r="C186" s="433"/>
      <c r="D186" s="1145" t="s">
        <v>3425</v>
      </c>
      <c r="E186" s="661"/>
      <c r="F186" s="428"/>
      <c r="G186" s="428"/>
      <c r="H186" s="428"/>
      <c r="I186" s="428"/>
      <c r="J186" s="368"/>
      <c r="K186"/>
      <c r="L186" s="13"/>
      <c r="M186" s="13"/>
      <c r="R186" s="153"/>
    </row>
    <row r="187" spans="2:18" ht="24.95" customHeight="1">
      <c r="B187" s="428">
        <v>181</v>
      </c>
      <c r="C187" s="433"/>
      <c r="D187" s="1145" t="s">
        <v>3426</v>
      </c>
      <c r="E187" s="661"/>
      <c r="F187" s="428"/>
      <c r="G187" s="428"/>
      <c r="H187" s="428"/>
      <c r="I187" s="428"/>
      <c r="J187" s="368"/>
      <c r="K187"/>
      <c r="L187" s="13"/>
      <c r="M187" s="13"/>
      <c r="R187" s="153"/>
    </row>
    <row r="188" spans="2:18" ht="24.95" customHeight="1">
      <c r="B188" s="428">
        <v>182</v>
      </c>
      <c r="C188" s="433"/>
      <c r="D188" s="1145" t="s">
        <v>3427</v>
      </c>
      <c r="E188" s="661"/>
      <c r="F188" s="428"/>
      <c r="G188" s="428"/>
      <c r="H188" s="428"/>
      <c r="I188" s="428"/>
      <c r="J188" s="368"/>
      <c r="K188"/>
      <c r="L188" s="13"/>
      <c r="M188" s="13"/>
      <c r="R188" s="153"/>
    </row>
    <row r="189" spans="2:18" ht="24.95" customHeight="1">
      <c r="B189" s="428">
        <v>183</v>
      </c>
      <c r="C189" s="433"/>
      <c r="D189" s="1145" t="s">
        <v>3428</v>
      </c>
      <c r="E189" s="661"/>
      <c r="F189" s="428"/>
      <c r="G189" s="428"/>
      <c r="H189" s="428"/>
      <c r="I189" s="428"/>
      <c r="J189" s="368"/>
      <c r="K189"/>
      <c r="L189" s="13"/>
      <c r="M189" s="13"/>
      <c r="R189" s="153"/>
    </row>
    <row r="190" spans="2:18" ht="24.95" customHeight="1">
      <c r="B190" s="428">
        <v>184</v>
      </c>
      <c r="C190" s="433"/>
      <c r="D190" s="1145" t="s">
        <v>3429</v>
      </c>
      <c r="E190" s="661"/>
      <c r="F190" s="428"/>
      <c r="G190" s="428"/>
      <c r="H190" s="428"/>
      <c r="I190" s="428"/>
      <c r="J190" s="368"/>
      <c r="K190"/>
      <c r="L190" s="13"/>
      <c r="M190" s="13"/>
      <c r="R190" s="153"/>
    </row>
    <row r="191" spans="2:18" ht="24.95" customHeight="1">
      <c r="B191" s="428">
        <v>185</v>
      </c>
      <c r="C191" s="433"/>
      <c r="D191" s="1145" t="s">
        <v>3430</v>
      </c>
      <c r="E191" s="661"/>
      <c r="F191" s="428"/>
      <c r="G191" s="428"/>
      <c r="H191" s="428"/>
      <c r="I191" s="428"/>
      <c r="J191" s="368"/>
      <c r="K191"/>
      <c r="L191" s="13"/>
      <c r="M191" s="13"/>
      <c r="R191" s="153"/>
    </row>
    <row r="192" spans="2:18" ht="24.95" customHeight="1">
      <c r="B192" s="428">
        <v>186</v>
      </c>
      <c r="C192" s="433"/>
      <c r="D192" s="1145" t="s">
        <v>3431</v>
      </c>
      <c r="E192" s="661"/>
      <c r="F192" s="428"/>
      <c r="G192" s="428"/>
      <c r="H192" s="428"/>
      <c r="I192" s="428"/>
      <c r="J192" s="368"/>
      <c r="K192"/>
      <c r="L192" s="13"/>
      <c r="M192" s="13"/>
      <c r="R192" s="153"/>
    </row>
    <row r="193" spans="2:18" ht="24.95" customHeight="1">
      <c r="B193" s="428">
        <v>187</v>
      </c>
      <c r="C193" s="433"/>
      <c r="D193" s="1145" t="s">
        <v>3432</v>
      </c>
      <c r="E193" s="661"/>
      <c r="F193" s="428"/>
      <c r="G193" s="428"/>
      <c r="H193" s="428"/>
      <c r="I193" s="428"/>
      <c r="J193" s="368"/>
      <c r="K193"/>
      <c r="L193" s="13"/>
      <c r="M193" s="13"/>
      <c r="R193" s="153"/>
    </row>
    <row r="194" spans="2:18" ht="24.95" customHeight="1">
      <c r="B194" s="428">
        <v>188</v>
      </c>
      <c r="C194" s="433"/>
      <c r="D194" s="1145" t="s">
        <v>3433</v>
      </c>
      <c r="E194" s="661"/>
      <c r="F194" s="428"/>
      <c r="G194" s="428"/>
      <c r="H194" s="428"/>
      <c r="I194" s="428"/>
      <c r="J194" s="368"/>
      <c r="K194"/>
      <c r="L194" s="13"/>
      <c r="M194" s="13"/>
      <c r="R194" s="153"/>
    </row>
    <row r="195" spans="2:18" ht="24.95" customHeight="1">
      <c r="B195" s="428">
        <v>189</v>
      </c>
      <c r="C195" s="433"/>
      <c r="D195" s="1145" t="s">
        <v>3434</v>
      </c>
      <c r="E195" s="661"/>
      <c r="F195" s="428"/>
      <c r="G195" s="428"/>
      <c r="H195" s="428"/>
      <c r="I195" s="428"/>
      <c r="J195" s="368"/>
      <c r="K195"/>
      <c r="L195" s="13"/>
      <c r="M195" s="13"/>
      <c r="R195" s="153"/>
    </row>
    <row r="196" spans="2:18" ht="24.95" customHeight="1">
      <c r="B196" s="428">
        <v>190</v>
      </c>
      <c r="C196" s="433"/>
      <c r="D196" s="1145" t="s">
        <v>3435</v>
      </c>
      <c r="E196" s="661"/>
      <c r="F196" s="428"/>
      <c r="G196" s="428"/>
      <c r="H196" s="428"/>
      <c r="I196" s="428"/>
      <c r="J196" s="368"/>
      <c r="K196"/>
      <c r="L196" s="13"/>
      <c r="M196" s="13"/>
      <c r="R196" s="153"/>
    </row>
    <row r="197" spans="2:18" ht="24.95" customHeight="1">
      <c r="B197" s="428">
        <v>191</v>
      </c>
      <c r="C197" s="433"/>
      <c r="D197" s="1145" t="s">
        <v>3436</v>
      </c>
      <c r="E197" s="661"/>
      <c r="F197" s="428"/>
      <c r="G197" s="428"/>
      <c r="H197" s="428"/>
      <c r="I197" s="428"/>
      <c r="J197" s="368"/>
      <c r="K197"/>
      <c r="L197" s="13"/>
      <c r="M197" s="13"/>
      <c r="R197" s="153"/>
    </row>
    <row r="198" spans="2:18" ht="24.95" customHeight="1">
      <c r="B198" s="428">
        <v>192</v>
      </c>
      <c r="C198" s="433"/>
      <c r="D198" s="1145" t="s">
        <v>3437</v>
      </c>
      <c r="E198" s="661"/>
      <c r="F198" s="428"/>
      <c r="G198" s="428"/>
      <c r="H198" s="428"/>
      <c r="I198" s="428"/>
      <c r="J198" s="368"/>
      <c r="K198"/>
      <c r="L198" s="13"/>
      <c r="M198" s="13"/>
      <c r="R198" s="153"/>
    </row>
    <row r="199" spans="2:18" ht="24.95" customHeight="1">
      <c r="B199" s="428">
        <v>193</v>
      </c>
      <c r="C199" s="433"/>
      <c r="D199" s="1145" t="s">
        <v>3438</v>
      </c>
      <c r="E199" s="661"/>
      <c r="F199" s="428"/>
      <c r="G199" s="428"/>
      <c r="H199" s="428"/>
      <c r="I199" s="428"/>
      <c r="J199" s="368"/>
      <c r="K199"/>
      <c r="L199" s="13"/>
      <c r="M199" s="13"/>
      <c r="R199" s="153"/>
    </row>
    <row r="200" spans="2:18" ht="24.95" customHeight="1">
      <c r="B200" s="428">
        <v>194</v>
      </c>
      <c r="C200" s="433"/>
      <c r="D200" s="1145" t="s">
        <v>3439</v>
      </c>
      <c r="E200" s="661"/>
      <c r="F200" s="428"/>
      <c r="G200" s="428"/>
      <c r="H200" s="428"/>
      <c r="I200" s="428"/>
      <c r="J200" s="368"/>
      <c r="K200"/>
      <c r="L200" s="13"/>
      <c r="M200" s="13"/>
      <c r="R200" s="153"/>
    </row>
    <row r="201" spans="2:18" ht="24.95" customHeight="1">
      <c r="B201" s="428">
        <v>195</v>
      </c>
      <c r="C201" s="433"/>
      <c r="D201" s="1145" t="s">
        <v>3440</v>
      </c>
      <c r="E201" s="661"/>
      <c r="F201" s="428"/>
      <c r="G201" s="428"/>
      <c r="H201" s="428"/>
      <c r="I201" s="428"/>
      <c r="J201" s="368"/>
      <c r="K201"/>
      <c r="L201" s="13"/>
      <c r="M201" s="13"/>
      <c r="R201" s="153"/>
    </row>
    <row r="202" spans="2:18" ht="24.95" customHeight="1">
      <c r="B202" s="428">
        <v>196</v>
      </c>
      <c r="C202" s="433"/>
      <c r="D202" s="1145" t="s">
        <v>3441</v>
      </c>
      <c r="E202" s="661"/>
      <c r="F202" s="428"/>
      <c r="G202" s="428"/>
      <c r="H202" s="428"/>
      <c r="I202" s="428"/>
      <c r="J202" s="368"/>
      <c r="K202"/>
      <c r="L202" s="13"/>
      <c r="M202" s="13"/>
      <c r="R202" s="153"/>
    </row>
    <row r="203" spans="2:18" ht="24.95" customHeight="1">
      <c r="B203" s="428">
        <v>197</v>
      </c>
      <c r="C203" s="433"/>
      <c r="D203" s="1145" t="s">
        <v>3442</v>
      </c>
      <c r="E203" s="661"/>
      <c r="F203" s="428"/>
      <c r="G203" s="428"/>
      <c r="H203" s="428"/>
      <c r="I203" s="428"/>
      <c r="J203" s="368"/>
      <c r="K203"/>
      <c r="L203" s="13"/>
      <c r="M203" s="13"/>
      <c r="R203" s="153"/>
    </row>
    <row r="204" spans="2:18" ht="24.95" customHeight="1">
      <c r="B204" s="428">
        <v>198</v>
      </c>
      <c r="C204" s="433"/>
      <c r="D204" s="1145" t="s">
        <v>3443</v>
      </c>
      <c r="E204" s="661"/>
      <c r="F204" s="428"/>
      <c r="G204" s="428"/>
      <c r="H204" s="428"/>
      <c r="I204" s="428"/>
      <c r="J204" s="368"/>
      <c r="K204"/>
      <c r="L204" s="13"/>
      <c r="M204" s="13"/>
      <c r="R204" s="153"/>
    </row>
    <row r="205" spans="2:18" ht="24.95" customHeight="1">
      <c r="B205" s="428">
        <v>199</v>
      </c>
      <c r="C205" s="433"/>
      <c r="D205" s="1145" t="s">
        <v>3444</v>
      </c>
      <c r="E205" s="661"/>
      <c r="F205" s="428"/>
      <c r="G205" s="428"/>
      <c r="H205" s="428"/>
      <c r="I205" s="428"/>
      <c r="J205" s="368"/>
      <c r="K205"/>
      <c r="L205" s="13"/>
      <c r="M205" s="13"/>
      <c r="R205" s="153"/>
    </row>
    <row r="206" spans="2:18" ht="24.95" customHeight="1">
      <c r="B206" s="428">
        <v>200</v>
      </c>
      <c r="C206" s="433"/>
      <c r="D206" s="1145" t="s">
        <v>3445</v>
      </c>
      <c r="E206" s="661"/>
      <c r="F206" s="428"/>
      <c r="G206" s="428"/>
      <c r="H206" s="428"/>
      <c r="I206" s="428"/>
      <c r="J206" s="368"/>
      <c r="K206"/>
      <c r="L206" s="13"/>
      <c r="M206" s="13"/>
      <c r="R206" s="153"/>
    </row>
    <row r="207" spans="2:18" ht="24.95" customHeight="1">
      <c r="B207" s="428">
        <v>201</v>
      </c>
      <c r="C207" s="433"/>
      <c r="D207" s="434"/>
      <c r="E207" s="661"/>
      <c r="F207" s="428"/>
      <c r="G207" s="428"/>
      <c r="H207" s="428"/>
      <c r="I207" s="428"/>
      <c r="J207" s="368"/>
      <c r="K207"/>
      <c r="L207" s="13"/>
      <c r="M207" s="13"/>
      <c r="R207" s="153"/>
    </row>
    <row r="208" spans="2:18" ht="24.95" customHeight="1">
      <c r="B208" s="428">
        <v>202</v>
      </c>
      <c r="C208" s="433"/>
      <c r="D208" s="434"/>
      <c r="E208" s="661"/>
      <c r="F208" s="428"/>
      <c r="G208" s="428"/>
      <c r="H208" s="428"/>
      <c r="I208" s="428"/>
      <c r="J208" s="368"/>
      <c r="K208"/>
      <c r="L208" s="13"/>
      <c r="M208" s="13"/>
      <c r="R208" s="153"/>
    </row>
    <row r="209" spans="2:18" ht="24.95" customHeight="1">
      <c r="B209" s="428">
        <v>203</v>
      </c>
      <c r="C209" s="433"/>
      <c r="D209" s="434"/>
      <c r="E209" s="661"/>
      <c r="F209" s="428"/>
      <c r="G209" s="428"/>
      <c r="H209" s="428"/>
      <c r="I209" s="428"/>
      <c r="J209" s="368"/>
      <c r="K209"/>
      <c r="L209" s="13"/>
      <c r="M209" s="13"/>
      <c r="R209" s="153"/>
    </row>
    <row r="210" spans="2:18" ht="24.95" customHeight="1">
      <c r="B210" s="428">
        <v>204</v>
      </c>
      <c r="C210" s="433"/>
      <c r="D210" s="434"/>
      <c r="E210" s="661"/>
      <c r="F210" s="428"/>
      <c r="G210" s="428"/>
      <c r="H210" s="428"/>
      <c r="I210" s="428"/>
      <c r="J210" s="368"/>
      <c r="K210"/>
      <c r="L210" s="13"/>
      <c r="M210" s="13"/>
      <c r="R210" s="153"/>
    </row>
    <row r="211" spans="2:18" ht="24.95" customHeight="1">
      <c r="B211" s="428">
        <v>205</v>
      </c>
      <c r="C211" s="433"/>
      <c r="D211" s="434"/>
      <c r="E211" s="661"/>
      <c r="F211" s="428"/>
      <c r="G211" s="428"/>
      <c r="H211" s="428"/>
      <c r="I211" s="428"/>
      <c r="J211" s="368"/>
      <c r="K211"/>
      <c r="L211" s="13"/>
      <c r="M211" s="13"/>
      <c r="R211" s="153"/>
    </row>
    <row r="212" spans="2:18" ht="24.95" customHeight="1">
      <c r="B212" s="428">
        <v>206</v>
      </c>
      <c r="C212" s="433"/>
      <c r="D212" s="434"/>
      <c r="E212" s="661"/>
      <c r="F212" s="428"/>
      <c r="G212" s="428"/>
      <c r="H212" s="428"/>
      <c r="I212" s="428"/>
      <c r="J212" s="368"/>
      <c r="K212"/>
      <c r="L212" s="13"/>
      <c r="M212" s="13"/>
      <c r="R212" s="153"/>
    </row>
    <row r="213" spans="2:18" ht="24.95" customHeight="1">
      <c r="B213" s="428">
        <v>207</v>
      </c>
      <c r="C213" s="433"/>
      <c r="D213" s="434"/>
      <c r="E213" s="661"/>
      <c r="F213" s="428"/>
      <c r="G213" s="428"/>
      <c r="H213" s="428"/>
      <c r="I213" s="428"/>
      <c r="J213" s="368"/>
      <c r="K213"/>
      <c r="L213" s="13"/>
      <c r="M213" s="13"/>
      <c r="R213" s="153"/>
    </row>
    <row r="214" spans="2:18" ht="24.95" customHeight="1">
      <c r="B214" s="428">
        <v>208</v>
      </c>
      <c r="C214" s="433"/>
      <c r="D214" s="434"/>
      <c r="E214" s="661"/>
      <c r="F214" s="428"/>
      <c r="G214" s="428"/>
      <c r="H214" s="428"/>
      <c r="I214" s="428"/>
      <c r="J214" s="368"/>
      <c r="K214"/>
      <c r="L214" s="13"/>
      <c r="M214" s="13"/>
      <c r="R214" s="153"/>
    </row>
    <row r="215" spans="2:18" ht="24.95" customHeight="1">
      <c r="B215" s="428">
        <v>209</v>
      </c>
      <c r="C215" s="433"/>
      <c r="D215" s="434"/>
      <c r="E215" s="661"/>
      <c r="F215" s="428"/>
      <c r="G215" s="428"/>
      <c r="H215" s="428"/>
      <c r="I215" s="428"/>
      <c r="J215" s="368"/>
      <c r="K215"/>
      <c r="L215" s="13"/>
      <c r="M215" s="13"/>
      <c r="R215" s="153"/>
    </row>
    <row r="216" spans="2:18" ht="24.95" customHeight="1">
      <c r="B216" s="428">
        <v>210</v>
      </c>
      <c r="C216" s="433"/>
      <c r="D216" s="434"/>
      <c r="E216" s="661"/>
      <c r="F216" s="428"/>
      <c r="G216" s="428"/>
      <c r="H216" s="428"/>
      <c r="I216" s="428"/>
      <c r="J216" s="368"/>
      <c r="K216"/>
      <c r="L216" s="13"/>
      <c r="M216" s="13"/>
      <c r="R216" s="153"/>
    </row>
    <row r="217" spans="2:18" ht="24.95" customHeight="1">
      <c r="B217" s="428">
        <v>211</v>
      </c>
      <c r="C217" s="433"/>
      <c r="D217" s="434"/>
      <c r="E217" s="661"/>
      <c r="F217" s="428"/>
      <c r="G217" s="428"/>
      <c r="H217" s="428"/>
      <c r="I217" s="428"/>
      <c r="J217" s="368"/>
      <c r="K217"/>
      <c r="L217" s="13"/>
      <c r="M217" s="13"/>
      <c r="R217" s="153"/>
    </row>
    <row r="218" spans="2:18" ht="24.95" customHeight="1">
      <c r="B218" s="428">
        <v>212</v>
      </c>
      <c r="C218" s="433"/>
      <c r="D218" s="434"/>
      <c r="E218" s="661"/>
      <c r="F218" s="428"/>
      <c r="G218" s="428"/>
      <c r="H218" s="428"/>
      <c r="I218" s="428"/>
      <c r="J218" s="368"/>
      <c r="K218"/>
      <c r="L218" s="13"/>
      <c r="M218" s="13"/>
      <c r="R218" s="153"/>
    </row>
    <row r="219" spans="2:18" ht="24.95" customHeight="1">
      <c r="B219" s="428">
        <v>213</v>
      </c>
      <c r="C219" s="433"/>
      <c r="D219" s="434"/>
      <c r="E219" s="661"/>
      <c r="F219" s="428"/>
      <c r="G219" s="428"/>
      <c r="H219" s="428"/>
      <c r="I219" s="428"/>
      <c r="J219" s="368"/>
      <c r="K219"/>
      <c r="L219" s="13"/>
      <c r="M219" s="13"/>
      <c r="R219" s="153"/>
    </row>
    <row r="220" spans="2:18" ht="24.95" customHeight="1">
      <c r="B220" s="428">
        <v>214</v>
      </c>
      <c r="C220" s="433"/>
      <c r="D220" s="434"/>
      <c r="E220" s="661"/>
      <c r="F220" s="428"/>
      <c r="G220" s="428"/>
      <c r="H220" s="428"/>
      <c r="I220" s="428"/>
      <c r="J220" s="368"/>
      <c r="K220"/>
      <c r="L220" s="13"/>
      <c r="M220" s="13"/>
      <c r="R220" s="153"/>
    </row>
    <row r="221" spans="2:18" ht="24.95" customHeight="1">
      <c r="B221" s="428">
        <v>215</v>
      </c>
      <c r="C221" s="433"/>
      <c r="D221" s="434"/>
      <c r="E221" s="661"/>
      <c r="F221" s="428"/>
      <c r="G221" s="428"/>
      <c r="H221" s="428"/>
      <c r="I221" s="428"/>
      <c r="J221" s="368"/>
      <c r="K221"/>
      <c r="L221" s="13"/>
      <c r="M221" s="13"/>
      <c r="R221" s="153"/>
    </row>
    <row r="222" spans="2:18" ht="24.95" customHeight="1">
      <c r="B222" s="428">
        <v>216</v>
      </c>
      <c r="C222" s="433"/>
      <c r="D222" s="434"/>
      <c r="E222" s="661"/>
      <c r="F222" s="428"/>
      <c r="G222" s="428"/>
      <c r="H222" s="428"/>
      <c r="I222" s="428"/>
      <c r="J222" s="368"/>
      <c r="K222"/>
      <c r="L222" s="13"/>
      <c r="M222" s="13"/>
      <c r="R222" s="153"/>
    </row>
    <row r="223" spans="2:18" ht="24.95" customHeight="1">
      <c r="B223" s="428">
        <v>217</v>
      </c>
      <c r="C223" s="433"/>
      <c r="D223" s="434"/>
      <c r="E223" s="661"/>
      <c r="F223" s="428"/>
      <c r="G223" s="428"/>
      <c r="H223" s="428"/>
      <c r="I223" s="428"/>
      <c r="J223" s="368"/>
      <c r="K223"/>
      <c r="L223" s="13"/>
      <c r="M223" s="13"/>
      <c r="R223" s="153"/>
    </row>
    <row r="224" spans="2:18" ht="24.95" customHeight="1">
      <c r="B224" s="428">
        <v>218</v>
      </c>
      <c r="C224" s="433"/>
      <c r="D224" s="434"/>
      <c r="E224" s="661"/>
      <c r="F224" s="428"/>
      <c r="G224" s="428"/>
      <c r="H224" s="428"/>
      <c r="I224" s="428"/>
      <c r="J224" s="368"/>
      <c r="K224"/>
      <c r="L224" s="13"/>
      <c r="M224" s="13"/>
      <c r="R224" s="153"/>
    </row>
    <row r="225" spans="2:18" ht="24.95" customHeight="1">
      <c r="B225" s="428">
        <v>219</v>
      </c>
      <c r="C225" s="433"/>
      <c r="D225" s="434"/>
      <c r="E225" s="661"/>
      <c r="F225" s="428"/>
      <c r="G225" s="428"/>
      <c r="H225" s="428"/>
      <c r="I225" s="428"/>
      <c r="J225" s="368"/>
      <c r="K225"/>
      <c r="L225" s="13"/>
      <c r="M225" s="13"/>
      <c r="R225" s="153"/>
    </row>
    <row r="226" spans="2:18" ht="24.95" customHeight="1">
      <c r="B226" s="428">
        <v>220</v>
      </c>
      <c r="C226" s="433"/>
      <c r="D226" s="434"/>
      <c r="E226" s="661"/>
      <c r="F226" s="428"/>
      <c r="G226" s="428"/>
      <c r="H226" s="428"/>
      <c r="I226" s="428"/>
      <c r="J226" s="368"/>
      <c r="K226"/>
      <c r="L226" s="13"/>
      <c r="M226" s="13"/>
      <c r="R226" s="153"/>
    </row>
    <row r="227" spans="2:18" ht="24.95" customHeight="1">
      <c r="B227" s="428">
        <v>221</v>
      </c>
      <c r="C227" s="433"/>
      <c r="D227" s="434"/>
      <c r="E227" s="661"/>
      <c r="F227" s="428"/>
      <c r="G227" s="428"/>
      <c r="H227" s="428"/>
      <c r="I227" s="428"/>
      <c r="J227" s="368"/>
      <c r="K227"/>
      <c r="L227" s="13"/>
      <c r="M227" s="13"/>
      <c r="R227" s="153"/>
    </row>
    <row r="228" spans="2:18" ht="24.95" customHeight="1">
      <c r="B228" s="428">
        <v>222</v>
      </c>
      <c r="C228" s="433"/>
      <c r="D228" s="434"/>
      <c r="E228" s="661"/>
      <c r="F228" s="428"/>
      <c r="G228" s="428"/>
      <c r="H228" s="428"/>
      <c r="I228" s="428"/>
      <c r="J228" s="368"/>
      <c r="K228"/>
      <c r="L228" s="13"/>
      <c r="M228" s="13"/>
      <c r="R228" s="153"/>
    </row>
    <row r="229" spans="2:18" ht="24.95" customHeight="1">
      <c r="B229" s="428">
        <v>223</v>
      </c>
      <c r="C229" s="433"/>
      <c r="D229" s="434"/>
      <c r="E229" s="661"/>
      <c r="F229" s="428"/>
      <c r="G229" s="428"/>
      <c r="H229" s="428"/>
      <c r="I229" s="428"/>
      <c r="J229" s="368"/>
      <c r="K229"/>
      <c r="L229" s="13"/>
      <c r="M229" s="13"/>
      <c r="R229" s="153"/>
    </row>
    <row r="230" spans="2:18" ht="24.95" customHeight="1">
      <c r="B230" s="428">
        <v>224</v>
      </c>
      <c r="C230" s="433"/>
      <c r="D230" s="434"/>
      <c r="E230" s="661"/>
      <c r="F230" s="428"/>
      <c r="G230" s="428"/>
      <c r="H230" s="428"/>
      <c r="I230" s="428"/>
      <c r="J230" s="368"/>
      <c r="K230"/>
      <c r="L230" s="13"/>
      <c r="M230" s="13"/>
      <c r="R230" s="153"/>
    </row>
    <row r="231" spans="2:18" ht="24.95" customHeight="1">
      <c r="B231" s="428">
        <v>225</v>
      </c>
      <c r="C231" s="433"/>
      <c r="D231" s="434"/>
      <c r="E231" s="661"/>
      <c r="F231" s="428"/>
      <c r="G231" s="428"/>
      <c r="H231" s="428"/>
      <c r="I231" s="428"/>
      <c r="J231" s="368"/>
      <c r="K231"/>
      <c r="L231" s="13"/>
      <c r="M231" s="13"/>
      <c r="R231" s="153"/>
    </row>
    <row r="232" spans="2:18" ht="24.95" customHeight="1">
      <c r="B232" s="428">
        <v>226</v>
      </c>
      <c r="C232" s="433" t="str">
        <f t="shared" si="1"/>
        <v/>
      </c>
      <c r="D232" s="434"/>
      <c r="E232" s="661"/>
      <c r="F232" s="428"/>
      <c r="G232" s="428"/>
      <c r="H232" s="428"/>
      <c r="I232" s="428"/>
      <c r="J232" s="607"/>
      <c r="L232" s="13"/>
      <c r="M232" s="13"/>
      <c r="R232" s="153"/>
    </row>
    <row r="233" spans="2:18" ht="24.95" customHeight="1">
      <c r="B233" s="428">
        <v>227</v>
      </c>
      <c r="C233" s="433" t="str">
        <f t="shared" si="1"/>
        <v/>
      </c>
      <c r="D233" s="434"/>
      <c r="E233" s="661"/>
      <c r="F233" s="428"/>
      <c r="G233" s="428"/>
      <c r="H233" s="428"/>
      <c r="I233" s="428"/>
      <c r="J233" s="607"/>
      <c r="L233" s="13"/>
      <c r="M233" s="13"/>
      <c r="R233" s="153"/>
    </row>
    <row r="234" spans="2:18" ht="24.95" customHeight="1">
      <c r="B234" s="428">
        <v>228</v>
      </c>
      <c r="C234" s="433" t="str">
        <f t="shared" si="1"/>
        <v/>
      </c>
      <c r="D234" s="434"/>
      <c r="E234" s="661"/>
      <c r="F234" s="428"/>
      <c r="G234" s="428"/>
      <c r="H234" s="428"/>
      <c r="I234" s="428"/>
      <c r="J234" s="607"/>
      <c r="R234" s="153"/>
    </row>
    <row r="235" spans="2:18" ht="24.95" customHeight="1">
      <c r="B235" s="428">
        <v>229</v>
      </c>
      <c r="C235" s="433" t="str">
        <f t="shared" si="1"/>
        <v/>
      </c>
      <c r="D235" s="434"/>
      <c r="E235" s="661"/>
      <c r="F235" s="428"/>
      <c r="G235" s="428"/>
      <c r="H235" s="428"/>
      <c r="I235" s="428"/>
      <c r="J235" s="607"/>
      <c r="R235" s="153"/>
    </row>
    <row r="236" spans="2:18" ht="24.95" customHeight="1">
      <c r="B236" s="428">
        <v>230</v>
      </c>
      <c r="C236" s="433" t="str">
        <f t="shared" si="1"/>
        <v/>
      </c>
      <c r="D236" s="434"/>
      <c r="E236" s="661"/>
      <c r="F236" s="428"/>
      <c r="G236" s="428"/>
      <c r="H236" s="428"/>
      <c r="I236" s="428"/>
      <c r="J236" s="607"/>
      <c r="R236" s="153"/>
    </row>
    <row r="237" spans="2:18" ht="24.95" customHeight="1">
      <c r="B237" s="428">
        <v>231</v>
      </c>
      <c r="C237" s="433" t="str">
        <f t="shared" si="1"/>
        <v/>
      </c>
      <c r="D237" s="434"/>
      <c r="E237" s="661"/>
      <c r="F237" s="428"/>
      <c r="G237" s="428"/>
      <c r="H237" s="428"/>
      <c r="I237" s="428"/>
      <c r="J237" s="607"/>
      <c r="R237" s="153"/>
    </row>
    <row r="238" spans="2:18" ht="24.95" customHeight="1">
      <c r="B238" s="428">
        <v>232</v>
      </c>
      <c r="C238" s="433" t="str">
        <f t="shared" si="1"/>
        <v/>
      </c>
      <c r="D238" s="434"/>
      <c r="E238" s="661"/>
      <c r="F238" s="428"/>
      <c r="G238" s="428"/>
      <c r="H238" s="428"/>
      <c r="I238" s="428"/>
      <c r="J238" s="607"/>
    </row>
    <row r="239" spans="2:18" ht="24.95" customHeight="1">
      <c r="B239" s="428">
        <v>233</v>
      </c>
      <c r="C239" s="433" t="str">
        <f t="shared" si="1"/>
        <v/>
      </c>
      <c r="D239" s="434"/>
      <c r="E239" s="661"/>
      <c r="F239" s="428"/>
      <c r="G239" s="428"/>
      <c r="H239" s="428"/>
      <c r="I239" s="428"/>
      <c r="J239" s="607"/>
    </row>
    <row r="240" spans="2:18" ht="24.95" customHeight="1">
      <c r="B240" s="428">
        <v>234</v>
      </c>
      <c r="C240" s="433" t="str">
        <f t="shared" si="1"/>
        <v/>
      </c>
      <c r="D240" s="434"/>
      <c r="E240" s="661"/>
      <c r="F240" s="428"/>
      <c r="G240" s="428"/>
      <c r="H240" s="428"/>
      <c r="I240" s="428"/>
      <c r="J240" s="607"/>
    </row>
    <row r="241" spans="2:11" ht="24.95" customHeight="1">
      <c r="B241" s="428">
        <v>235</v>
      </c>
      <c r="C241" s="431" t="str">
        <f t="shared" si="1"/>
        <v/>
      </c>
      <c r="D241" s="432"/>
      <c r="E241" s="435"/>
      <c r="F241" s="426"/>
      <c r="G241" s="431"/>
      <c r="H241" s="426"/>
      <c r="I241" s="431"/>
      <c r="J241" s="607"/>
      <c r="K241" s="139"/>
    </row>
    <row r="242" spans="2:11" ht="24.95" customHeight="1">
      <c r="B242" s="428">
        <v>236</v>
      </c>
      <c r="C242" s="413" t="str">
        <f t="shared" si="1"/>
        <v/>
      </c>
      <c r="D242" s="414"/>
      <c r="E242" s="435"/>
      <c r="F242" s="271"/>
      <c r="G242" s="413"/>
      <c r="H242" s="271"/>
      <c r="I242" s="413"/>
      <c r="J242" s="607"/>
      <c r="K242" s="139"/>
    </row>
    <row r="243" spans="2:11" ht="24.95" customHeight="1">
      <c r="B243" s="428">
        <v>237</v>
      </c>
      <c r="C243" s="413" t="str">
        <f t="shared" si="1"/>
        <v/>
      </c>
      <c r="D243" s="414"/>
      <c r="E243" s="435"/>
      <c r="F243" s="271"/>
      <c r="G243" s="413"/>
      <c r="H243" s="271"/>
      <c r="I243" s="413"/>
      <c r="J243" s="607"/>
      <c r="K243" s="139"/>
    </row>
    <row r="244" spans="2:11" ht="24.95" customHeight="1">
      <c r="B244" s="428">
        <v>238</v>
      </c>
      <c r="C244" s="413" t="str">
        <f t="shared" si="1"/>
        <v/>
      </c>
      <c r="D244" s="414"/>
      <c r="E244" s="435"/>
      <c r="F244" s="271"/>
      <c r="G244" s="413"/>
      <c r="H244" s="271"/>
      <c r="I244" s="413"/>
      <c r="J244" s="607"/>
      <c r="K244" s="139"/>
    </row>
    <row r="245" spans="2:11" ht="24.95" customHeight="1">
      <c r="B245" s="428">
        <v>239</v>
      </c>
      <c r="C245" s="413" t="str">
        <f t="shared" si="1"/>
        <v/>
      </c>
      <c r="D245" s="414"/>
      <c r="E245" s="435"/>
      <c r="F245" s="271"/>
      <c r="G245" s="413"/>
      <c r="H245" s="271"/>
      <c r="I245" s="413"/>
      <c r="J245" s="607"/>
      <c r="K245" s="139"/>
    </row>
    <row r="246" spans="2:11" ht="24.95" customHeight="1">
      <c r="B246" s="428">
        <v>240</v>
      </c>
      <c r="C246" s="413" t="str">
        <f t="shared" si="1"/>
        <v/>
      </c>
      <c r="D246" s="414"/>
      <c r="E246" s="435"/>
      <c r="F246" s="271"/>
      <c r="G246" s="413"/>
      <c r="H246" s="271"/>
      <c r="I246" s="413"/>
      <c r="J246" s="607"/>
      <c r="K246" s="139"/>
    </row>
    <row r="247" spans="2:11" ht="24.95" customHeight="1">
      <c r="B247" s="428">
        <v>241</v>
      </c>
      <c r="C247" s="413"/>
      <c r="D247" s="414"/>
      <c r="E247" s="435"/>
      <c r="F247" s="271"/>
      <c r="G247" s="413"/>
      <c r="H247" s="271"/>
      <c r="I247" s="413"/>
      <c r="J247" s="607"/>
      <c r="K247" s="139"/>
    </row>
    <row r="248" spans="2:11" ht="24.95" customHeight="1">
      <c r="B248" s="428">
        <v>242</v>
      </c>
      <c r="C248" s="413"/>
      <c r="D248" s="414"/>
      <c r="E248" s="435"/>
      <c r="F248" s="271"/>
      <c r="G248" s="413"/>
      <c r="H248" s="271"/>
      <c r="I248" s="413"/>
      <c r="J248" s="607"/>
      <c r="K248" s="139"/>
    </row>
    <row r="249" spans="2:11" ht="24.95" customHeight="1">
      <c r="B249" s="428">
        <v>243</v>
      </c>
      <c r="C249" s="413"/>
      <c r="D249" s="414"/>
      <c r="E249" s="435"/>
      <c r="F249" s="271"/>
      <c r="G249" s="413"/>
      <c r="H249" s="271"/>
      <c r="I249" s="413"/>
      <c r="J249" s="607"/>
      <c r="K249" s="139"/>
    </row>
    <row r="250" spans="2:11" ht="24.95" customHeight="1">
      <c r="B250" s="428">
        <v>244</v>
      </c>
      <c r="C250" s="413"/>
      <c r="D250" s="414"/>
      <c r="E250" s="435"/>
      <c r="F250" s="271"/>
      <c r="G250" s="413"/>
      <c r="H250" s="271"/>
      <c r="I250" s="413"/>
      <c r="J250" s="607"/>
      <c r="K250" s="139"/>
    </row>
    <row r="251" spans="2:11" ht="24.95" customHeight="1">
      <c r="B251" s="428">
        <v>245</v>
      </c>
      <c r="C251" s="413"/>
      <c r="D251" s="414"/>
      <c r="E251" s="435"/>
      <c r="F251" s="271"/>
      <c r="G251" s="413"/>
      <c r="H251" s="271"/>
      <c r="I251" s="413"/>
      <c r="J251" s="607"/>
      <c r="K251" s="139"/>
    </row>
    <row r="252" spans="2:11" ht="24.95" customHeight="1">
      <c r="B252" s="428">
        <v>246</v>
      </c>
      <c r="C252" s="413"/>
      <c r="D252" s="414"/>
      <c r="E252" s="435"/>
      <c r="F252" s="271"/>
      <c r="G252" s="413"/>
      <c r="H252" s="271"/>
      <c r="I252" s="413"/>
      <c r="J252" s="607"/>
      <c r="K252" s="139"/>
    </row>
    <row r="253" spans="2:11" ht="24.95" customHeight="1">
      <c r="B253" s="428">
        <v>247</v>
      </c>
      <c r="C253" s="413"/>
      <c r="D253" s="414"/>
      <c r="E253" s="435"/>
      <c r="F253" s="271"/>
      <c r="G253" s="413"/>
      <c r="H253" s="271"/>
      <c r="I253" s="413"/>
      <c r="J253" s="607"/>
      <c r="K253" s="139"/>
    </row>
    <row r="254" spans="2:11" ht="24.95" customHeight="1">
      <c r="B254" s="428">
        <v>248</v>
      </c>
      <c r="C254" s="413" t="str">
        <f t="shared" si="1"/>
        <v/>
      </c>
      <c r="D254" s="414"/>
      <c r="E254" s="435"/>
      <c r="F254" s="271"/>
      <c r="G254" s="413"/>
      <c r="H254" s="271"/>
      <c r="I254" s="413"/>
      <c r="J254" s="607"/>
      <c r="K254" s="139"/>
    </row>
    <row r="255" spans="2:11" ht="24.95" customHeight="1">
      <c r="B255" s="428">
        <v>249</v>
      </c>
      <c r="C255" s="413"/>
      <c r="D255" s="414"/>
      <c r="E255" s="435"/>
      <c r="F255" s="271"/>
      <c r="G255" s="413"/>
      <c r="H255" s="271"/>
      <c r="I255" s="413"/>
      <c r="J255" s="607"/>
      <c r="K255" s="139"/>
    </row>
    <row r="256" spans="2:11" ht="24.95" customHeight="1">
      <c r="B256" s="428">
        <v>250</v>
      </c>
      <c r="C256" s="413"/>
      <c r="D256" s="414"/>
      <c r="E256" s="435"/>
      <c r="F256" s="271"/>
      <c r="G256" s="413"/>
      <c r="H256" s="271"/>
      <c r="I256" s="413"/>
      <c r="J256" s="607"/>
      <c r="K256" s="139"/>
    </row>
    <row r="257" spans="2:22" ht="24.95" customHeight="1">
      <c r="B257" s="428">
        <v>251</v>
      </c>
      <c r="C257" s="413"/>
      <c r="D257" s="414"/>
      <c r="E257" s="435"/>
      <c r="F257" s="271"/>
      <c r="G257" s="413"/>
      <c r="H257" s="271"/>
      <c r="I257" s="413"/>
      <c r="J257" s="607"/>
      <c r="K257" s="139"/>
    </row>
    <row r="258" spans="2:22" ht="24.95" customHeight="1">
      <c r="B258" s="428">
        <v>252</v>
      </c>
      <c r="C258" s="413"/>
      <c r="D258" s="414"/>
      <c r="E258" s="435"/>
      <c r="F258" s="271"/>
      <c r="G258" s="413"/>
      <c r="H258" s="271"/>
      <c r="I258" s="413"/>
      <c r="J258" s="607"/>
      <c r="K258" s="139"/>
    </row>
    <row r="259" spans="2:22" ht="24.95" customHeight="1">
      <c r="B259" s="428">
        <v>253</v>
      </c>
      <c r="C259" s="413"/>
      <c r="D259" s="414"/>
      <c r="E259" s="435"/>
      <c r="F259" s="271"/>
      <c r="G259" s="413"/>
      <c r="H259" s="271"/>
      <c r="I259" s="413"/>
      <c r="J259" s="607"/>
      <c r="K259" s="139"/>
    </row>
    <row r="260" spans="2:22" ht="24.95" customHeight="1">
      <c r="B260" s="428">
        <v>254</v>
      </c>
      <c r="C260" s="413"/>
      <c r="D260" s="414"/>
      <c r="E260" s="435"/>
      <c r="F260" s="271"/>
      <c r="G260" s="413"/>
      <c r="H260" s="271"/>
      <c r="I260" s="413"/>
      <c r="J260" s="607"/>
      <c r="K260" s="139"/>
    </row>
    <row r="261" spans="2:22" ht="24.95" customHeight="1">
      <c r="B261" s="428">
        <v>255</v>
      </c>
      <c r="C261" s="413" t="str">
        <f t="shared" si="1"/>
        <v/>
      </c>
      <c r="D261" s="414"/>
      <c r="E261" s="435"/>
      <c r="F261" s="271"/>
      <c r="G261" s="413"/>
      <c r="H261" s="271"/>
      <c r="I261" s="413"/>
      <c r="J261" s="607"/>
      <c r="K261" s="139"/>
    </row>
    <row r="262" spans="2:22" ht="24.95" customHeight="1">
      <c r="B262" s="428">
        <v>256</v>
      </c>
      <c r="C262" s="413" t="str">
        <f t="shared" si="1"/>
        <v/>
      </c>
      <c r="D262" s="414"/>
      <c r="E262" s="435"/>
      <c r="F262" s="271"/>
      <c r="G262" s="413"/>
      <c r="H262" s="271"/>
      <c r="I262" s="413"/>
      <c r="J262" s="607"/>
      <c r="K262" s="139"/>
    </row>
    <row r="263" spans="2:22" ht="24.95" customHeight="1">
      <c r="B263" s="428">
        <v>257</v>
      </c>
      <c r="C263" s="413" t="str">
        <f>IFERROR(IF(D263&lt;&gt;"",VLOOKUP(MID(D263,1,2),product_list,2,FALSE),""),"")</f>
        <v/>
      </c>
      <c r="D263" s="414"/>
      <c r="E263" s="435"/>
      <c r="F263" s="271"/>
      <c r="G263" s="413"/>
      <c r="H263" s="271"/>
      <c r="I263" s="413"/>
      <c r="J263" s="607"/>
      <c r="K263" s="139"/>
    </row>
    <row r="264" spans="2:22" ht="24.95" customHeight="1">
      <c r="B264" s="428">
        <v>258</v>
      </c>
      <c r="C264" s="413" t="str">
        <f>IFERROR(IF(D264&lt;&gt;"",VLOOKUP(MID(D264,1,2),product_list,2,FALSE),""),"")</f>
        <v/>
      </c>
      <c r="D264" s="414"/>
      <c r="E264" s="435"/>
      <c r="F264" s="271"/>
      <c r="G264" s="413"/>
      <c r="H264" s="271"/>
      <c r="I264" s="413"/>
      <c r="J264" s="607"/>
      <c r="K264" s="139"/>
    </row>
    <row r="265" spans="2:22" ht="24.95" customHeight="1">
      <c r="B265" s="428">
        <v>259</v>
      </c>
      <c r="C265" s="413" t="str">
        <f>IFERROR(IF(D265&lt;&gt;"",VLOOKUP(MID(D265,1,2),product_list,2,FALSE),""),"")</f>
        <v/>
      </c>
      <c r="D265" s="414"/>
      <c r="E265" s="435"/>
      <c r="F265" s="271"/>
      <c r="G265" s="413"/>
      <c r="H265" s="271"/>
      <c r="I265" s="413"/>
      <c r="J265" s="607"/>
      <c r="K265" s="139"/>
    </row>
    <row r="266" spans="2:22" ht="24.95" customHeight="1">
      <c r="B266" s="428">
        <v>260</v>
      </c>
      <c r="C266" s="413" t="str">
        <f>IFERROR(IF(D266&lt;&gt;"",VLOOKUP(MID(D266,1,2),product_list,2,FALSE),""),"")</f>
        <v/>
      </c>
      <c r="D266" s="414"/>
      <c r="E266" s="435"/>
      <c r="F266" s="425"/>
      <c r="G266" s="436"/>
      <c r="H266" s="425"/>
      <c r="I266" s="436"/>
      <c r="J266" s="607"/>
      <c r="K266" s="139"/>
    </row>
    <row r="267" spans="2:22" ht="26.25" customHeight="1">
      <c r="B267" s="408"/>
      <c r="C267" s="255"/>
      <c r="E267" s="282" t="s">
        <v>1624</v>
      </c>
      <c r="F267" s="428"/>
      <c r="G267" s="428"/>
      <c r="H267" s="428"/>
      <c r="I267" s="428"/>
      <c r="J267" s="248"/>
      <c r="K267"/>
    </row>
    <row r="268" spans="2:22" s="13" customFormat="1">
      <c r="B268" s="206"/>
      <c r="C268" s="206"/>
      <c r="E268" s="206"/>
      <c r="F268" s="143"/>
      <c r="G268" s="143"/>
      <c r="H268" s="143"/>
      <c r="I268" s="143"/>
      <c r="J268" s="606"/>
      <c r="K268" s="360"/>
      <c r="R268"/>
      <c r="S268"/>
      <c r="T268"/>
      <c r="U268"/>
      <c r="V268"/>
    </row>
    <row r="269" spans="2:22" s="13" customFormat="1">
      <c r="B269" s="206"/>
      <c r="C269" s="206"/>
      <c r="D269" s="206"/>
      <c r="E269" s="206"/>
      <c r="F269" s="143"/>
      <c r="G269" s="143"/>
      <c r="H269" s="143"/>
      <c r="I269" s="143"/>
      <c r="J269" s="606"/>
      <c r="K269" s="360"/>
      <c r="R269"/>
      <c r="S269"/>
      <c r="T269"/>
      <c r="U269"/>
      <c r="V269"/>
    </row>
    <row r="270" spans="2:22" s="13" customFormat="1">
      <c r="B270" s="206"/>
      <c r="C270" s="206"/>
      <c r="D270" s="206"/>
      <c r="E270" s="206"/>
      <c r="F270" s="143"/>
      <c r="G270" s="143"/>
      <c r="H270" s="206"/>
      <c r="I270" s="143"/>
      <c r="J270" s="606"/>
      <c r="K270" s="360"/>
      <c r="R270"/>
      <c r="S270"/>
      <c r="T270"/>
      <c r="U270"/>
      <c r="V270"/>
    </row>
    <row r="271" spans="2:22" s="13" customFormat="1" ht="25.5">
      <c r="C271" s="206"/>
      <c r="D271" s="206"/>
      <c r="E271" s="206"/>
      <c r="F271" s="143"/>
      <c r="G271" s="143"/>
      <c r="H271" s="143"/>
      <c r="I271" s="366"/>
      <c r="J271" s="606"/>
      <c r="K271" s="367"/>
      <c r="L271" s="363"/>
      <c r="M271" s="363"/>
      <c r="N271" s="363"/>
      <c r="R271"/>
      <c r="S271"/>
      <c r="T271"/>
      <c r="U271"/>
      <c r="V271"/>
    </row>
    <row r="272" spans="2:22" s="13" customFormat="1" ht="25.5">
      <c r="B272" s="206"/>
      <c r="C272" s="206"/>
      <c r="D272" s="206"/>
      <c r="E272" s="206"/>
      <c r="F272" s="143"/>
      <c r="G272" s="143"/>
      <c r="H272" s="143"/>
      <c r="I272" s="366"/>
      <c r="J272" s="608"/>
      <c r="K272" s="367"/>
      <c r="L272" s="363"/>
      <c r="M272" s="363"/>
      <c r="N272" s="363"/>
      <c r="R272"/>
      <c r="S272"/>
      <c r="T272"/>
      <c r="U272"/>
      <c r="V272"/>
    </row>
    <row r="273" spans="2:22" s="13" customFormat="1" ht="25.5">
      <c r="B273" s="206"/>
      <c r="C273" s="206"/>
      <c r="D273" s="206"/>
      <c r="E273" s="206"/>
      <c r="F273" s="143"/>
      <c r="G273" s="143"/>
      <c r="H273" s="143"/>
      <c r="I273" s="366"/>
      <c r="J273" s="608"/>
      <c r="K273" s="360"/>
      <c r="L273" s="363"/>
      <c r="M273" s="363"/>
      <c r="N273" s="363"/>
      <c r="R273"/>
      <c r="S273"/>
      <c r="T273"/>
      <c r="U273"/>
      <c r="V273"/>
    </row>
    <row r="274" spans="2:22" s="13" customFormat="1" ht="25.5">
      <c r="B274" s="206"/>
      <c r="C274" s="206"/>
      <c r="D274" s="206"/>
      <c r="E274" s="206"/>
      <c r="F274" s="143"/>
      <c r="G274" s="143"/>
      <c r="H274" s="143"/>
      <c r="I274" s="366"/>
      <c r="J274" s="608"/>
      <c r="K274" s="360"/>
      <c r="M274" s="363"/>
      <c r="N274" s="363"/>
      <c r="R274"/>
      <c r="S274"/>
      <c r="T274"/>
      <c r="U274"/>
      <c r="V274"/>
    </row>
    <row r="275" spans="2:22" s="13" customFormat="1" ht="25.5" hidden="1">
      <c r="B275" s="206"/>
      <c r="C275" s="206"/>
      <c r="D275" s="206"/>
      <c r="E275" s="206"/>
      <c r="F275" s="143"/>
      <c r="G275" s="143"/>
      <c r="H275" s="143"/>
      <c r="I275" s="366"/>
      <c r="J275" s="608"/>
      <c r="K275" s="360"/>
      <c r="L275" s="363"/>
      <c r="M275" s="363"/>
      <c r="N275" s="363"/>
      <c r="R275"/>
      <c r="S275"/>
      <c r="T275"/>
      <c r="U275"/>
      <c r="V275"/>
    </row>
    <row r="276" spans="2:22" s="13" customFormat="1" hidden="1">
      <c r="B276" s="206"/>
      <c r="C276" s="206"/>
      <c r="D276" s="206"/>
      <c r="E276" s="206"/>
      <c r="F276" s="143"/>
      <c r="H276" s="143"/>
      <c r="I276" s="143"/>
      <c r="J276" s="606"/>
      <c r="K276" s="360"/>
      <c r="R276"/>
      <c r="S276"/>
      <c r="T276"/>
      <c r="U276"/>
      <c r="V276"/>
    </row>
    <row r="277" spans="2:22" s="13" customFormat="1" hidden="1">
      <c r="B277" s="206"/>
      <c r="C277" s="206"/>
      <c r="D277" s="206"/>
      <c r="E277" s="206"/>
      <c r="F277" s="143"/>
      <c r="G277" s="143"/>
      <c r="H277" s="143"/>
      <c r="I277" s="143"/>
      <c r="J277" s="606"/>
      <c r="K277" s="360"/>
      <c r="R277"/>
      <c r="S277"/>
      <c r="T277"/>
      <c r="U277"/>
      <c r="V277"/>
    </row>
    <row r="278" spans="2:22" s="13" customFormat="1" ht="23.25" hidden="1" customHeight="1">
      <c r="B278" s="206"/>
      <c r="C278" s="206"/>
      <c r="D278" s="206"/>
      <c r="E278" s="206"/>
      <c r="F278" s="143"/>
      <c r="G278" s="143"/>
      <c r="H278" s="143"/>
      <c r="I278" s="143"/>
      <c r="J278" s="606"/>
      <c r="K278" s="360"/>
      <c r="R278"/>
      <c r="S278"/>
      <c r="T278"/>
      <c r="U278"/>
      <c r="V278"/>
    </row>
    <row r="279" spans="2:22" s="13" customFormat="1" ht="10.5" hidden="1" customHeight="1">
      <c r="B279" s="412"/>
      <c r="C279" s="262"/>
      <c r="D279" s="262"/>
      <c r="E279" s="262"/>
      <c r="F279" s="262"/>
      <c r="G279" s="262"/>
      <c r="H279" s="262"/>
      <c r="I279" s="262"/>
      <c r="J279" s="606"/>
      <c r="K279" s="360"/>
      <c r="R279"/>
      <c r="S279"/>
      <c r="T279"/>
      <c r="U279"/>
      <c r="V279"/>
    </row>
    <row r="280" spans="2:22" s="13" customFormat="1" ht="61.5" customHeight="1">
      <c r="B280" s="1801" t="str">
        <f>"របាយការណ៍ស្តុកសរុប"&amp;$N$3</f>
        <v>របាយការណ៍ស្តុកសរុប2026</v>
      </c>
      <c r="C280" s="1801"/>
      <c r="D280" s="1801"/>
      <c r="E280" s="1801"/>
      <c r="F280" s="1801"/>
      <c r="G280" s="1801"/>
      <c r="H280" s="1801"/>
      <c r="I280" s="1801"/>
      <c r="J280" s="606"/>
      <c r="K280" s="360"/>
      <c r="R280"/>
      <c r="S280"/>
      <c r="T280"/>
      <c r="U280"/>
      <c r="V280"/>
    </row>
    <row r="281" spans="2:22" s="13" customFormat="1" ht="36.75" customHeight="1">
      <c r="B281" s="1798" t="str">
        <f>"ចាប់ពីខែ ( "&amp;$N$5&amp;" - "&amp;DAY($O$4)&amp;"/"&amp;$M$3&amp;"/"&amp;YEAR($O$4)&amp;" )"</f>
        <v>ចាប់ពីខែ ( 01/01/2026 - 31/07/2026 )</v>
      </c>
      <c r="C281" s="1798"/>
      <c r="D281" s="1798"/>
      <c r="E281" s="1798"/>
      <c r="F281" s="1798"/>
      <c r="G281" s="1798"/>
      <c r="H281" s="1798"/>
      <c r="I281" s="1798"/>
      <c r="J281" s="606"/>
      <c r="K281" s="360"/>
      <c r="R281"/>
      <c r="S281"/>
      <c r="T281"/>
      <c r="U281"/>
      <c r="V281"/>
    </row>
    <row r="282" spans="2:22" s="13" customFormat="1" ht="25.5">
      <c r="B282" s="439" t="s">
        <v>47</v>
      </c>
      <c r="C282" s="439" t="s">
        <v>109</v>
      </c>
      <c r="D282" s="439" t="s">
        <v>61</v>
      </c>
      <c r="E282" s="439" t="s">
        <v>62</v>
      </c>
      <c r="F282" s="439" t="str">
        <f>"ស្តុកចុងឆ្នាំ"&amp;N3-1</f>
        <v>ស្តុកចុងឆ្នាំ2025</v>
      </c>
      <c r="G282" s="439" t="s">
        <v>251</v>
      </c>
      <c r="H282" s="439" t="s">
        <v>252</v>
      </c>
      <c r="I282" s="439" t="s">
        <v>110</v>
      </c>
      <c r="J282" s="609" t="s">
        <v>260</v>
      </c>
      <c r="K282" s="360"/>
      <c r="R282"/>
      <c r="S282"/>
      <c r="T282"/>
      <c r="U282"/>
      <c r="V282"/>
    </row>
    <row r="283" spans="2:22" s="13" customFormat="1" ht="20.25" customHeight="1">
      <c r="B283" s="440" t="s">
        <v>10</v>
      </c>
      <c r="C283" s="440" t="s">
        <v>111</v>
      </c>
      <c r="D283" s="440" t="s">
        <v>75</v>
      </c>
      <c r="E283" s="440" t="s">
        <v>14</v>
      </c>
      <c r="F283" s="440" t="s">
        <v>112</v>
      </c>
      <c r="G283" s="440" t="s">
        <v>113</v>
      </c>
      <c r="H283" s="440" t="s">
        <v>215</v>
      </c>
      <c r="I283" s="440" t="s">
        <v>114</v>
      </c>
      <c r="J283" s="610" t="s">
        <v>261</v>
      </c>
      <c r="K283" s="360"/>
      <c r="R283"/>
      <c r="S283"/>
      <c r="T283"/>
      <c r="U283"/>
      <c r="V283"/>
    </row>
    <row r="284" spans="2:22" s="13" customFormat="1" ht="25.5">
      <c r="B284" s="428">
        <v>1</v>
      </c>
      <c r="C284" s="437" t="str">
        <f t="shared" ref="C284:C293" si="3">IFERROR(IF(D284&lt;&gt;"",VLOOKUP(MID(D284,1,2),product_list,2,FALSE),""),"")</f>
        <v/>
      </c>
      <c r="D284" s="438" t="s">
        <v>1672</v>
      </c>
      <c r="E284" s="662" t="str">
        <f t="shared" ref="E284:E296" si="4">IF(D284="","",MID(VLOOKUP(MID(D284,1,5)*1,product_list,11,FALSE),5,50))</f>
        <v>width:4m</v>
      </c>
      <c r="F284" s="428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428" t="e">
        <f>SUMIFS(#REF!,#REF!,C284,#REF!,$N$3)</f>
        <v>#REF!</v>
      </c>
      <c r="H284" s="428" t="e">
        <f>SUMIFS(#REF!,#REF!,C284,#REF!,$N$3,#REF!,"&gt;0")+SUMIFS(#REF!,#REF!,C284,#REF!,$N$3,#REF!,"&gt;0",#REF!,"&gt;0")</f>
        <v>#REF!</v>
      </c>
      <c r="I284" s="428" t="e">
        <f>IF((N(F284)+N(G284)-N(H284))=0,"",N(F284)+N(G284)-N(H284))</f>
        <v>#REF!</v>
      </c>
      <c r="J284" s="606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428">
        <v>2</v>
      </c>
      <c r="C285" s="437" t="str">
        <f t="shared" si="3"/>
        <v/>
      </c>
      <c r="D285" s="438" t="s">
        <v>1672</v>
      </c>
      <c r="E285" s="662" t="str">
        <f t="shared" si="4"/>
        <v>width:4m</v>
      </c>
      <c r="F285" s="428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428" t="e">
        <f>SUMIFS(#REF!,#REF!,C285,#REF!,$N$3)</f>
        <v>#REF!</v>
      </c>
      <c r="H285" s="428" t="e">
        <f>SUMIFS(#REF!,#REF!,C285,#REF!,$N$3,#REF!,"&gt;0")+SUMIFS(#REF!,#REF!,C285,#REF!,$N$3,#REF!,"&gt;0",#REF!,"&gt;0")</f>
        <v>#REF!</v>
      </c>
      <c r="I285" s="428" t="e">
        <f t="shared" ref="I285:I296" si="5">IF((N(F285)+N(G285)-N(H285))=0,"",N(F285)+N(G285)-N(H285))</f>
        <v>#REF!</v>
      </c>
      <c r="J285" s="606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428">
        <v>3</v>
      </c>
      <c r="C286" s="437" t="str">
        <f t="shared" si="3"/>
        <v/>
      </c>
      <c r="D286" s="438" t="s">
        <v>1672</v>
      </c>
      <c r="E286" s="662" t="str">
        <f t="shared" si="4"/>
        <v>width:4m</v>
      </c>
      <c r="F286" s="428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428" t="e">
        <f>SUMIFS(#REF!,#REF!,C286,#REF!,$N$3)</f>
        <v>#REF!</v>
      </c>
      <c r="H286" s="428" t="e">
        <f>SUMIFS(#REF!,#REF!,C286,#REF!,$N$3,#REF!,"&gt;0")+SUMIFS(#REF!,#REF!,C286,#REF!,$N$3,#REF!,"&gt;0",#REF!,"&gt;0")</f>
        <v>#REF!</v>
      </c>
      <c r="I286" s="428" t="e">
        <f t="shared" si="5"/>
        <v>#REF!</v>
      </c>
      <c r="J286" s="606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428">
        <v>4</v>
      </c>
      <c r="C287" s="437" t="str">
        <f t="shared" si="3"/>
        <v/>
      </c>
      <c r="D287" s="438" t="s">
        <v>1672</v>
      </c>
      <c r="E287" s="662" t="str">
        <f t="shared" si="4"/>
        <v>width:4m</v>
      </c>
      <c r="F287" s="428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428" t="e">
        <f>SUMIFS(#REF!,#REF!,C287,#REF!,$N$3)</f>
        <v>#REF!</v>
      </c>
      <c r="H287" s="428" t="e">
        <f>SUMIFS(#REF!,#REF!,C287,#REF!,$N$3,#REF!,"&gt;0")+SUMIFS(#REF!,#REF!,C287,#REF!,$N$3,#REF!,"&gt;0",#REF!,"&gt;0")</f>
        <v>#REF!</v>
      </c>
      <c r="I287" s="428" t="e">
        <f t="shared" si="5"/>
        <v>#REF!</v>
      </c>
      <c r="J287" s="606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428">
        <v>5</v>
      </c>
      <c r="C288" s="437" t="str">
        <f t="shared" si="3"/>
        <v/>
      </c>
      <c r="D288" s="438" t="s">
        <v>1672</v>
      </c>
      <c r="E288" s="662" t="str">
        <f t="shared" si="4"/>
        <v>width:4m</v>
      </c>
      <c r="F288" s="428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428" t="e">
        <f>SUMIFS(#REF!,#REF!,C288,#REF!,$N$3)</f>
        <v>#REF!</v>
      </c>
      <c r="H288" s="428" t="e">
        <f>SUMIFS(#REF!,#REF!,C288,#REF!,$N$3,#REF!,"&gt;0")+SUMIFS(#REF!,#REF!,C288,#REF!,$N$3,#REF!,"&gt;0",#REF!,"&gt;0")</f>
        <v>#REF!</v>
      </c>
      <c r="I288" s="428" t="e">
        <f t="shared" si="5"/>
        <v>#REF!</v>
      </c>
      <c r="J288" s="606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428">
        <v>5</v>
      </c>
      <c r="C289" s="437" t="str">
        <f t="shared" si="3"/>
        <v/>
      </c>
      <c r="D289" s="438" t="s">
        <v>1672</v>
      </c>
      <c r="E289" s="662" t="str">
        <f t="shared" si="4"/>
        <v>width:4m</v>
      </c>
      <c r="F289" s="428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428" t="e">
        <f>SUMIFS(#REF!,#REF!,C289,#REF!,$N$3)</f>
        <v>#REF!</v>
      </c>
      <c r="H289" s="428" t="e">
        <f>SUMIFS(#REF!,#REF!,C289,#REF!,$N$3,#REF!,"&gt;0")+SUMIFS(#REF!,#REF!,C289,#REF!,$N$3,#REF!,"&gt;0",#REF!,"&gt;0")</f>
        <v>#REF!</v>
      </c>
      <c r="I289" s="428" t="e">
        <f t="shared" si="5"/>
        <v>#REF!</v>
      </c>
      <c r="J289" s="606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428">
        <v>6</v>
      </c>
      <c r="C290" s="437" t="str">
        <f t="shared" si="3"/>
        <v/>
      </c>
      <c r="D290" s="438" t="s">
        <v>1672</v>
      </c>
      <c r="E290" s="662" t="str">
        <f t="shared" si="4"/>
        <v>width:4m</v>
      </c>
      <c r="F290" s="428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428" t="e">
        <f>SUMIFS(#REF!,#REF!,C290,#REF!,$N$3)</f>
        <v>#REF!</v>
      </c>
      <c r="H290" s="428" t="e">
        <f>SUMIFS(#REF!,#REF!,C290,#REF!,$N$3,#REF!,"&gt;0")+SUMIFS(#REF!,#REF!,C290,#REF!,$N$3,#REF!,"&gt;0",#REF!,"&gt;0")</f>
        <v>#REF!</v>
      </c>
      <c r="I290" s="428" t="e">
        <f t="shared" si="5"/>
        <v>#REF!</v>
      </c>
      <c r="J290" s="606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428">
        <v>7</v>
      </c>
      <c r="C291" s="437" t="str">
        <f t="shared" si="3"/>
        <v/>
      </c>
      <c r="D291" s="438" t="s">
        <v>1672</v>
      </c>
      <c r="E291" s="662" t="str">
        <f t="shared" si="4"/>
        <v>width:4m</v>
      </c>
      <c r="F291" s="428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428" t="e">
        <f>SUMIFS(#REF!,#REF!,C291,#REF!,$N$3)</f>
        <v>#REF!</v>
      </c>
      <c r="H291" s="428" t="e">
        <f>SUMIFS(#REF!,#REF!,C291,#REF!,$N$3,#REF!,"&gt;0")+SUMIFS(#REF!,#REF!,C291,#REF!,$N$3,#REF!,"&gt;0",#REF!,"&gt;0")</f>
        <v>#REF!</v>
      </c>
      <c r="I291" s="428" t="e">
        <f t="shared" si="5"/>
        <v>#REF!</v>
      </c>
      <c r="J291" s="606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428">
        <v>8</v>
      </c>
      <c r="C292" s="437" t="str">
        <f t="shared" si="3"/>
        <v/>
      </c>
      <c r="D292" s="438" t="s">
        <v>1672</v>
      </c>
      <c r="E292" s="662" t="str">
        <f t="shared" si="4"/>
        <v>width:4m</v>
      </c>
      <c r="F292" s="428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428" t="e">
        <f>SUMIFS(#REF!,#REF!,C292,#REF!,$N$3)</f>
        <v>#REF!</v>
      </c>
      <c r="H292" s="428" t="e">
        <f>SUMIFS(#REF!,#REF!,C292,#REF!,$N$3,#REF!,"&gt;0")+SUMIFS(#REF!,#REF!,C292,#REF!,$N$3,#REF!,"&gt;0",#REF!,"&gt;0")</f>
        <v>#REF!</v>
      </c>
      <c r="I292" s="428" t="e">
        <f t="shared" si="5"/>
        <v>#REF!</v>
      </c>
      <c r="J292" s="606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428">
        <v>9</v>
      </c>
      <c r="C293" s="437" t="str">
        <f t="shared" si="3"/>
        <v/>
      </c>
      <c r="D293" s="438" t="s">
        <v>1672</v>
      </c>
      <c r="E293" s="662" t="str">
        <f t="shared" si="4"/>
        <v>width:4m</v>
      </c>
      <c r="F293" s="428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428" t="e">
        <f>SUMIFS(#REF!,#REF!,C293,#REF!,$N$3)</f>
        <v>#REF!</v>
      </c>
      <c r="H293" s="428" t="e">
        <f>SUMIFS(#REF!,#REF!,C293,#REF!,$N$3,#REF!,"&gt;0")+SUMIFS(#REF!,#REF!,C293,#REF!,$N$3,#REF!,"&gt;0",#REF!,"&gt;0")</f>
        <v>#REF!</v>
      </c>
      <c r="I293" s="428" t="e">
        <f t="shared" si="5"/>
        <v>#REF!</v>
      </c>
      <c r="J293" s="606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428">
        <v>10</v>
      </c>
      <c r="C294" s="437" t="str">
        <f>IFERROR(IF(D294&lt;&gt;"",VLOOKUP(MID(D294,1,2),product_list,2,FALSE),""),"")</f>
        <v/>
      </c>
      <c r="D294" s="438" t="s">
        <v>1672</v>
      </c>
      <c r="E294" s="662" t="str">
        <f t="shared" si="4"/>
        <v>width:4m</v>
      </c>
      <c r="F294" s="428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428" t="e">
        <f>SUMIFS(#REF!,#REF!,C294,#REF!,$N$3)</f>
        <v>#REF!</v>
      </c>
      <c r="H294" s="428" t="e">
        <f>SUMIFS(#REF!,#REF!,C294,#REF!,$N$3,#REF!,"&gt;0")+SUMIFS(#REF!,#REF!,C294,#REF!,$N$3,#REF!,"&gt;0",#REF!,"&gt;0")</f>
        <v>#REF!</v>
      </c>
      <c r="I294" s="428" t="e">
        <f t="shared" si="5"/>
        <v>#REF!</v>
      </c>
      <c r="J294" s="606"/>
      <c r="K294" s="360"/>
      <c r="R294"/>
      <c r="S294"/>
      <c r="T294"/>
      <c r="U294"/>
      <c r="V294"/>
    </row>
    <row r="295" spans="2:22" s="13" customFormat="1" ht="25.5">
      <c r="B295" s="428">
        <v>11</v>
      </c>
      <c r="C295" s="437" t="str">
        <f>IFERROR(IF(D295&lt;&gt;"",VLOOKUP(MID(D295,1,2),product_list,2,FALSE),""),"")</f>
        <v/>
      </c>
      <c r="D295" s="438" t="s">
        <v>1672</v>
      </c>
      <c r="E295" s="662" t="str">
        <f t="shared" si="4"/>
        <v>width:4m</v>
      </c>
      <c r="F295" s="428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428" t="e">
        <f>SUMIFS(#REF!,#REF!,C295,#REF!,$N$3)</f>
        <v>#REF!</v>
      </c>
      <c r="H295" s="428" t="e">
        <f>SUMIFS(#REF!,#REF!,C295,#REF!,$N$3,#REF!,"&gt;0")+SUMIFS(#REF!,#REF!,C295,#REF!,$N$3,#REF!,"&gt;0",#REF!,"&gt;0")</f>
        <v>#REF!</v>
      </c>
      <c r="I295" s="428" t="e">
        <f t="shared" si="5"/>
        <v>#REF!</v>
      </c>
      <c r="J295" s="606"/>
      <c r="K295" s="360"/>
      <c r="R295"/>
      <c r="S295"/>
      <c r="T295"/>
      <c r="U295"/>
      <c r="V295"/>
    </row>
    <row r="296" spans="2:22" s="13" customFormat="1" ht="25.5">
      <c r="B296" s="428">
        <v>12</v>
      </c>
      <c r="C296" s="437" t="str">
        <f>IFERROR(IF(D296&lt;&gt;"",VLOOKUP(MID(D296,1,2),product_list,2,FALSE),""),"")</f>
        <v/>
      </c>
      <c r="D296" s="438" t="s">
        <v>1672</v>
      </c>
      <c r="E296" s="662" t="str">
        <f t="shared" si="4"/>
        <v>width:4m</v>
      </c>
      <c r="F296" s="428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428" t="e">
        <f>SUMIFS(#REF!,#REF!,C296,#REF!,$N$3)</f>
        <v>#REF!</v>
      </c>
      <c r="H296" s="428" t="e">
        <f>SUMIFS(#REF!,#REF!,C296,#REF!,$N$3,#REF!,"&gt;0")+SUMIFS(#REF!,#REF!,C296,#REF!,$N$3,#REF!,"&gt;0",#REF!,"&gt;0")</f>
        <v>#REF!</v>
      </c>
      <c r="I296" s="428" t="e">
        <f t="shared" si="5"/>
        <v>#REF!</v>
      </c>
      <c r="J296" s="606"/>
      <c r="K296" s="360"/>
      <c r="R296"/>
      <c r="S296"/>
      <c r="T296"/>
      <c r="U296"/>
      <c r="V296"/>
    </row>
    <row r="297" spans="2:22" s="13" customFormat="1">
      <c r="B297" s="206"/>
      <c r="C297" s="206"/>
      <c r="D297" s="206"/>
      <c r="E297" s="206"/>
      <c r="F297" s="143"/>
      <c r="G297" s="143"/>
      <c r="H297" s="143"/>
      <c r="I297" s="143"/>
      <c r="J297" s="606"/>
      <c r="K297" s="360"/>
      <c r="R297"/>
      <c r="S297"/>
      <c r="T297"/>
      <c r="U297"/>
      <c r="V297"/>
    </row>
    <row r="298" spans="2:22" s="13" customFormat="1">
      <c r="B298" s="206"/>
      <c r="C298" s="206"/>
      <c r="D298" s="206"/>
      <c r="E298" s="206"/>
      <c r="F298" s="143"/>
      <c r="G298" s="143"/>
      <c r="H298" s="143"/>
      <c r="I298" s="143"/>
      <c r="J298" s="606"/>
      <c r="K298" s="360"/>
      <c r="R298"/>
      <c r="S298"/>
      <c r="T298"/>
      <c r="U298"/>
      <c r="V298"/>
    </row>
    <row r="299" spans="2:22" s="13" customFormat="1">
      <c r="B299" s="206"/>
      <c r="C299" s="206"/>
      <c r="D299" s="206"/>
      <c r="E299" s="206"/>
      <c r="F299" s="143"/>
      <c r="G299" s="143"/>
      <c r="H299" s="143"/>
      <c r="I299" s="143"/>
      <c r="J299" s="606"/>
      <c r="K299" s="360"/>
      <c r="R299"/>
      <c r="S299"/>
      <c r="T299"/>
      <c r="U299"/>
      <c r="V299"/>
    </row>
    <row r="300" spans="2:22" s="13" customFormat="1">
      <c r="B300" s="206"/>
      <c r="C300" s="206"/>
      <c r="D300" s="206"/>
      <c r="E300" s="206"/>
      <c r="F300" s="143"/>
      <c r="G300" s="143"/>
      <c r="H300" s="143"/>
      <c r="I300" s="143"/>
      <c r="J300" s="606"/>
      <c r="K300" s="360"/>
      <c r="R300"/>
      <c r="S300"/>
      <c r="T300"/>
      <c r="U300"/>
      <c r="V300"/>
    </row>
    <row r="304" spans="2:22" ht="49.5" customHeight="1">
      <c r="B304" s="1801" t="str">
        <f>"របាយការណ៍ស្តុកឆ្នាំ2024-"&amp;$N$3</f>
        <v>របាយការណ៍ស្តុកឆ្នាំ2024-2026</v>
      </c>
      <c r="C304" s="1801"/>
      <c r="D304" s="1801"/>
      <c r="E304" s="1801"/>
      <c r="F304" s="1801"/>
      <c r="G304" s="1801"/>
      <c r="H304" s="1801"/>
      <c r="I304" s="1801"/>
    </row>
    <row r="305" spans="2:10" ht="29.25">
      <c r="B305" s="1798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798"/>
      <c r="D305" s="1798"/>
      <c r="E305" s="1798"/>
      <c r="F305" s="1798"/>
      <c r="G305" s="1798"/>
      <c r="H305" s="1798"/>
      <c r="I305" s="1798"/>
    </row>
    <row r="306" spans="2:10" ht="25.5">
      <c r="B306" s="439" t="s">
        <v>47</v>
      </c>
      <c r="C306" s="439" t="s">
        <v>109</v>
      </c>
      <c r="D306" s="439" t="s">
        <v>61</v>
      </c>
      <c r="E306" s="439" t="s">
        <v>62</v>
      </c>
      <c r="F306" s="439" t="str">
        <f>"ស្តុកចុងឆ្នាំ2023"</f>
        <v>ស្តុកចុងឆ្នាំ2023</v>
      </c>
      <c r="G306" s="439" t="s">
        <v>251</v>
      </c>
      <c r="H306" s="439" t="s">
        <v>252</v>
      </c>
      <c r="I306" s="439" t="s">
        <v>110</v>
      </c>
    </row>
    <row r="307" spans="2:10">
      <c r="B307" s="440" t="s">
        <v>10</v>
      </c>
      <c r="C307" s="440" t="s">
        <v>111</v>
      </c>
      <c r="D307" s="440" t="s">
        <v>75</v>
      </c>
      <c r="E307" s="440" t="s">
        <v>14</v>
      </c>
      <c r="F307" s="440" t="s">
        <v>112</v>
      </c>
      <c r="G307" s="440" t="s">
        <v>113</v>
      </c>
      <c r="H307" s="440" t="s">
        <v>215</v>
      </c>
      <c r="I307" s="440" t="s">
        <v>114</v>
      </c>
    </row>
    <row r="308" spans="2:10" ht="25.5">
      <c r="B308" s="428" t="str">
        <f>MID(D308,1,2)</f>
        <v>00</v>
      </c>
      <c r="C308" s="437" t="str">
        <f t="shared" ref="C308:C317" si="6">IFERROR(IF(D308&lt;&gt;"",VLOOKUP(MID(D308,1,2),product_list,2,FALSE),""),"")</f>
        <v/>
      </c>
      <c r="D308" s="438" t="s">
        <v>1672</v>
      </c>
      <c r="E308" s="662" t="str">
        <f t="shared" ref="E308:E320" si="7">IF(D308="","",MID(VLOOKUP(MID(D308,1,5)*1,product_list,11,FALSE),5,50))</f>
        <v>width:4m</v>
      </c>
      <c r="F308" s="428"/>
      <c r="G308" s="428" t="e">
        <f>SUMIFS(#REF!,#REF!,B308)</f>
        <v>#REF!</v>
      </c>
      <c r="H308" s="428" t="e">
        <f>SUMIFS(#REF!,#REF!,C308)</f>
        <v>#REF!</v>
      </c>
      <c r="I308" s="428" t="e">
        <f>IF(OR(C308="",N(G308)-N(H308)=0),"",N(G308)-N(H308))</f>
        <v>#REF!</v>
      </c>
      <c r="J308"/>
    </row>
    <row r="309" spans="2:10" ht="25.5">
      <c r="B309" s="428" t="str">
        <f t="shared" ref="B309:B320" si="8">MID(D309,1,2)</f>
        <v>00</v>
      </c>
      <c r="C309" s="437" t="str">
        <f>IFERROR(IF(D309&lt;&gt;"",VLOOKUP(MID(D309,1,2),product_list,2,FALSE),""),"")</f>
        <v/>
      </c>
      <c r="D309" s="438" t="s">
        <v>1672</v>
      </c>
      <c r="E309" s="662" t="str">
        <f t="shared" si="7"/>
        <v>width:4m</v>
      </c>
      <c r="F309" s="428"/>
      <c r="G309" s="428" t="e">
        <f>SUMIFS(#REF!,#REF!,B309)</f>
        <v>#REF!</v>
      </c>
      <c r="H309" s="428" t="e">
        <f>SUMIFS(#REF!,#REF!,C309)</f>
        <v>#REF!</v>
      </c>
      <c r="I309" s="428" t="e">
        <f t="shared" ref="I309:I317" si="9">IF(OR(C309="",N(G309)-N(H309)=0),"",N(G309)-N(H309))</f>
        <v>#REF!</v>
      </c>
      <c r="J309"/>
    </row>
    <row r="310" spans="2:10" ht="25.5">
      <c r="B310" s="428" t="str">
        <f t="shared" si="8"/>
        <v>00</v>
      </c>
      <c r="C310" s="437" t="str">
        <f t="shared" si="6"/>
        <v/>
      </c>
      <c r="D310" s="438" t="s">
        <v>1672</v>
      </c>
      <c r="E310" s="662" t="str">
        <f t="shared" si="7"/>
        <v>width:4m</v>
      </c>
      <c r="F310" s="428"/>
      <c r="G310" s="428" t="e">
        <f>SUMIFS(#REF!,#REF!,B310)</f>
        <v>#REF!</v>
      </c>
      <c r="H310" s="428" t="e">
        <f>SUMIFS(#REF!,#REF!,C310)</f>
        <v>#REF!</v>
      </c>
      <c r="I310" s="428" t="e">
        <f t="shared" si="9"/>
        <v>#REF!</v>
      </c>
      <c r="J310"/>
    </row>
    <row r="311" spans="2:10" ht="25.5">
      <c r="B311" s="428" t="str">
        <f t="shared" si="8"/>
        <v>00</v>
      </c>
      <c r="C311" s="437" t="str">
        <f t="shared" si="6"/>
        <v/>
      </c>
      <c r="D311" s="438" t="s">
        <v>1672</v>
      </c>
      <c r="E311" s="662" t="str">
        <f t="shared" si="7"/>
        <v>width:4m</v>
      </c>
      <c r="F311" s="428"/>
      <c r="G311" s="428" t="e">
        <f>SUMIFS(#REF!,#REF!,B311)</f>
        <v>#REF!</v>
      </c>
      <c r="H311" s="428" t="e">
        <f>SUMIFS(#REF!,#REF!,C311)</f>
        <v>#REF!</v>
      </c>
      <c r="I311" s="428" t="e">
        <f t="shared" si="9"/>
        <v>#REF!</v>
      </c>
      <c r="J311"/>
    </row>
    <row r="312" spans="2:10" ht="25.5">
      <c r="B312" s="428" t="str">
        <f t="shared" si="8"/>
        <v>00</v>
      </c>
      <c r="C312" s="437" t="str">
        <f t="shared" si="6"/>
        <v/>
      </c>
      <c r="D312" s="438" t="s">
        <v>1672</v>
      </c>
      <c r="E312" s="662" t="str">
        <f t="shared" si="7"/>
        <v>width:4m</v>
      </c>
      <c r="F312" s="428"/>
      <c r="G312" s="428" t="e">
        <f>SUMIFS(#REF!,#REF!,B312)</f>
        <v>#REF!</v>
      </c>
      <c r="H312" s="428" t="e">
        <f>SUMIFS(#REF!,#REF!,C312)</f>
        <v>#REF!</v>
      </c>
      <c r="I312" s="428" t="e">
        <f t="shared" si="9"/>
        <v>#REF!</v>
      </c>
      <c r="J312"/>
    </row>
    <row r="313" spans="2:10" ht="25.5">
      <c r="B313" s="428" t="str">
        <f t="shared" si="8"/>
        <v>00</v>
      </c>
      <c r="C313" s="437" t="str">
        <f t="shared" si="6"/>
        <v/>
      </c>
      <c r="D313" s="438" t="s">
        <v>1672</v>
      </c>
      <c r="E313" s="662" t="str">
        <f t="shared" si="7"/>
        <v>width:4m</v>
      </c>
      <c r="F313" s="428"/>
      <c r="G313" s="428" t="e">
        <f>SUMIFS(#REF!,#REF!,B313)</f>
        <v>#REF!</v>
      </c>
      <c r="H313" s="428" t="e">
        <f>SUMIFS(#REF!,#REF!,C313)</f>
        <v>#REF!</v>
      </c>
      <c r="I313" s="428" t="e">
        <f t="shared" si="9"/>
        <v>#REF!</v>
      </c>
      <c r="J313"/>
    </row>
    <row r="314" spans="2:10" ht="25.5">
      <c r="B314" s="428" t="str">
        <f t="shared" si="8"/>
        <v>00</v>
      </c>
      <c r="C314" s="437" t="str">
        <f t="shared" si="6"/>
        <v/>
      </c>
      <c r="D314" s="438" t="s">
        <v>1672</v>
      </c>
      <c r="E314" s="662" t="str">
        <f t="shared" si="7"/>
        <v>width:4m</v>
      </c>
      <c r="F314" s="428"/>
      <c r="G314" s="428" t="e">
        <f>SUMIFS(#REF!,#REF!,B314)</f>
        <v>#REF!</v>
      </c>
      <c r="H314" s="428" t="e">
        <f>SUMIFS(#REF!,#REF!,C314)</f>
        <v>#REF!</v>
      </c>
      <c r="I314" s="428" t="e">
        <f t="shared" si="9"/>
        <v>#REF!</v>
      </c>
      <c r="J314"/>
    </row>
    <row r="315" spans="2:10" ht="25.5">
      <c r="B315" s="428" t="str">
        <f t="shared" si="8"/>
        <v>00</v>
      </c>
      <c r="C315" s="437" t="str">
        <f t="shared" si="6"/>
        <v/>
      </c>
      <c r="D315" s="438" t="s">
        <v>1672</v>
      </c>
      <c r="E315" s="662" t="str">
        <f t="shared" si="7"/>
        <v>width:4m</v>
      </c>
      <c r="F315" s="428"/>
      <c r="G315" s="428" t="e">
        <f>SUMIFS(#REF!,#REF!,B315)</f>
        <v>#REF!</v>
      </c>
      <c r="H315" s="428" t="e">
        <f>SUMIFS(#REF!,#REF!,C315)</f>
        <v>#REF!</v>
      </c>
      <c r="I315" s="428" t="e">
        <f t="shared" si="9"/>
        <v>#REF!</v>
      </c>
      <c r="J315"/>
    </row>
    <row r="316" spans="2:10" ht="25.5">
      <c r="B316" s="428" t="str">
        <f t="shared" si="8"/>
        <v>00</v>
      </c>
      <c r="C316" s="437" t="str">
        <f t="shared" si="6"/>
        <v/>
      </c>
      <c r="D316" s="438" t="s">
        <v>1672</v>
      </c>
      <c r="E316" s="662" t="str">
        <f t="shared" si="7"/>
        <v>width:4m</v>
      </c>
      <c r="F316" s="428"/>
      <c r="G316" s="428" t="e">
        <f>SUMIFS(#REF!,#REF!,B316)</f>
        <v>#REF!</v>
      </c>
      <c r="H316" s="428" t="e">
        <f>SUMIFS(#REF!,#REF!,C316)</f>
        <v>#REF!</v>
      </c>
      <c r="I316" s="428" t="e">
        <f t="shared" si="9"/>
        <v>#REF!</v>
      </c>
      <c r="J316"/>
    </row>
    <row r="317" spans="2:10" ht="25.5">
      <c r="B317" s="428" t="str">
        <f t="shared" si="8"/>
        <v>00</v>
      </c>
      <c r="C317" s="437" t="str">
        <f t="shared" si="6"/>
        <v/>
      </c>
      <c r="D317" s="438" t="s">
        <v>1672</v>
      </c>
      <c r="E317" s="662" t="str">
        <f t="shared" si="7"/>
        <v>width:4m</v>
      </c>
      <c r="F317" s="428"/>
      <c r="G317" s="428" t="e">
        <f>SUMIFS(#REF!,#REF!,B317)</f>
        <v>#REF!</v>
      </c>
      <c r="H317" s="428" t="e">
        <f>SUMIFS(#REF!,#REF!,C317)</f>
        <v>#REF!</v>
      </c>
      <c r="I317" s="428" t="e">
        <f t="shared" si="9"/>
        <v>#REF!</v>
      </c>
      <c r="J317"/>
    </row>
    <row r="318" spans="2:10" ht="25.5">
      <c r="B318" s="428" t="str">
        <f t="shared" si="8"/>
        <v>00</v>
      </c>
      <c r="C318" s="437" t="str">
        <f>IFERROR(IF(D318&lt;&gt;"",VLOOKUP(MID(D318,1,2),product_list,2,FALSE),""),"")</f>
        <v/>
      </c>
      <c r="D318" s="438" t="s">
        <v>1672</v>
      </c>
      <c r="E318" s="662" t="str">
        <f t="shared" si="7"/>
        <v>width:4m</v>
      </c>
      <c r="F318" s="428"/>
      <c r="G318" s="428" t="e">
        <f>SUMIFS(#REF!,#REF!,B318)</f>
        <v>#REF!</v>
      </c>
      <c r="H318" s="428" t="e">
        <f>SUMIFS(#REF!,#REF!,C318)</f>
        <v>#REF!</v>
      </c>
      <c r="I318" s="428" t="e">
        <f>IF(OR(C318="",N(G318)-N(H318)=0),"",N(G318)-N(H318))</f>
        <v>#REF!</v>
      </c>
    </row>
    <row r="319" spans="2:10" ht="25.5">
      <c r="B319" s="428" t="str">
        <f t="shared" si="8"/>
        <v>00</v>
      </c>
      <c r="C319" s="437" t="str">
        <f>IFERROR(IF(D319&lt;&gt;"",VLOOKUP(MID(D319,1,2),product_list,2,FALSE),""),"")</f>
        <v/>
      </c>
      <c r="D319" s="438" t="s">
        <v>1672</v>
      </c>
      <c r="E319" s="662" t="str">
        <f t="shared" si="7"/>
        <v>width:4m</v>
      </c>
      <c r="F319" s="428"/>
      <c r="G319" s="428" t="e">
        <f>SUMIFS(#REF!,#REF!,B319)</f>
        <v>#REF!</v>
      </c>
      <c r="H319" s="428" t="e">
        <f>SUMIFS(#REF!,#REF!,C319)</f>
        <v>#REF!</v>
      </c>
      <c r="I319" s="428" t="e">
        <f>IF(OR(C319="",N(G319)-N(H319)=0),"",N(G319)-N(H319))</f>
        <v>#REF!</v>
      </c>
    </row>
    <row r="320" spans="2:10" ht="25.5">
      <c r="B320" s="428" t="str">
        <f t="shared" si="8"/>
        <v>00</v>
      </c>
      <c r="C320" s="437" t="str">
        <f>IFERROR(IF(D320&lt;&gt;"",VLOOKUP(MID(D320,1,2),product_list,2,FALSE),""),"")</f>
        <v/>
      </c>
      <c r="D320" s="438" t="s">
        <v>1672</v>
      </c>
      <c r="E320" s="662" t="str">
        <f t="shared" si="7"/>
        <v>width:4m</v>
      </c>
      <c r="F320" s="428"/>
      <c r="G320" s="428" t="e">
        <f>SUMIFS(#REF!,#REF!,B320)</f>
        <v>#REF!</v>
      </c>
      <c r="H320" s="428" t="e">
        <f>SUMIFS(#REF!,#REF!,C320)</f>
        <v>#REF!</v>
      </c>
      <c r="I320" s="428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pane xSplit="21" topLeftCell="Z1" activePane="topRight" state="frozen"/>
      <selection pane="topRight" activeCell="C9" sqref="C9 F9"/>
    </sheetView>
  </sheetViews>
  <sheetFormatPr defaultRowHeight="24.95" customHeight="1"/>
  <cols>
    <col min="1" max="1" width="1.5703125" style="1408" customWidth="1"/>
    <col min="2" max="2" width="2.5703125" style="1408" customWidth="1"/>
    <col min="3" max="3" width="32" style="1408" customWidth="1"/>
    <col min="4" max="4" width="8.7109375" style="1408" customWidth="1"/>
    <col min="5" max="5" width="30.28515625" style="1408" customWidth="1"/>
    <col min="6" max="6" width="3.42578125" style="1408" customWidth="1"/>
    <col min="7" max="7" width="2.5703125" style="1412" hidden="1" customWidth="1"/>
    <col min="8" max="8" width="3.28515625" style="1412" hidden="1" customWidth="1"/>
    <col min="9" max="9" width="2.5703125" style="1449" customWidth="1"/>
    <col min="10" max="10" width="8" style="1398" customWidth="1"/>
    <col min="11" max="11" width="15" style="1398" customWidth="1"/>
    <col min="12" max="12" width="46" style="1608" customWidth="1"/>
    <col min="13" max="17" width="20.7109375" style="1398" customWidth="1"/>
    <col min="18" max="18" width="17.42578125" style="1398" customWidth="1"/>
    <col min="19" max="19" width="17.42578125" style="1398" hidden="1" customWidth="1"/>
    <col min="20" max="20" width="20.7109375" style="1398" hidden="1" customWidth="1"/>
    <col min="21" max="21" width="17.140625" style="1398" customWidth="1"/>
    <col min="22" max="22" width="16.5703125" style="1680" customWidth="1"/>
    <col min="23" max="23" width="19.5703125" style="1680" customWidth="1"/>
    <col min="24" max="24" width="15.7109375" style="1424" customWidth="1"/>
    <col min="25" max="25" width="17.140625" style="1424" customWidth="1"/>
    <col min="26" max="26" width="16.85546875" style="1680" customWidth="1"/>
    <col min="27" max="27" width="21.28515625" style="1680" customWidth="1"/>
    <col min="28" max="28" width="15.140625" style="1680" customWidth="1"/>
    <col min="29" max="29" width="21.7109375" style="1680" customWidth="1"/>
    <col min="30" max="30" width="18.5703125" style="1680" customWidth="1"/>
    <col min="31" max="32" width="19.85546875" style="1681" hidden="1" customWidth="1"/>
    <col min="33" max="33" width="19.85546875" style="1423" hidden="1" customWidth="1"/>
    <col min="34" max="35" width="19.85546875" style="1424" hidden="1" customWidth="1"/>
    <col min="36" max="36" width="20.5703125" style="1423" hidden="1" customWidth="1"/>
    <col min="37" max="37" width="14.42578125" style="1423" hidden="1" customWidth="1"/>
    <col min="38" max="38" width="19.85546875" style="1423" hidden="1" customWidth="1"/>
    <col min="39" max="40" width="16.28515625" style="1423" hidden="1" customWidth="1"/>
    <col min="41" max="41" width="16.28515625" style="1681" hidden="1" customWidth="1"/>
    <col min="42" max="42" width="18" style="1681" bestFit="1" customWidth="1"/>
    <col min="43" max="43" width="15.7109375" style="1423" bestFit="1" customWidth="1"/>
    <col min="44" max="44" width="18" style="1398" bestFit="1" customWidth="1"/>
    <col min="45" max="45" width="17.42578125" style="1398" bestFit="1" customWidth="1"/>
    <col min="46" max="46" width="9.85546875" style="1408" customWidth="1"/>
    <col min="47" max="47" width="21" style="1408" customWidth="1"/>
    <col min="48" max="48" width="7.7109375" style="1408" customWidth="1"/>
    <col min="49" max="49" width="6.7109375" style="1408" customWidth="1"/>
    <col min="50" max="50" width="6.140625" style="1408" bestFit="1" customWidth="1"/>
    <col min="51" max="51" width="9.140625" style="1408" customWidth="1"/>
    <col min="52" max="52" width="2.7109375" style="1518" customWidth="1"/>
    <col min="53" max="53" width="9.7109375" style="1408" customWidth="1"/>
    <col min="54" max="54" width="2.7109375" style="1518" customWidth="1"/>
    <col min="55" max="55" width="11.85546875" style="1408" customWidth="1"/>
    <col min="56" max="56" width="2.7109375" style="1518" customWidth="1"/>
    <col min="57" max="57" width="16" style="1408" customWidth="1"/>
    <col min="58" max="58" width="2.85546875" style="1408" customWidth="1"/>
    <col min="59" max="59" width="5.140625" style="1408" customWidth="1"/>
    <col min="60" max="60" width="1.85546875" style="1408" customWidth="1"/>
    <col min="61" max="61" width="5.85546875" style="1408" customWidth="1"/>
    <col min="62" max="62" width="7.140625" style="1408" customWidth="1"/>
    <col min="63" max="63" width="1.42578125" style="1408" customWidth="1"/>
    <col min="64" max="64" width="9.85546875" style="1408" customWidth="1"/>
    <col min="65" max="65" width="21" style="1408" customWidth="1"/>
    <col min="66" max="66" width="7.7109375" style="1408" customWidth="1"/>
    <col min="67" max="68" width="6.7109375" style="1408" customWidth="1"/>
    <col min="69" max="69" width="9.28515625" style="1408" customWidth="1"/>
    <col min="70" max="70" width="2.7109375" style="1518" customWidth="1"/>
    <col min="71" max="71" width="9.7109375" style="1408" customWidth="1"/>
    <col min="72" max="72" width="2.7109375" style="1518" customWidth="1"/>
    <col min="73" max="73" width="11.85546875" style="1408" customWidth="1"/>
    <col min="74" max="74" width="2.7109375" style="1518" customWidth="1"/>
    <col min="75" max="75" width="16" style="1408" customWidth="1"/>
    <col min="76" max="76" width="1.7109375" style="1408" customWidth="1"/>
    <col min="77" max="77" width="9.140625" style="1408" customWidth="1"/>
    <col min="78" max="16384" width="9.140625" style="1408"/>
  </cols>
  <sheetData>
    <row r="1" spans="1:74" ht="8.25" customHeight="1">
      <c r="B1" s="1409"/>
      <c r="C1" s="1410"/>
      <c r="D1" s="1410"/>
      <c r="E1" s="1410"/>
      <c r="F1" s="1410"/>
    </row>
    <row r="2" spans="1:74" ht="36.75">
      <c r="B2" s="1682"/>
      <c r="C2" s="1683"/>
      <c r="D2" s="1683"/>
      <c r="E2" s="1683"/>
      <c r="F2" s="1684"/>
      <c r="G2" s="1425"/>
      <c r="H2" s="1425"/>
      <c r="I2" s="1501"/>
      <c r="J2" s="1522" t="s">
        <v>1892</v>
      </c>
      <c r="K2" s="1428"/>
      <c r="L2" s="1428"/>
      <c r="M2" s="1428"/>
      <c r="N2" s="1428"/>
      <c r="O2" s="1428"/>
      <c r="P2" s="1428"/>
      <c r="Q2" s="1428"/>
      <c r="R2" s="1428"/>
      <c r="S2" s="1428"/>
      <c r="T2" s="1428"/>
      <c r="U2" s="1428"/>
      <c r="V2" s="1685"/>
    </row>
    <row r="3" spans="1:74" ht="8.25" customHeight="1">
      <c r="B3" s="1686"/>
      <c r="C3" s="1432"/>
      <c r="D3" s="1432"/>
      <c r="E3" s="1432"/>
      <c r="F3" s="1687"/>
      <c r="G3" s="1433"/>
      <c r="H3" s="1433"/>
      <c r="I3" s="1502"/>
      <c r="J3" s="1435"/>
      <c r="K3" s="1435"/>
      <c r="L3" s="1428"/>
      <c r="M3" s="1435"/>
      <c r="N3" s="1435"/>
      <c r="O3" s="1435"/>
      <c r="P3" s="1435"/>
      <c r="Q3" s="1435"/>
      <c r="R3" s="1435"/>
      <c r="S3" s="1435"/>
      <c r="T3" s="1435"/>
      <c r="U3" s="1435"/>
    </row>
    <row r="4" spans="1:74" ht="35.1" customHeight="1">
      <c r="A4" s="1439"/>
      <c r="B4" s="1688"/>
      <c r="C4" s="1440"/>
      <c r="D4" s="1440"/>
      <c r="E4" s="1440"/>
      <c r="F4" s="1689"/>
      <c r="J4" s="1757"/>
      <c r="K4" s="1757"/>
      <c r="L4" s="1757"/>
      <c r="M4" s="1481"/>
      <c r="N4" s="1481"/>
      <c r="O4" s="1481"/>
      <c r="P4" s="1481"/>
      <c r="Q4" s="1481"/>
      <c r="R4" s="1445"/>
      <c r="S4" s="1481"/>
      <c r="T4" s="1481"/>
      <c r="U4" s="1481"/>
    </row>
    <row r="5" spans="1:74" s="1398" customFormat="1" ht="9" customHeight="1">
      <c r="A5" s="1446"/>
      <c r="B5" s="1690"/>
      <c r="C5" s="1447"/>
      <c r="D5" s="1447"/>
      <c r="E5" s="1447"/>
      <c r="F5" s="1691"/>
      <c r="G5" s="1448"/>
      <c r="H5" s="1448"/>
      <c r="I5" s="1449"/>
      <c r="L5" s="1608"/>
      <c r="V5" s="1424"/>
      <c r="W5" s="1424"/>
      <c r="X5" s="1424"/>
      <c r="Y5" s="1424"/>
      <c r="Z5" s="1424"/>
      <c r="AA5" s="1424"/>
      <c r="AB5" s="1424"/>
      <c r="AC5" s="1424"/>
      <c r="AD5" s="1424"/>
      <c r="AE5" s="1470"/>
      <c r="AF5" s="1470"/>
      <c r="AG5" s="1423"/>
      <c r="AH5" s="1424"/>
      <c r="AI5" s="1424"/>
      <c r="AJ5" s="1423"/>
      <c r="AK5" s="1423"/>
      <c r="AL5" s="1423"/>
      <c r="AM5" s="1423"/>
      <c r="AN5" s="1423"/>
      <c r="AO5" s="1470"/>
      <c r="AP5" s="1470"/>
      <c r="AQ5" s="1423"/>
      <c r="AZ5" s="1494"/>
      <c r="BB5" s="1494"/>
      <c r="BD5" s="1494"/>
      <c r="BR5" s="1494"/>
      <c r="BT5" s="1494"/>
      <c r="BV5" s="1494"/>
    </row>
    <row r="6" spans="1:74" s="1423" customFormat="1" ht="28.5" customHeight="1">
      <c r="A6" s="1453"/>
      <c r="B6" s="1692"/>
      <c r="C6" s="1512" t="s">
        <v>1927</v>
      </c>
      <c r="D6" s="2138">
        <v>1</v>
      </c>
      <c r="E6" s="1512" t="str">
        <f>IF(D6=1,"Issue",IF(D6=2,"Fullfilied",IF(D6=-1,"Edit","")))</f>
        <v>Issue</v>
      </c>
      <c r="F6" s="1693"/>
      <c r="G6" s="1454"/>
      <c r="H6" s="1454"/>
      <c r="I6" s="1455"/>
      <c r="J6" s="1535" t="s">
        <v>47</v>
      </c>
      <c r="K6" s="1535" t="s">
        <v>176</v>
      </c>
      <c r="L6" s="1535" t="s">
        <v>105</v>
      </c>
      <c r="M6" s="1535" t="s">
        <v>62</v>
      </c>
      <c r="N6" s="1535" t="s">
        <v>1753</v>
      </c>
      <c r="O6" s="1535" t="s">
        <v>1932</v>
      </c>
      <c r="P6" s="1535" t="s">
        <v>287</v>
      </c>
      <c r="Q6" s="1535" t="s">
        <v>267</v>
      </c>
      <c r="R6" s="1535" t="s">
        <v>2095</v>
      </c>
      <c r="S6" s="1535" t="s">
        <v>736</v>
      </c>
      <c r="T6" s="1535" t="s">
        <v>735</v>
      </c>
      <c r="U6" s="1535" t="s">
        <v>71</v>
      </c>
      <c r="V6" s="1535" t="s">
        <v>1612</v>
      </c>
      <c r="W6" s="1535" t="s">
        <v>1911</v>
      </c>
      <c r="X6" s="1535" t="s">
        <v>63</v>
      </c>
      <c r="Y6" s="1535" t="s">
        <v>63</v>
      </c>
      <c r="Z6" s="1535" t="s">
        <v>2100</v>
      </c>
      <c r="AA6" s="1535" t="s">
        <v>2101</v>
      </c>
      <c r="AB6" s="1535" t="s">
        <v>2098</v>
      </c>
      <c r="AC6" s="1535" t="s">
        <v>2099</v>
      </c>
      <c r="AD6" s="1535" t="s">
        <v>1988</v>
      </c>
      <c r="AE6" s="1542" t="s">
        <v>1914</v>
      </c>
      <c r="AF6" s="1542" t="s">
        <v>1915</v>
      </c>
      <c r="AG6" s="1542" t="s">
        <v>1916</v>
      </c>
      <c r="AH6" s="1542" t="s">
        <v>1917</v>
      </c>
      <c r="AI6" s="1542" t="s">
        <v>1919</v>
      </c>
      <c r="AJ6" s="1542"/>
      <c r="AK6" s="1542"/>
      <c r="AL6" s="1542"/>
      <c r="AM6" s="1542"/>
      <c r="AN6" s="1542"/>
      <c r="AO6" s="1542"/>
      <c r="AP6" s="1470"/>
      <c r="AZ6" s="1543"/>
      <c r="BB6" s="1543"/>
      <c r="BD6" s="1543"/>
      <c r="BR6" s="1543"/>
      <c r="BT6" s="1543"/>
      <c r="BV6" s="1543"/>
    </row>
    <row r="7" spans="1:74" ht="19.5" customHeight="1">
      <c r="A7" s="1439"/>
      <c r="B7" s="1694"/>
      <c r="C7" s="1456"/>
      <c r="D7" s="1456"/>
      <c r="E7" s="1456"/>
      <c r="F7" s="1695"/>
      <c r="G7" s="1457"/>
      <c r="I7" s="1449" t="s">
        <v>1929</v>
      </c>
      <c r="J7" s="1751" t="s">
        <v>9</v>
      </c>
      <c r="K7" s="1751" t="s">
        <v>2096</v>
      </c>
      <c r="L7" s="1751" t="s">
        <v>103</v>
      </c>
      <c r="M7" s="1751" t="s">
        <v>1626</v>
      </c>
      <c r="N7" s="1751" t="s">
        <v>2097</v>
      </c>
      <c r="O7" s="1751" t="s">
        <v>1931</v>
      </c>
      <c r="P7" s="1751" t="s">
        <v>288</v>
      </c>
      <c r="Q7" s="1751" t="s">
        <v>271</v>
      </c>
      <c r="R7" s="1751" t="s">
        <v>2011</v>
      </c>
      <c r="S7" s="1751" t="s">
        <v>2069</v>
      </c>
      <c r="T7" s="1751" t="s">
        <v>473</v>
      </c>
      <c r="U7" s="1751" t="s">
        <v>87</v>
      </c>
      <c r="V7" s="1751" t="s">
        <v>303</v>
      </c>
      <c r="W7" s="1751" t="s">
        <v>1920</v>
      </c>
      <c r="X7" s="1751" t="s">
        <v>2062</v>
      </c>
      <c r="Y7" s="1751" t="s">
        <v>1938</v>
      </c>
      <c r="Z7" s="1751" t="s">
        <v>737</v>
      </c>
      <c r="AA7" s="1751" t="s">
        <v>738</v>
      </c>
      <c r="AB7" s="1751" t="s">
        <v>2093</v>
      </c>
      <c r="AC7" s="1751" t="s">
        <v>2061</v>
      </c>
      <c r="AD7" s="1751" t="s">
        <v>2094</v>
      </c>
      <c r="AE7" s="1554" t="s">
        <v>1626</v>
      </c>
      <c r="AF7" s="1554" t="s">
        <v>1921</v>
      </c>
      <c r="AG7" s="1554" t="s">
        <v>1922</v>
      </c>
      <c r="AH7" s="1554" t="s">
        <v>1923</v>
      </c>
      <c r="AI7" s="1554" t="s">
        <v>1918</v>
      </c>
      <c r="AJ7" s="1554" t="s">
        <v>2102</v>
      </c>
      <c r="AK7" s="1554" t="s">
        <v>1923</v>
      </c>
      <c r="AL7" s="1554" t="s">
        <v>737</v>
      </c>
      <c r="AM7" s="1554" t="s">
        <v>2058</v>
      </c>
      <c r="AN7" s="1554" t="s">
        <v>2285</v>
      </c>
      <c r="AO7" s="1554" t="s">
        <v>2284</v>
      </c>
      <c r="AP7" s="1696"/>
      <c r="AR7" s="1696"/>
      <c r="AS7" s="1696"/>
      <c r="AT7" s="1696"/>
    </row>
    <row r="8" spans="1:74" ht="27" customHeight="1" thickBot="1">
      <c r="A8" s="1439"/>
      <c r="B8" s="1697"/>
      <c r="C8" s="1698" t="s">
        <v>1925</v>
      </c>
      <c r="D8" s="1698"/>
      <c r="E8" s="1699" t="s">
        <v>1680</v>
      </c>
      <c r="F8" s="2154">
        <f>COUNTIFS([1]InvAdjData!$L$8:$L$10000,"&gt;0")</f>
        <v>3</v>
      </c>
      <c r="G8" s="1461"/>
      <c r="H8" s="1461"/>
      <c r="I8" s="2139" t="str">
        <f>IF(L8="","",MID(L8,1,5)*1)</f>
        <v/>
      </c>
      <c r="J8" s="2155" t="str">
        <f>IF(L8="","",1)</f>
        <v/>
      </c>
      <c r="K8" s="2156" t="str">
        <f t="shared" ref="K8:K39" si="0">IF(L8="","",VLOOKUP(I8,product_list,4,FALSE))</f>
        <v/>
      </c>
      <c r="L8" s="1700"/>
      <c r="M8" s="1701"/>
      <c r="N8" s="1702"/>
      <c r="O8" s="1702"/>
      <c r="P8" s="2157" t="str">
        <f>IF(AND(adj_type&lt;&gt;"",L8&lt;&gt;"",M8&lt;&gt;""),IF(adj_type=1,O8*W8/V8,O8*W8/V8-Q8),"")</f>
        <v/>
      </c>
      <c r="Q8" s="2157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703"/>
      <c r="S8" s="1702"/>
      <c r="T8" s="1702"/>
      <c r="U8" s="1700"/>
      <c r="V8" s="2155" t="str" cm="1">
        <f t="array" ref="V8">IF(L8="","",IF(M8=AE8,1,Slookup(MID(AE8,1,3)*1,UomConversion!$D$8:$J$500,5,UomConversion!$E$8:$E$500,MID(M8,1,3)*1,UomConversion!$J$8:$J$500,1)))</f>
        <v/>
      </c>
      <c r="W8" s="2155" t="str">
        <f t="shared" ref="W8" si="1">IF(AND(L8="",ISNA(VLOOKUP(I8,product_list,18,FALSE))),"",VLOOKUP(I8,product_list,18,FALSE))</f>
        <v/>
      </c>
      <c r="X8" s="2158" t="str">
        <f>IF(L8="","",IF(M8=AE8,Y8,IF(M8=AF8,ROUND(Y8/V8,2),IF(M8=AG8,ROUND(Y8/W8,2)))))</f>
        <v/>
      </c>
      <c r="Y8" s="2158" t="str">
        <f t="shared" ref="Y8" si="2">IF(L8="","",VLOOKUP(I8,product_list,14,FALSE))</f>
        <v/>
      </c>
      <c r="Z8" s="2155" t="str">
        <f>IF(I8="","",IF(ISNA(MATCH(I8,IF(MID(N8,1,3)*1=1,'[1]1_inventory_totals'!$C$8:$C$10000,IF(MID(N8,1,3)*1=2,'[1]2_inventory_totals'!$C$8:$C$10000,"")),0)),0,IF(AL8&gt;0,1,0)))</f>
        <v/>
      </c>
      <c r="AA8" s="2155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155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155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155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2159" t="str">
        <f t="shared" ref="AE8" si="3">IF(L8="","",VLOOKUP(I8,product_list,8,FALSE))</f>
        <v/>
      </c>
      <c r="AF8" s="2160" t="str">
        <f>IF(ISNA(MATCH(MID(AE8,1,3)*1,UomConversion!$D$8:$D$500,0)),"",IF(AJ8&lt;&gt;"",AJ8,""))</f>
        <v/>
      </c>
      <c r="AG8" s="2160" t="str">
        <f>IF(AND(AH8&gt;0,COUNTIFS(UomConversion!$D$8:$D$500,MID(AE8,1,3)*1,UomConversion!$J$8:$J$500,1)&gt;1),TEXT(AH8,"000")&amp;"."&amp;VLOOKUP(AH8,uom_list,5,FALSE),"")</f>
        <v/>
      </c>
      <c r="AH8" s="2155" t="str">
        <f>IF(AND(L8&lt;&gt;"",AK8&gt;0),AK8,"")</f>
        <v/>
      </c>
      <c r="AI8" s="2155" t="str">
        <f>IF(L8="","",IF(V8&gt;0,W8/V8,""))</f>
        <v/>
      </c>
      <c r="AJ8" s="2155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155" t="str" cm="1">
        <f t="array" ref="AK8">IF(L8="","",Slookup(MID(AE8,1,3)*1,UomConversion!$D$8:$J$500,2,UomConversion!$I$8:$I$500,1,UomConversion!$J$8:$J$500,1))</f>
        <v/>
      </c>
      <c r="AL8" s="2155" t="str">
        <f>IF(L8="","",IF(MID(N8,1,3)*1 = 1,AN8, IF(MID(N8,1,3)*1 = 2,AO8,0)))</f>
        <v/>
      </c>
      <c r="AM8" s="2155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155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155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</row>
    <row r="9" spans="1:74" ht="27" customHeight="1" thickBot="1">
      <c r="A9" s="1439"/>
      <c r="B9" s="1694"/>
      <c r="C9" s="1752">
        <v>46216</v>
      </c>
      <c r="D9" s="2134">
        <f>IFERROR(IF(adj_date="","",IF(AND(DAY(adj_date)&gt;0,DAY(adj_date)&lt;8),1,IF(AND(DAY(adj_date)&gt;7,DAY(adj_date)&lt;15),2,IF(AND(DAY(adj_date)&gt;14,DAY(adj_date)&lt;22),3,IF(AND(DAY(adj_date)&gt;21,DAY(adj_date)&lt;32),4,""))))),"")</f>
        <v>2</v>
      </c>
      <c r="E9" s="2148" t="str">
        <f>"KSADJ"&amp;RIGHT(YEAR(C9),2)&amp;"-"&amp;TEXT(adj_no,"0000")</f>
        <v>KSADJ26-0004</v>
      </c>
      <c r="F9" s="2150">
        <f>COUNTIFS([1]InvAdjData!$L$8:$L$10000,"&gt;0")+1</f>
        <v>4</v>
      </c>
      <c r="G9" s="1457"/>
      <c r="I9" s="2139" t="str">
        <f t="shared" ref="I9:I72" si="5">IF(L9="","",MID(L9,1,5)*1)</f>
        <v/>
      </c>
      <c r="J9" s="2155" t="str">
        <f t="shared" ref="J9:J24" si="6">IF(L9="","",J8+1)</f>
        <v/>
      </c>
      <c r="K9" s="2156" t="str">
        <f t="shared" si="0"/>
        <v/>
      </c>
      <c r="L9" s="1700"/>
      <c r="M9" s="1701"/>
      <c r="N9" s="1702"/>
      <c r="O9" s="1702"/>
      <c r="P9" s="2157" t="str">
        <f t="shared" ref="P9:P39" si="7">IF(AND(adj_type&lt;&gt;"",L9&lt;&gt;"",M9&lt;&gt;""),IF(adj_type=1,O9*W9/V9,O9*W9/V9-Q9),"")</f>
        <v/>
      </c>
      <c r="Q9" s="2157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703"/>
      <c r="S9" s="1702"/>
      <c r="T9" s="1702"/>
      <c r="U9" s="1700"/>
      <c r="V9" s="2155" t="str" cm="1">
        <f t="array" ref="V9">IF(L9="","",IF(M9=AE9,1,Slookup(MID(AE9,1,3)*1,UomConversion!$D$8:$J$500,5,UomConversion!$E$8:$E$500,MID(M9,1,3)*1,UomConversion!$J$8:$J$500,1)))</f>
        <v/>
      </c>
      <c r="W9" s="2155" t="str">
        <f t="shared" ref="W9:W72" si="8">IF(AND(L9="",ISNA(VLOOKUP(I9,product_list,18,FALSE))),"",VLOOKUP(I9,product_list,18,FALSE))</f>
        <v/>
      </c>
      <c r="X9" s="2158" t="str">
        <f t="shared" ref="X9:X72" si="9">IF(L9="","",IF(M9=AE9,Y9,IF(M9=AF9,ROUND(Y9/V9,2),IF(M9=AG9,ROUND(Y9/W9,2)))))</f>
        <v/>
      </c>
      <c r="Y9" s="2158" t="str">
        <f t="shared" ref="Y9:Y72" si="10">IF(L9="","",VLOOKUP(I9,product_list,14,FALSE))</f>
        <v/>
      </c>
      <c r="Z9" s="2155" t="str">
        <f>IF(I9="","",IF(ISNA(MATCH(I9,IF(MID(N9,1,3)*1=1,'[1]1_inventory_totals'!$C$8:$C$10000,IF(MID(N9,1,3)*1=2,'[1]2_inventory_totals'!$C$8:$C$10000,"")),0)),0,IF(AL9&gt;0,1,0)))</f>
        <v/>
      </c>
      <c r="AA9" s="2155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155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155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155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2159" t="str">
        <f t="shared" ref="AE9:AE72" si="11">IF(L9="","",VLOOKUP(I9,product_list,8,FALSE))</f>
        <v/>
      </c>
      <c r="AF9" s="2160" t="str">
        <f>IF(ISNA(MATCH(MID(AE9,1,3)*1,UomConversion!$D$8:$D$500,0)),"",IF(AJ9&lt;&gt;"",AJ9,""))</f>
        <v/>
      </c>
      <c r="AG9" s="2160" t="str">
        <f>IF(AND(AH9&gt;0,COUNTIFS(UomConversion!$D$8:$D$500,MID(AE9,1,3)*1,UomConversion!$J$8:$J$500,1)&gt;1),TEXT(AH9,"000")&amp;"."&amp;VLOOKUP(AH9,uom_list,5,FALSE),"")</f>
        <v/>
      </c>
      <c r="AH9" s="2155" t="str">
        <f t="shared" ref="AH9:AH72" si="12">IF(AND(L9&lt;&gt;"",AK9&gt;0),AK9,"")</f>
        <v/>
      </c>
      <c r="AI9" s="2155" t="str">
        <f t="shared" ref="AI9:AI72" si="13">IF(L9="","",IF(V9&gt;0,W9/V9,""))</f>
        <v/>
      </c>
      <c r="AJ9" s="2155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155" t="str" cm="1">
        <f t="array" ref="AK9">IF(L9="","",Slookup(MID(AE9,1,3)*1,UomConversion!$D$8:$J$500,2,UomConversion!$I$8:$I$500,1,UomConversion!$J$8:$J$500,1))</f>
        <v/>
      </c>
      <c r="AL9" s="2155" t="str">
        <f t="shared" ref="AL9:AL72" si="15">IF(L9="","",IF(MID(N9,1,3)*1 = 1,AN9, IF(MID(N9,1,3)*1 = 2,AO9,0)))</f>
        <v/>
      </c>
      <c r="AM9" s="2155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155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155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1470"/>
    </row>
    <row r="10" spans="1:74" ht="27" customHeight="1" thickBot="1">
      <c r="A10" s="1439"/>
      <c r="B10" s="1694"/>
      <c r="C10" s="1704" t="s">
        <v>2072</v>
      </c>
      <c r="E10" s="1704" t="s">
        <v>1928</v>
      </c>
      <c r="F10" s="1705"/>
      <c r="I10" s="2139" t="str">
        <f t="shared" si="5"/>
        <v/>
      </c>
      <c r="J10" s="2155" t="str">
        <f t="shared" si="6"/>
        <v/>
      </c>
      <c r="K10" s="2156" t="str">
        <f t="shared" si="0"/>
        <v/>
      </c>
      <c r="L10" s="1700"/>
      <c r="M10" s="1701"/>
      <c r="N10" s="1702"/>
      <c r="O10" s="1702"/>
      <c r="P10" s="2157" t="str">
        <f>IF(AND(adj_type&lt;&gt;"",L10&lt;&gt;"",M10&lt;&gt;""),IF(adj_type=1,O10*W10/V10,O10*W10/V10-Q10),"")</f>
        <v/>
      </c>
      <c r="Q10" s="2157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703"/>
      <c r="S10" s="1702"/>
      <c r="T10" s="1702"/>
      <c r="U10" s="1700"/>
      <c r="V10" s="2155" t="str" cm="1">
        <f t="array" ref="V10">IF(L10="","",IF(M10=AE10,1,Slookup(MID(AE10,1,3)*1,UomConversion!$D$8:$J$500,5,UomConversion!$E$8:$E$500,MID(M10,1,3)*1,UomConversion!$J$8:$J$500,1)))</f>
        <v/>
      </c>
      <c r="W10" s="2155" t="str">
        <f t="shared" si="8"/>
        <v/>
      </c>
      <c r="X10" s="2158" t="str">
        <f t="shared" si="9"/>
        <v/>
      </c>
      <c r="Y10" s="2158" t="str">
        <f t="shared" si="10"/>
        <v/>
      </c>
      <c r="Z10" s="2155" t="str">
        <f>IF(I10="","",IF(ISNA(MATCH(I10,IF(MID(N10,1,3)*1=1,'[1]1_inventory_totals'!$C$8:$C$10000,IF(MID(N10,1,3)*1=2,'[1]2_inventory_totals'!$C$8:$C$10000,"")),0)),0,IF(AL10&gt;0,1,0)))</f>
        <v/>
      </c>
      <c r="AA10" s="2155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155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155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155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2159" t="str">
        <f t="shared" si="11"/>
        <v/>
      </c>
      <c r="AF10" s="2160" t="str">
        <f>IF(ISNA(MATCH(MID(AE10,1,3)*1,UomConversion!$D$8:$D$500,0)),"",IF(AJ10&lt;&gt;"",AJ10,""))</f>
        <v/>
      </c>
      <c r="AG10" s="2160" t="str">
        <f>IF(AND(AH10&gt;0,COUNTIFS(UomConversion!$D$8:$D$500,MID(AE10,1,3)*1,UomConversion!$J$8:$J$500,1)&gt;1),TEXT(AH10,"000")&amp;"."&amp;VLOOKUP(AH10,uom_list,5,FALSE),"")</f>
        <v/>
      </c>
      <c r="AH10" s="2155" t="str">
        <f t="shared" si="12"/>
        <v/>
      </c>
      <c r="AI10" s="2155" t="str">
        <f t="shared" si="13"/>
        <v/>
      </c>
      <c r="AJ10" s="2155" t="str">
        <f t="shared" si="14"/>
        <v/>
      </c>
      <c r="AK10" s="2155" t="str" cm="1">
        <f t="array" ref="AK10">IF(L10="","",Slookup(MID(AE10,1,3)*1,UomConversion!$D$8:$J$500,2,UomConversion!$I$8:$I$500,1,UomConversion!$J$8:$J$500,1))</f>
        <v/>
      </c>
      <c r="AL10" s="2155" t="str">
        <f t="shared" si="15"/>
        <v/>
      </c>
      <c r="AM10" s="2155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155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155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1470"/>
    </row>
    <row r="11" spans="1:74" ht="27" customHeight="1" thickBot="1">
      <c r="A11" s="1439"/>
      <c r="B11" s="1694"/>
      <c r="C11" s="1754" t="s">
        <v>2741</v>
      </c>
      <c r="D11" s="2149">
        <f>MID(C11,1,3)*1</f>
        <v>1</v>
      </c>
      <c r="E11" s="1753"/>
      <c r="F11" s="1706"/>
      <c r="G11" s="1457"/>
      <c r="I11" s="2139" t="str">
        <f t="shared" si="5"/>
        <v/>
      </c>
      <c r="J11" s="2155" t="str">
        <f t="shared" si="6"/>
        <v/>
      </c>
      <c r="K11" s="2156" t="str">
        <f t="shared" si="0"/>
        <v/>
      </c>
      <c r="L11" s="1700"/>
      <c r="M11" s="1701"/>
      <c r="N11" s="1702"/>
      <c r="O11" s="1702"/>
      <c r="P11" s="2157" t="str">
        <f t="shared" si="7"/>
        <v/>
      </c>
      <c r="Q11" s="2157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703"/>
      <c r="S11" s="1702"/>
      <c r="T11" s="1702"/>
      <c r="U11" s="1700"/>
      <c r="V11" s="2155" t="str" cm="1">
        <f t="array" ref="V11">IF(L11="","",IF(M11=AE11,1,Slookup(MID(AE11,1,3)*1,UomConversion!$D$8:$J$500,5,UomConversion!$E$8:$E$500,MID(M11,1,3)*1,UomConversion!$J$8:$J$500,1)))</f>
        <v/>
      </c>
      <c r="W11" s="2155" t="str">
        <f t="shared" si="8"/>
        <v/>
      </c>
      <c r="X11" s="2158" t="str">
        <f t="shared" si="9"/>
        <v/>
      </c>
      <c r="Y11" s="2158" t="str">
        <f t="shared" si="10"/>
        <v/>
      </c>
      <c r="Z11" s="2155" t="str">
        <f>IF(I11="","",IF(ISNA(MATCH(I11,IF(MID(N11,1,3)*1=1,'[1]1_inventory_totals'!$C$8:$C$10000,IF(MID(N11,1,3)*1=2,'[1]2_inventory_totals'!$C$8:$C$10000,"")),0)),0,IF(AL11&gt;0,1,0)))</f>
        <v/>
      </c>
      <c r="AA11" s="2155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155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155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155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2159" t="str">
        <f t="shared" si="11"/>
        <v/>
      </c>
      <c r="AF11" s="2160" t="str">
        <f>IF(ISNA(MATCH(MID(AE11,1,3)*1,UomConversion!$D$8:$D$500,0)),"",IF(AJ11&lt;&gt;"",AJ11,""))</f>
        <v/>
      </c>
      <c r="AG11" s="2160" t="str">
        <f>IF(AND(AH11&gt;0,COUNTIFS(UomConversion!$D$8:$D$500,MID(AE11,1,3)*1,UomConversion!$J$8:$J$500,1)&gt;1),TEXT(AH11,"000")&amp;"."&amp;VLOOKUP(AH11,uom_list,5,FALSE),"")</f>
        <v/>
      </c>
      <c r="AH11" s="2155" t="str">
        <f t="shared" si="12"/>
        <v/>
      </c>
      <c r="AI11" s="2155" t="str">
        <f t="shared" si="13"/>
        <v/>
      </c>
      <c r="AJ11" s="2155" t="str">
        <f t="shared" si="14"/>
        <v/>
      </c>
      <c r="AK11" s="2155" t="str" cm="1">
        <f t="array" ref="AK11">IF(L11="","",Slookup(MID(AE11,1,3)*1,UomConversion!$D$8:$J$500,2,UomConversion!$I$8:$I$500,1,UomConversion!$J$8:$J$500,1))</f>
        <v/>
      </c>
      <c r="AL11" s="2155" t="str">
        <f t="shared" si="15"/>
        <v/>
      </c>
      <c r="AM11" s="2155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155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155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1470"/>
    </row>
    <row r="12" spans="1:74" ht="27" customHeight="1" thickBot="1">
      <c r="A12" s="1439"/>
      <c r="B12" s="1694"/>
      <c r="C12" s="1704" t="s">
        <v>1631</v>
      </c>
      <c r="D12" s="1707"/>
      <c r="E12" s="2151" t="str">
        <f>IF(OR(ISNA(MATCH(adj_ref_invoice,[1]InvAdjData!$J$8:$J$10000,0)),adj_type=2),"not exist","exist")</f>
        <v>not exist</v>
      </c>
      <c r="F12" s="1708"/>
      <c r="G12" s="1457"/>
      <c r="I12" s="2139" t="str">
        <f t="shared" si="5"/>
        <v/>
      </c>
      <c r="J12" s="2155" t="str">
        <f t="shared" si="6"/>
        <v/>
      </c>
      <c r="K12" s="2156" t="str">
        <f t="shared" si="0"/>
        <v/>
      </c>
      <c r="L12" s="1700"/>
      <c r="M12" s="1701"/>
      <c r="N12" s="1702"/>
      <c r="O12" s="1702"/>
      <c r="P12" s="2157" t="str">
        <f t="shared" si="7"/>
        <v/>
      </c>
      <c r="Q12" s="2157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703"/>
      <c r="S12" s="1702"/>
      <c r="T12" s="1702"/>
      <c r="U12" s="1700"/>
      <c r="V12" s="2155" t="str" cm="1">
        <f t="array" ref="V12">IF(L12="","",IF(M12=AE12,1,Slookup(MID(AE12,1,3)*1,UomConversion!$D$8:$J$500,5,UomConversion!$E$8:$E$500,MID(M12,1,3)*1,UomConversion!$J$8:$J$500,1)))</f>
        <v/>
      </c>
      <c r="W12" s="2155" t="str">
        <f t="shared" si="8"/>
        <v/>
      </c>
      <c r="X12" s="2158" t="str">
        <f t="shared" si="9"/>
        <v/>
      </c>
      <c r="Y12" s="2158" t="str">
        <f t="shared" si="10"/>
        <v/>
      </c>
      <c r="Z12" s="2155" t="str">
        <f>IF(I12="","",IF(ISNA(MATCH(I12,IF(MID(N12,1,3)*1=1,'[1]1_inventory_totals'!$C$8:$C$10000,IF(MID(N12,1,3)*1=2,'[1]2_inventory_totals'!$C$8:$C$10000,"")),0)),0,IF(AL12&gt;0,1,0)))</f>
        <v/>
      </c>
      <c r="AA12" s="2155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155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155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155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2159" t="str">
        <f t="shared" si="11"/>
        <v/>
      </c>
      <c r="AF12" s="2160" t="str">
        <f>IF(ISNA(MATCH(MID(AE12,1,3)*1,UomConversion!$D$8:$D$500,0)),"",IF(AJ12&lt;&gt;"",AJ12,""))</f>
        <v/>
      </c>
      <c r="AG12" s="2160" t="str">
        <f>IF(AND(AH12&gt;0,COUNTIFS(UomConversion!$D$8:$D$500,MID(AE12,1,3)*1,UomConversion!$J$8:$J$500,1)&gt;1),TEXT(AH12,"000")&amp;"."&amp;VLOOKUP(AH12,uom_list,5,FALSE),"")</f>
        <v/>
      </c>
      <c r="AH12" s="2155" t="str">
        <f t="shared" si="12"/>
        <v/>
      </c>
      <c r="AI12" s="2155" t="str">
        <f t="shared" si="13"/>
        <v/>
      </c>
      <c r="AJ12" s="2155" t="str">
        <f t="shared" si="14"/>
        <v/>
      </c>
      <c r="AK12" s="2155" t="str" cm="1">
        <f t="array" ref="AK12">IF(L12="","",Slookup(MID(AE12,1,3)*1,UomConversion!$D$8:$J$500,2,UomConversion!$I$8:$I$500,1,UomConversion!$J$8:$J$500,1))</f>
        <v/>
      </c>
      <c r="AL12" s="2155" t="str">
        <f t="shared" si="15"/>
        <v/>
      </c>
      <c r="AM12" s="2155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155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155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1470"/>
    </row>
    <row r="13" spans="1:74" ht="27" customHeight="1" thickBot="1">
      <c r="A13" s="1439"/>
      <c r="B13" s="1694"/>
      <c r="C13" s="1822" t="s">
        <v>1960</v>
      </c>
      <c r="D13" s="1823"/>
      <c r="E13" s="1824"/>
      <c r="F13" s="2150">
        <f>MID(C13,1,2)*1</f>
        <v>1</v>
      </c>
      <c r="G13" s="1457"/>
      <c r="I13" s="2139" t="str">
        <f t="shared" si="5"/>
        <v/>
      </c>
      <c r="J13" s="2155" t="str">
        <f t="shared" si="6"/>
        <v/>
      </c>
      <c r="K13" s="2156" t="str">
        <f t="shared" si="0"/>
        <v/>
      </c>
      <c r="L13" s="1700"/>
      <c r="M13" s="1701"/>
      <c r="N13" s="1702"/>
      <c r="O13" s="1702"/>
      <c r="P13" s="2157" t="str">
        <f t="shared" si="7"/>
        <v/>
      </c>
      <c r="Q13" s="2157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703"/>
      <c r="S13" s="1702"/>
      <c r="T13" s="1702"/>
      <c r="U13" s="1700"/>
      <c r="V13" s="2155" t="str" cm="1">
        <f t="array" ref="V13">IF(L13="","",IF(M13=AE13,1,Slookup(MID(AE13,1,3)*1,UomConversion!$D$8:$J$500,5,UomConversion!$E$8:$E$500,MID(M13,1,3)*1,UomConversion!$J$8:$J$500,1)))</f>
        <v/>
      </c>
      <c r="W13" s="2155" t="str">
        <f t="shared" si="8"/>
        <v/>
      </c>
      <c r="X13" s="2158" t="str">
        <f t="shared" si="9"/>
        <v/>
      </c>
      <c r="Y13" s="2158" t="str">
        <f t="shared" si="10"/>
        <v/>
      </c>
      <c r="Z13" s="2155" t="str">
        <f>IF(I13="","",IF(ISNA(MATCH(I13,IF(MID(N13,1,3)*1=1,'[1]1_inventory_totals'!$C$8:$C$10000,IF(MID(N13,1,3)*1=2,'[1]2_inventory_totals'!$C$8:$C$10000,"")),0)),0,IF(AL13&gt;0,1,0)))</f>
        <v/>
      </c>
      <c r="AA13" s="2155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155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155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155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2159" t="str">
        <f t="shared" si="11"/>
        <v/>
      </c>
      <c r="AF13" s="2160" t="str">
        <f>IF(ISNA(MATCH(MID(AE13,1,3)*1,UomConversion!$D$8:$D$500,0)),"",IF(AJ13&lt;&gt;"",AJ13,""))</f>
        <v/>
      </c>
      <c r="AG13" s="2160" t="str">
        <f>IF(AND(AH13&gt;0,COUNTIFS(UomConversion!$D$8:$D$500,MID(AE13,1,3)*1,UomConversion!$J$8:$J$500,1)&gt;1),TEXT(AH13,"000")&amp;"."&amp;VLOOKUP(AH13,uom_list,5,FALSE),"")</f>
        <v/>
      </c>
      <c r="AH13" s="2155" t="str">
        <f t="shared" si="12"/>
        <v/>
      </c>
      <c r="AI13" s="2155" t="str">
        <f t="shared" si="13"/>
        <v/>
      </c>
      <c r="AJ13" s="2155" t="str">
        <f t="shared" si="14"/>
        <v/>
      </c>
      <c r="AK13" s="2155" t="str" cm="1">
        <f t="array" ref="AK13">IF(L13="","",Slookup(MID(AE13,1,3)*1,UomConversion!$D$8:$J$500,2,UomConversion!$I$8:$I$500,1,UomConversion!$J$8:$J$500,1))</f>
        <v/>
      </c>
      <c r="AL13" s="2155" t="str">
        <f t="shared" si="15"/>
        <v/>
      </c>
      <c r="AM13" s="2155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155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155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1470"/>
    </row>
    <row r="14" spans="1:74" ht="27" customHeight="1" thickBot="1">
      <c r="A14" s="1439"/>
      <c r="B14" s="1688"/>
      <c r="C14" s="1704" t="s">
        <v>1926</v>
      </c>
      <c r="D14" s="1707"/>
      <c r="F14" s="1708"/>
      <c r="I14" s="2139" t="str">
        <f t="shared" si="5"/>
        <v/>
      </c>
      <c r="J14" s="2155" t="str">
        <f t="shared" si="6"/>
        <v/>
      </c>
      <c r="K14" s="2156" t="str">
        <f t="shared" si="0"/>
        <v/>
      </c>
      <c r="L14" s="1700"/>
      <c r="M14" s="1701"/>
      <c r="N14" s="1702"/>
      <c r="O14" s="1702"/>
      <c r="P14" s="2157" t="str">
        <f t="shared" si="7"/>
        <v/>
      </c>
      <c r="Q14" s="2157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703"/>
      <c r="S14" s="1702"/>
      <c r="T14" s="1702"/>
      <c r="U14" s="1700"/>
      <c r="V14" s="2155" t="str" cm="1">
        <f t="array" ref="V14">IF(L14="","",IF(M14=AE14,1,Slookup(MID(AE14,1,3)*1,UomConversion!$D$8:$J$500,5,UomConversion!$E$8:$E$500,MID(M14,1,3)*1,UomConversion!$J$8:$J$500,1)))</f>
        <v/>
      </c>
      <c r="W14" s="2155" t="str">
        <f t="shared" si="8"/>
        <v/>
      </c>
      <c r="X14" s="2158" t="str">
        <f t="shared" si="9"/>
        <v/>
      </c>
      <c r="Y14" s="2158" t="str">
        <f t="shared" si="10"/>
        <v/>
      </c>
      <c r="Z14" s="2155" t="str">
        <f>IF(I14="","",IF(ISNA(MATCH(I14,IF(MID(N14,1,3)*1=1,'[1]1_inventory_totals'!$C$8:$C$10000,IF(MID(N14,1,3)*1=2,'[1]2_inventory_totals'!$C$8:$C$10000,"")),0)),0,IF(AL14&gt;0,1,0)))</f>
        <v/>
      </c>
      <c r="AA14" s="2155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155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155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155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2159" t="str">
        <f t="shared" si="11"/>
        <v/>
      </c>
      <c r="AF14" s="2160" t="str">
        <f>IF(ISNA(MATCH(MID(AE14,1,3)*1,UomConversion!$D$8:$D$500,0)),"",IF(AJ14&lt;&gt;"",AJ14,""))</f>
        <v/>
      </c>
      <c r="AG14" s="2160" t="str">
        <f>IF(AND(AH14&gt;0,COUNTIFS(UomConversion!$D$8:$D$500,MID(AE14,1,3)*1,UomConversion!$J$8:$J$500,1)&gt;1),TEXT(AH14,"000")&amp;"."&amp;VLOOKUP(AH14,uom_list,5,FALSE),"")</f>
        <v/>
      </c>
      <c r="AH14" s="2155" t="str">
        <f t="shared" si="12"/>
        <v/>
      </c>
      <c r="AI14" s="2155" t="str">
        <f t="shared" si="13"/>
        <v/>
      </c>
      <c r="AJ14" s="2155" t="str">
        <f t="shared" si="14"/>
        <v/>
      </c>
      <c r="AK14" s="2155" t="str" cm="1">
        <f t="array" ref="AK14">IF(L14="","",Slookup(MID(AE14,1,3)*1,UomConversion!$D$8:$J$500,2,UomConversion!$I$8:$I$500,1,UomConversion!$J$8:$J$500,1))</f>
        <v/>
      </c>
      <c r="AL14" s="2155" t="str">
        <f t="shared" si="15"/>
        <v/>
      </c>
      <c r="AM14" s="2155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155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155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1470"/>
    </row>
    <row r="15" spans="1:74" ht="27" customHeight="1" thickBot="1">
      <c r="A15" s="1439"/>
      <c r="B15" s="1694"/>
      <c r="C15" s="1822" t="s">
        <v>3463</v>
      </c>
      <c r="D15" s="1823"/>
      <c r="E15" s="1824"/>
      <c r="F15" s="2150">
        <f>MID(adj_stock_creator,1,3)*1</f>
        <v>1</v>
      </c>
      <c r="G15" s="1457"/>
      <c r="I15" s="2139" t="str">
        <f t="shared" si="5"/>
        <v/>
      </c>
      <c r="J15" s="2155" t="str">
        <f t="shared" si="6"/>
        <v/>
      </c>
      <c r="K15" s="2156" t="str">
        <f t="shared" si="0"/>
        <v/>
      </c>
      <c r="L15" s="1700"/>
      <c r="M15" s="1701"/>
      <c r="N15" s="1702"/>
      <c r="O15" s="1702"/>
      <c r="P15" s="2157" t="str">
        <f t="shared" si="7"/>
        <v/>
      </c>
      <c r="Q15" s="2157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703"/>
      <c r="S15" s="1702"/>
      <c r="T15" s="1702"/>
      <c r="U15" s="1700"/>
      <c r="V15" s="2155" t="str" cm="1">
        <f t="array" ref="V15">IF(L15="","",IF(M15=AE15,1,Slookup(MID(AE15,1,3)*1,UomConversion!$D$8:$J$500,5,UomConversion!$E$8:$E$500,MID(M15,1,3)*1,UomConversion!$J$8:$J$500,1)))</f>
        <v/>
      </c>
      <c r="W15" s="2155" t="str">
        <f t="shared" si="8"/>
        <v/>
      </c>
      <c r="X15" s="2158" t="str">
        <f t="shared" si="9"/>
        <v/>
      </c>
      <c r="Y15" s="2158" t="str">
        <f t="shared" si="10"/>
        <v/>
      </c>
      <c r="Z15" s="2155" t="str">
        <f>IF(I15="","",IF(ISNA(MATCH(I15,IF(MID(N15,1,3)*1=1,'[1]1_inventory_totals'!$C$8:$C$10000,IF(MID(N15,1,3)*1=2,'[1]2_inventory_totals'!$C$8:$C$10000,"")),0)),0,IF(AL15&gt;0,1,0)))</f>
        <v/>
      </c>
      <c r="AA15" s="2155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155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155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155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2159" t="str">
        <f t="shared" si="11"/>
        <v/>
      </c>
      <c r="AF15" s="2160" t="str">
        <f>IF(ISNA(MATCH(MID(AE15,1,3)*1,UomConversion!$D$8:$D$500,0)),"",IF(AJ15&lt;&gt;"",AJ15,""))</f>
        <v/>
      </c>
      <c r="AG15" s="2160" t="str">
        <f>IF(AND(AH15&gt;0,COUNTIFS(UomConversion!$D$8:$D$500,MID(AE15,1,3)*1,UomConversion!$J$8:$J$500,1)&gt;1),TEXT(AH15,"000")&amp;"."&amp;VLOOKUP(AH15,uom_list,5,FALSE),"")</f>
        <v/>
      </c>
      <c r="AH15" s="2155" t="str">
        <f t="shared" si="12"/>
        <v/>
      </c>
      <c r="AI15" s="2155" t="str">
        <f t="shared" si="13"/>
        <v/>
      </c>
      <c r="AJ15" s="2155" t="str">
        <f t="shared" si="14"/>
        <v/>
      </c>
      <c r="AK15" s="2155" t="str" cm="1">
        <f t="array" ref="AK15">IF(L15="","",Slookup(MID(AE15,1,3)*1,UomConversion!$D$8:$J$500,2,UomConversion!$I$8:$I$500,1,UomConversion!$J$8:$J$500,1))</f>
        <v/>
      </c>
      <c r="AL15" s="2155" t="str">
        <f t="shared" si="15"/>
        <v/>
      </c>
      <c r="AM15" s="2155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155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155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1470"/>
    </row>
    <row r="16" spans="1:74" ht="27" customHeight="1" thickBot="1">
      <c r="A16" s="1439"/>
      <c r="B16" s="1688"/>
      <c r="C16" s="1704" t="s">
        <v>2104</v>
      </c>
      <c r="D16" s="1709"/>
      <c r="F16" s="1708"/>
      <c r="I16" s="2139" t="str">
        <f t="shared" si="5"/>
        <v/>
      </c>
      <c r="J16" s="2155" t="str">
        <f t="shared" si="6"/>
        <v/>
      </c>
      <c r="K16" s="2156" t="str">
        <f t="shared" si="0"/>
        <v/>
      </c>
      <c r="L16" s="1700"/>
      <c r="M16" s="1701"/>
      <c r="N16" s="1702"/>
      <c r="O16" s="1702"/>
      <c r="P16" s="2157" t="str">
        <f t="shared" si="7"/>
        <v/>
      </c>
      <c r="Q16" s="2157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703"/>
      <c r="S16" s="1702"/>
      <c r="T16" s="1702"/>
      <c r="U16" s="1700"/>
      <c r="V16" s="2155" t="str" cm="1">
        <f t="array" ref="V16">IF(L16="","",IF(M16=AE16,1,Slookup(MID(AE16,1,3)*1,UomConversion!$D$8:$J$500,5,UomConversion!$E$8:$E$500,MID(M16,1,3)*1,UomConversion!$J$8:$J$500,1)))</f>
        <v/>
      </c>
      <c r="W16" s="2155" t="str">
        <f t="shared" si="8"/>
        <v/>
      </c>
      <c r="X16" s="2158" t="str">
        <f t="shared" si="9"/>
        <v/>
      </c>
      <c r="Y16" s="2158" t="str">
        <f t="shared" si="10"/>
        <v/>
      </c>
      <c r="Z16" s="2155" t="str">
        <f>IF(I16="","",IF(ISNA(MATCH(I16,IF(MID(N16,1,3)*1=1,'[1]1_inventory_totals'!$C$8:$C$10000,IF(MID(N16,1,3)*1=2,'[1]2_inventory_totals'!$C$8:$C$10000,"")),0)),0,IF(AL16&gt;0,1,0)))</f>
        <v/>
      </c>
      <c r="AA16" s="2155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155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155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155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2159" t="str">
        <f t="shared" si="11"/>
        <v/>
      </c>
      <c r="AF16" s="2160" t="str">
        <f>IF(ISNA(MATCH(MID(AE16,1,3)*1,UomConversion!$D$8:$D$500,0)),"",IF(AJ16&lt;&gt;"",AJ16,""))</f>
        <v/>
      </c>
      <c r="AG16" s="2160" t="str">
        <f>IF(AND(AH16&gt;0,COUNTIFS(UomConversion!$D$8:$D$500,MID(AE16,1,3)*1,UomConversion!$J$8:$J$500,1)&gt;1),TEXT(AH16,"000")&amp;"."&amp;VLOOKUP(AH16,uom_list,5,FALSE),"")</f>
        <v/>
      </c>
      <c r="AH16" s="2155" t="str">
        <f t="shared" si="12"/>
        <v/>
      </c>
      <c r="AI16" s="2155" t="str">
        <f t="shared" si="13"/>
        <v/>
      </c>
      <c r="AJ16" s="2155" t="str">
        <f t="shared" si="14"/>
        <v/>
      </c>
      <c r="AK16" s="2155" t="str" cm="1">
        <f t="array" ref="AK16">IF(L16="","",Slookup(MID(AE16,1,3)*1,UomConversion!$D$8:$J$500,2,UomConversion!$I$8:$I$500,1,UomConversion!$J$8:$J$500,1))</f>
        <v/>
      </c>
      <c r="AL16" s="2155" t="str">
        <f t="shared" si="15"/>
        <v/>
      </c>
      <c r="AM16" s="2155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155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155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1470"/>
    </row>
    <row r="17" spans="1:42" ht="27" customHeight="1" thickBot="1">
      <c r="A17" s="1439"/>
      <c r="B17" s="1694"/>
      <c r="C17" s="1825" t="s">
        <v>3631</v>
      </c>
      <c r="D17" s="1826"/>
      <c r="E17" s="1827"/>
      <c r="F17" s="2150">
        <f>MID(C17,1,1)*1</f>
        <v>2</v>
      </c>
      <c r="G17" s="1457"/>
      <c r="I17" s="2139" t="str">
        <f t="shared" si="5"/>
        <v/>
      </c>
      <c r="J17" s="2155" t="str">
        <f t="shared" si="6"/>
        <v/>
      </c>
      <c r="K17" s="2156" t="str">
        <f t="shared" si="0"/>
        <v/>
      </c>
      <c r="L17" s="1700"/>
      <c r="M17" s="1701"/>
      <c r="N17" s="1702"/>
      <c r="O17" s="1702"/>
      <c r="P17" s="2157" t="str">
        <f t="shared" si="7"/>
        <v/>
      </c>
      <c r="Q17" s="2157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703"/>
      <c r="S17" s="1702"/>
      <c r="T17" s="1702"/>
      <c r="U17" s="1700"/>
      <c r="V17" s="2155" t="str" cm="1">
        <f t="array" ref="V17">IF(L17="","",IF(M17=AE17,1,Slookup(MID(AE17,1,3)*1,UomConversion!$D$8:$J$500,5,UomConversion!$E$8:$E$500,MID(M17,1,3)*1,UomConversion!$J$8:$J$500,1)))</f>
        <v/>
      </c>
      <c r="W17" s="2155" t="str">
        <f t="shared" si="8"/>
        <v/>
      </c>
      <c r="X17" s="2158" t="str">
        <f t="shared" si="9"/>
        <v/>
      </c>
      <c r="Y17" s="2158" t="str">
        <f t="shared" si="10"/>
        <v/>
      </c>
      <c r="Z17" s="2155" t="str">
        <f>IF(I17="","",IF(ISNA(MATCH(I17,IF(MID(N17,1,3)*1=1,'[1]1_inventory_totals'!$C$8:$C$10000,IF(MID(N17,1,3)*1=2,'[1]2_inventory_totals'!$C$8:$C$10000,"")),0)),0,IF(AL17&gt;0,1,0)))</f>
        <v/>
      </c>
      <c r="AA17" s="2155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155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155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155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2159" t="str">
        <f t="shared" si="11"/>
        <v/>
      </c>
      <c r="AF17" s="2160" t="str">
        <f>IF(ISNA(MATCH(MID(AE17,1,3)*1,UomConversion!$D$8:$D$500,0)),"",IF(AJ17&lt;&gt;"",AJ17,""))</f>
        <v/>
      </c>
      <c r="AG17" s="2160" t="str">
        <f>IF(AND(AH17&gt;0,COUNTIFS(UomConversion!$D$8:$D$500,MID(AE17,1,3)*1,UomConversion!$J$8:$J$500,1)&gt;1),TEXT(AH17,"000")&amp;"."&amp;VLOOKUP(AH17,uom_list,5,FALSE),"")</f>
        <v/>
      </c>
      <c r="AH17" s="2155" t="str">
        <f t="shared" si="12"/>
        <v/>
      </c>
      <c r="AI17" s="2155" t="str">
        <f t="shared" si="13"/>
        <v/>
      </c>
      <c r="AJ17" s="2155" t="str">
        <f t="shared" si="14"/>
        <v/>
      </c>
      <c r="AK17" s="2155" t="str" cm="1">
        <f t="array" ref="AK17">IF(L17="","",Slookup(MID(AE17,1,3)*1,UomConversion!$D$8:$J$500,2,UomConversion!$I$8:$I$500,1,UomConversion!$J$8:$J$500,1))</f>
        <v/>
      </c>
      <c r="AL17" s="2155" t="str">
        <f t="shared" si="15"/>
        <v/>
      </c>
      <c r="AM17" s="2155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155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155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1470"/>
    </row>
    <row r="18" spans="1:42" ht="27" customHeight="1" thickBot="1">
      <c r="A18" s="1439"/>
      <c r="B18" s="1694"/>
      <c r="C18" s="1704" t="s">
        <v>1886</v>
      </c>
      <c r="D18" s="1710"/>
      <c r="E18" s="1440"/>
      <c r="F18" s="1711"/>
      <c r="G18" s="1457"/>
      <c r="I18" s="2139" t="str">
        <f t="shared" si="5"/>
        <v/>
      </c>
      <c r="J18" s="2155" t="str">
        <f t="shared" si="6"/>
        <v/>
      </c>
      <c r="K18" s="2156" t="str">
        <f t="shared" si="0"/>
        <v/>
      </c>
      <c r="L18" s="1700"/>
      <c r="M18" s="1701"/>
      <c r="N18" s="1702"/>
      <c r="O18" s="1702"/>
      <c r="P18" s="2157" t="str">
        <f t="shared" si="7"/>
        <v/>
      </c>
      <c r="Q18" s="2157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703"/>
      <c r="S18" s="1702"/>
      <c r="T18" s="1702"/>
      <c r="U18" s="1700"/>
      <c r="V18" s="2155" t="str" cm="1">
        <f t="array" ref="V18">IF(L18="","",IF(M18=AE18,1,Slookup(MID(AE18,1,3)*1,UomConversion!$D$8:$J$500,5,UomConversion!$E$8:$E$500,MID(M18,1,3)*1,UomConversion!$J$8:$J$500,1)))</f>
        <v/>
      </c>
      <c r="W18" s="2155" t="str">
        <f t="shared" si="8"/>
        <v/>
      </c>
      <c r="X18" s="2158" t="str">
        <f t="shared" si="9"/>
        <v/>
      </c>
      <c r="Y18" s="2158" t="str">
        <f t="shared" si="10"/>
        <v/>
      </c>
      <c r="Z18" s="2155" t="str">
        <f>IF(I18="","",IF(ISNA(MATCH(I18,IF(MID(N18,1,3)*1=1,'[1]1_inventory_totals'!$C$8:$C$10000,IF(MID(N18,1,3)*1=2,'[1]2_inventory_totals'!$C$8:$C$10000,"")),0)),0,IF(AL18&gt;0,1,0)))</f>
        <v/>
      </c>
      <c r="AA18" s="2155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155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155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155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2159" t="str">
        <f t="shared" si="11"/>
        <v/>
      </c>
      <c r="AF18" s="2160" t="str">
        <f>IF(ISNA(MATCH(MID(AE18,1,3)*1,UomConversion!$D$8:$D$500,0)),"",IF(AJ18&lt;&gt;"",AJ18,""))</f>
        <v/>
      </c>
      <c r="AG18" s="2160" t="str">
        <f>IF(AND(AH18&gt;0,COUNTIFS(UomConversion!$D$8:$D$500,MID(AE18,1,3)*1,UomConversion!$J$8:$J$500,1)&gt;1),TEXT(AH18,"000")&amp;"."&amp;VLOOKUP(AH18,uom_list,5,FALSE),"")</f>
        <v/>
      </c>
      <c r="AH18" s="2155" t="str">
        <f t="shared" si="12"/>
        <v/>
      </c>
      <c r="AI18" s="2155" t="str">
        <f t="shared" si="13"/>
        <v/>
      </c>
      <c r="AJ18" s="2155" t="str">
        <f t="shared" si="14"/>
        <v/>
      </c>
      <c r="AK18" s="2155" t="str" cm="1">
        <f t="array" ref="AK18">IF(L18="","",Slookup(MID(AE18,1,3)*1,UomConversion!$D$8:$J$500,2,UomConversion!$I$8:$I$500,1,UomConversion!$J$8:$J$500,1))</f>
        <v/>
      </c>
      <c r="AL18" s="2155" t="str">
        <f t="shared" si="15"/>
        <v/>
      </c>
      <c r="AM18" s="2155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155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155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1470"/>
    </row>
    <row r="19" spans="1:42" ht="27" customHeight="1" thickBot="1">
      <c r="A19" s="1439"/>
      <c r="B19" s="1694"/>
      <c r="C19" s="1828" t="s">
        <v>1937</v>
      </c>
      <c r="D19" s="1829"/>
      <c r="E19" s="1756" t="str">
        <f>VLOOKUP(adj_chart_account_id,chart_account_list,6,FALSE)</f>
        <v>Equity</v>
      </c>
      <c r="F19" s="2152">
        <f>VLOOKUP(MID(C19,1,3)*1,chart_account_default_list,5,FALSE)</f>
        <v>9</v>
      </c>
      <c r="G19" s="1457"/>
      <c r="I19" s="2139" t="str">
        <f t="shared" si="5"/>
        <v/>
      </c>
      <c r="J19" s="2155" t="str">
        <f t="shared" si="6"/>
        <v/>
      </c>
      <c r="K19" s="2156" t="str">
        <f t="shared" si="0"/>
        <v/>
      </c>
      <c r="L19" s="1700"/>
      <c r="M19" s="1701"/>
      <c r="N19" s="1702"/>
      <c r="O19" s="1702"/>
      <c r="P19" s="2157" t="str">
        <f t="shared" si="7"/>
        <v/>
      </c>
      <c r="Q19" s="2157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703"/>
      <c r="S19" s="1702"/>
      <c r="T19" s="1702"/>
      <c r="U19" s="1700"/>
      <c r="V19" s="2155" t="str" cm="1">
        <f t="array" ref="V19">IF(L19="","",IF(M19=AE19,1,Slookup(MID(AE19,1,3)*1,UomConversion!$D$8:$J$500,5,UomConversion!$E$8:$E$500,MID(M19,1,3)*1,UomConversion!$J$8:$J$500,1)))</f>
        <v/>
      </c>
      <c r="W19" s="2155" t="str">
        <f t="shared" si="8"/>
        <v/>
      </c>
      <c r="X19" s="2158" t="str">
        <f t="shared" si="9"/>
        <v/>
      </c>
      <c r="Y19" s="2158" t="str">
        <f t="shared" si="10"/>
        <v/>
      </c>
      <c r="Z19" s="2155" t="str">
        <f>IF(I19="","",IF(ISNA(MATCH(I19,IF(MID(N19,1,3)*1=1,'[1]1_inventory_totals'!$C$8:$C$10000,IF(MID(N19,1,3)*1=2,'[1]2_inventory_totals'!$C$8:$C$10000,"")),0)),0,IF(AL19&gt;0,1,0)))</f>
        <v/>
      </c>
      <c r="AA19" s="2155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155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155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155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2159" t="str">
        <f t="shared" si="11"/>
        <v/>
      </c>
      <c r="AF19" s="2160" t="str">
        <f>IF(ISNA(MATCH(MID(AE19,1,3)*1,UomConversion!$D$8:$D$500,0)),"",IF(AJ19&lt;&gt;"",AJ19,""))</f>
        <v/>
      </c>
      <c r="AG19" s="2160" t="str">
        <f>IF(AND(AH19&gt;0,COUNTIFS(UomConversion!$D$8:$D$500,MID(AE19,1,3)*1,UomConversion!$J$8:$J$500,1)&gt;1),TEXT(AH19,"000")&amp;"."&amp;VLOOKUP(AH19,uom_list,5,FALSE),"")</f>
        <v/>
      </c>
      <c r="AH19" s="2155" t="str">
        <f t="shared" si="12"/>
        <v/>
      </c>
      <c r="AI19" s="2155" t="str">
        <f t="shared" si="13"/>
        <v/>
      </c>
      <c r="AJ19" s="2155" t="str">
        <f t="shared" si="14"/>
        <v/>
      </c>
      <c r="AK19" s="2155" t="str" cm="1">
        <f t="array" ref="AK19">IF(L19="","",Slookup(MID(AE19,1,3)*1,UomConversion!$D$8:$J$500,2,UomConversion!$I$8:$I$500,1,UomConversion!$J$8:$J$500,1))</f>
        <v/>
      </c>
      <c r="AL19" s="2155" t="str">
        <f t="shared" si="15"/>
        <v/>
      </c>
      <c r="AM19" s="2155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155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155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1470"/>
    </row>
    <row r="20" spans="1:42" ht="27" customHeight="1">
      <c r="A20" s="1439"/>
      <c r="B20" s="1688"/>
      <c r="E20" s="1712"/>
      <c r="F20" s="1713"/>
      <c r="I20" s="2139" t="str">
        <f t="shared" si="5"/>
        <v/>
      </c>
      <c r="J20" s="2155" t="str">
        <f t="shared" si="6"/>
        <v/>
      </c>
      <c r="K20" s="2156" t="str">
        <f t="shared" si="0"/>
        <v/>
      </c>
      <c r="L20" s="1700"/>
      <c r="M20" s="1701"/>
      <c r="N20" s="1702"/>
      <c r="O20" s="1702"/>
      <c r="P20" s="2157" t="str">
        <f t="shared" si="7"/>
        <v/>
      </c>
      <c r="Q20" s="2157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703"/>
      <c r="S20" s="1702"/>
      <c r="T20" s="1702"/>
      <c r="U20" s="1700"/>
      <c r="V20" s="2155" t="str" cm="1">
        <f t="array" ref="V20">IF(L20="","",IF(M20=AE20,1,Slookup(MID(AE20,1,3)*1,UomConversion!$D$8:$J$500,5,UomConversion!$E$8:$E$500,MID(M20,1,3)*1,UomConversion!$J$8:$J$500,1)))</f>
        <v/>
      </c>
      <c r="W20" s="2155" t="str">
        <f t="shared" si="8"/>
        <v/>
      </c>
      <c r="X20" s="2158" t="str">
        <f t="shared" si="9"/>
        <v/>
      </c>
      <c r="Y20" s="2158" t="str">
        <f t="shared" si="10"/>
        <v/>
      </c>
      <c r="Z20" s="2155" t="str">
        <f>IF(I20="","",IF(ISNA(MATCH(I20,IF(MID(N20,1,3)*1=1,'[1]1_inventory_totals'!$C$8:$C$10000,IF(MID(N20,1,3)*1=2,'[1]2_inventory_totals'!$C$8:$C$10000,"")),0)),0,IF(AL20&gt;0,1,0)))</f>
        <v/>
      </c>
      <c r="AA20" s="2155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155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155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155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2159" t="str">
        <f t="shared" si="11"/>
        <v/>
      </c>
      <c r="AF20" s="2160" t="str">
        <f>IF(ISNA(MATCH(MID(AE20,1,3)*1,UomConversion!$D$8:$D$500,0)),"",IF(AJ20&lt;&gt;"",AJ20,""))</f>
        <v/>
      </c>
      <c r="AG20" s="2160" t="str">
        <f>IF(AND(AH20&gt;0,COUNTIFS(UomConversion!$D$8:$D$500,MID(AE20,1,3)*1,UomConversion!$J$8:$J$500,1)&gt;1),TEXT(AH20,"000")&amp;"."&amp;VLOOKUP(AH20,uom_list,5,FALSE),"")</f>
        <v/>
      </c>
      <c r="AH20" s="2155" t="str">
        <f t="shared" si="12"/>
        <v/>
      </c>
      <c r="AI20" s="2155" t="str">
        <f t="shared" si="13"/>
        <v/>
      </c>
      <c r="AJ20" s="2155" t="str">
        <f t="shared" si="14"/>
        <v/>
      </c>
      <c r="AK20" s="2155" t="str" cm="1">
        <f t="array" ref="AK20">IF(L20="","",Slookup(MID(AE20,1,3)*1,UomConversion!$D$8:$J$500,2,UomConversion!$I$8:$I$500,1,UomConversion!$J$8:$J$500,1))</f>
        <v/>
      </c>
      <c r="AL20" s="2155" t="str">
        <f t="shared" si="15"/>
        <v/>
      </c>
      <c r="AM20" s="2155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155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155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1470"/>
    </row>
    <row r="21" spans="1:42" ht="27" customHeight="1" thickBot="1">
      <c r="A21" s="1439"/>
      <c r="B21" s="1688"/>
      <c r="C21" s="1704" t="s">
        <v>300</v>
      </c>
      <c r="D21" s="1466"/>
      <c r="E21" s="1466"/>
      <c r="F21" s="1714"/>
      <c r="I21" s="2139" t="str">
        <f t="shared" si="5"/>
        <v/>
      </c>
      <c r="J21" s="2155" t="str">
        <f t="shared" si="6"/>
        <v/>
      </c>
      <c r="K21" s="2156" t="str">
        <f t="shared" si="0"/>
        <v/>
      </c>
      <c r="L21" s="1700"/>
      <c r="M21" s="1701"/>
      <c r="N21" s="1702"/>
      <c r="O21" s="1702"/>
      <c r="P21" s="2157" t="str">
        <f t="shared" si="7"/>
        <v/>
      </c>
      <c r="Q21" s="2157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703"/>
      <c r="S21" s="1702"/>
      <c r="T21" s="1702"/>
      <c r="U21" s="1700"/>
      <c r="V21" s="2155" t="str" cm="1">
        <f t="array" ref="V21">IF(L21="","",IF(M21=AE21,1,Slookup(MID(AE21,1,3)*1,UomConversion!$D$8:$J$500,5,UomConversion!$E$8:$E$500,MID(M21,1,3)*1,UomConversion!$J$8:$J$500,1)))</f>
        <v/>
      </c>
      <c r="W21" s="2155" t="str">
        <f t="shared" si="8"/>
        <v/>
      </c>
      <c r="X21" s="2158" t="str">
        <f t="shared" si="9"/>
        <v/>
      </c>
      <c r="Y21" s="2158" t="str">
        <f t="shared" si="10"/>
        <v/>
      </c>
      <c r="Z21" s="2155" t="str">
        <f>IF(I21="","",IF(ISNA(MATCH(I21,IF(MID(N21,1,3)*1=1,'[1]1_inventory_totals'!$C$8:$C$10000,IF(MID(N21,1,3)*1=2,'[1]2_inventory_totals'!$C$8:$C$10000,"")),0)),0,IF(AL21&gt;0,1,0)))</f>
        <v/>
      </c>
      <c r="AA21" s="2155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155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155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155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2159" t="str">
        <f t="shared" si="11"/>
        <v/>
      </c>
      <c r="AF21" s="2160" t="str">
        <f>IF(ISNA(MATCH(MID(AE21,1,3)*1,UomConversion!$D$8:$D$500,0)),"",IF(AJ21&lt;&gt;"",AJ21,""))</f>
        <v/>
      </c>
      <c r="AG21" s="2160" t="str">
        <f>IF(AND(AH21&gt;0,COUNTIFS(UomConversion!$D$8:$D$500,MID(AE21,1,3)*1,UomConversion!$J$8:$J$500,1)&gt;1),TEXT(AH21,"000")&amp;"."&amp;VLOOKUP(AH21,uom_list,5,FALSE),"")</f>
        <v/>
      </c>
      <c r="AH21" s="2155" t="str">
        <f t="shared" si="12"/>
        <v/>
      </c>
      <c r="AI21" s="2155" t="str">
        <f t="shared" si="13"/>
        <v/>
      </c>
      <c r="AJ21" s="2155" t="str">
        <f t="shared" si="14"/>
        <v/>
      </c>
      <c r="AK21" s="2155" t="str" cm="1">
        <f t="array" ref="AK21">IF(L21="","",Slookup(MID(AE21,1,3)*1,UomConversion!$D$8:$J$500,2,UomConversion!$I$8:$I$500,1,UomConversion!$J$8:$J$500,1))</f>
        <v/>
      </c>
      <c r="AL21" s="2155" t="str">
        <f t="shared" si="15"/>
        <v/>
      </c>
      <c r="AM21" s="2155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155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155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1470"/>
    </row>
    <row r="22" spans="1:42" ht="27" customHeight="1">
      <c r="A22" s="1439"/>
      <c r="B22" s="1688"/>
      <c r="C22" s="1811" t="s">
        <v>214</v>
      </c>
      <c r="D22" s="1812"/>
      <c r="E22" s="1813"/>
      <c r="F22" s="1714"/>
      <c r="I22" s="2139" t="str">
        <f t="shared" si="5"/>
        <v/>
      </c>
      <c r="J22" s="2155" t="str">
        <f t="shared" si="6"/>
        <v/>
      </c>
      <c r="K22" s="2156" t="str">
        <f t="shared" si="0"/>
        <v/>
      </c>
      <c r="L22" s="1700"/>
      <c r="M22" s="1701"/>
      <c r="N22" s="1702"/>
      <c r="O22" s="1702"/>
      <c r="P22" s="2157" t="str">
        <f t="shared" si="7"/>
        <v/>
      </c>
      <c r="Q22" s="2157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703"/>
      <c r="S22" s="1702"/>
      <c r="T22" s="1702"/>
      <c r="U22" s="1700"/>
      <c r="V22" s="2155" t="str" cm="1">
        <f t="array" ref="V22">IF(L22="","",IF(M22=AE22,1,Slookup(MID(AE22,1,3)*1,UomConversion!$D$8:$J$500,5,UomConversion!$E$8:$E$500,MID(M22,1,3)*1,UomConversion!$J$8:$J$500,1)))</f>
        <v/>
      </c>
      <c r="W22" s="2155" t="str">
        <f t="shared" si="8"/>
        <v/>
      </c>
      <c r="X22" s="2158" t="str">
        <f t="shared" si="9"/>
        <v/>
      </c>
      <c r="Y22" s="2158" t="str">
        <f t="shared" si="10"/>
        <v/>
      </c>
      <c r="Z22" s="2155" t="str">
        <f>IF(I22="","",IF(ISNA(MATCH(I22,IF(MID(N22,1,3)*1=1,'[1]1_inventory_totals'!$C$8:$C$10000,IF(MID(N22,1,3)*1=2,'[1]2_inventory_totals'!$C$8:$C$10000,"")),0)),0,IF(AL22&gt;0,1,0)))</f>
        <v/>
      </c>
      <c r="AA22" s="2155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155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155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155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2159" t="str">
        <f t="shared" si="11"/>
        <v/>
      </c>
      <c r="AF22" s="2160" t="str">
        <f>IF(ISNA(MATCH(MID(AE22,1,3)*1,UomConversion!$D$8:$D$500,0)),"",IF(AJ22&lt;&gt;"",AJ22,""))</f>
        <v/>
      </c>
      <c r="AG22" s="2160" t="str">
        <f>IF(AND(AH22&gt;0,COUNTIFS(UomConversion!$D$8:$D$500,MID(AE22,1,3)*1,UomConversion!$J$8:$J$500,1)&gt;1),TEXT(AH22,"000")&amp;"."&amp;VLOOKUP(AH22,uom_list,5,FALSE),"")</f>
        <v/>
      </c>
      <c r="AH22" s="2155" t="str">
        <f t="shared" si="12"/>
        <v/>
      </c>
      <c r="AI22" s="2155" t="str">
        <f t="shared" si="13"/>
        <v/>
      </c>
      <c r="AJ22" s="2155" t="str">
        <f t="shared" si="14"/>
        <v/>
      </c>
      <c r="AK22" s="2155" t="str" cm="1">
        <f t="array" ref="AK22">IF(L22="","",Slookup(MID(AE22,1,3)*1,UomConversion!$D$8:$J$500,2,UomConversion!$I$8:$I$500,1,UomConversion!$J$8:$J$500,1))</f>
        <v/>
      </c>
      <c r="AL22" s="2155" t="str">
        <f t="shared" si="15"/>
        <v/>
      </c>
      <c r="AM22" s="2155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155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155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1470"/>
    </row>
    <row r="23" spans="1:42" ht="27" customHeight="1">
      <c r="A23" s="1439"/>
      <c r="B23" s="1688"/>
      <c r="C23" s="1814"/>
      <c r="D23" s="1815"/>
      <c r="E23" s="1816"/>
      <c r="F23" s="1714"/>
      <c r="I23" s="2139" t="str">
        <f t="shared" si="5"/>
        <v/>
      </c>
      <c r="J23" s="2155" t="str">
        <f t="shared" si="6"/>
        <v/>
      </c>
      <c r="K23" s="2156" t="str">
        <f t="shared" si="0"/>
        <v/>
      </c>
      <c r="L23" s="1700"/>
      <c r="M23" s="1701"/>
      <c r="N23" s="1702"/>
      <c r="O23" s="1702"/>
      <c r="P23" s="2157" t="str">
        <f t="shared" si="7"/>
        <v/>
      </c>
      <c r="Q23" s="2157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703"/>
      <c r="S23" s="1702"/>
      <c r="T23" s="1702"/>
      <c r="U23" s="1700"/>
      <c r="V23" s="2155" t="str" cm="1">
        <f t="array" ref="V23">IF(L23="","",IF(M23=AE23,1,Slookup(MID(AE23,1,3)*1,UomConversion!$D$8:$J$500,5,UomConversion!$E$8:$E$500,MID(M23,1,3)*1,UomConversion!$J$8:$J$500,1)))</f>
        <v/>
      </c>
      <c r="W23" s="2155" t="str">
        <f t="shared" si="8"/>
        <v/>
      </c>
      <c r="X23" s="2158" t="str">
        <f t="shared" si="9"/>
        <v/>
      </c>
      <c r="Y23" s="2158" t="str">
        <f t="shared" si="10"/>
        <v/>
      </c>
      <c r="Z23" s="2155" t="str">
        <f>IF(I23="","",IF(ISNA(MATCH(I23,IF(MID(N23,1,3)*1=1,'[1]1_inventory_totals'!$C$8:$C$10000,IF(MID(N23,1,3)*1=2,'[1]2_inventory_totals'!$C$8:$C$10000,"")),0)),0,IF(AL23&gt;0,1,0)))</f>
        <v/>
      </c>
      <c r="AA23" s="2155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155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155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155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2159" t="str">
        <f t="shared" si="11"/>
        <v/>
      </c>
      <c r="AF23" s="2160" t="str">
        <f>IF(ISNA(MATCH(MID(AE23,1,3)*1,UomConversion!$D$8:$D$500,0)),"",IF(AJ23&lt;&gt;"",AJ23,""))</f>
        <v/>
      </c>
      <c r="AG23" s="2160" t="str">
        <f>IF(AND(AH23&gt;0,COUNTIFS(UomConversion!$D$8:$D$500,MID(AE23,1,3)*1,UomConversion!$J$8:$J$500,1)&gt;1),TEXT(AH23,"000")&amp;"."&amp;VLOOKUP(AH23,uom_list,5,FALSE),"")</f>
        <v/>
      </c>
      <c r="AH23" s="2155" t="str">
        <f t="shared" si="12"/>
        <v/>
      </c>
      <c r="AI23" s="2155" t="str">
        <f t="shared" si="13"/>
        <v/>
      </c>
      <c r="AJ23" s="2155" t="str">
        <f t="shared" si="14"/>
        <v/>
      </c>
      <c r="AK23" s="2155" t="str" cm="1">
        <f t="array" ref="AK23">IF(L23="","",Slookup(MID(AE23,1,3)*1,UomConversion!$D$8:$J$500,2,UomConversion!$I$8:$I$500,1,UomConversion!$J$8:$J$500,1))</f>
        <v/>
      </c>
      <c r="AL23" s="2155" t="str">
        <f t="shared" si="15"/>
        <v/>
      </c>
      <c r="AM23" s="2155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155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155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1470"/>
    </row>
    <row r="24" spans="1:42" ht="27" customHeight="1" thickBot="1">
      <c r="A24" s="1439"/>
      <c r="B24" s="1688"/>
      <c r="C24" s="1817"/>
      <c r="D24" s="1818"/>
      <c r="E24" s="1819"/>
      <c r="F24" s="1713"/>
      <c r="I24" s="2139" t="str">
        <f t="shared" si="5"/>
        <v/>
      </c>
      <c r="J24" s="2155" t="str">
        <f t="shared" si="6"/>
        <v/>
      </c>
      <c r="K24" s="2156" t="str">
        <f t="shared" si="0"/>
        <v/>
      </c>
      <c r="L24" s="1700"/>
      <c r="M24" s="1701"/>
      <c r="N24" s="1702"/>
      <c r="O24" s="1702"/>
      <c r="P24" s="2157" t="str">
        <f t="shared" si="7"/>
        <v/>
      </c>
      <c r="Q24" s="2157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703"/>
      <c r="S24" s="1702"/>
      <c r="T24" s="1702"/>
      <c r="U24" s="1700"/>
      <c r="V24" s="2155" t="str" cm="1">
        <f t="array" ref="V24">IF(L24="","",IF(M24=AE24,1,Slookup(MID(AE24,1,3)*1,UomConversion!$D$8:$J$500,5,UomConversion!$E$8:$E$500,MID(M24,1,3)*1,UomConversion!$J$8:$J$500,1)))</f>
        <v/>
      </c>
      <c r="W24" s="2155" t="str">
        <f t="shared" si="8"/>
        <v/>
      </c>
      <c r="X24" s="2158" t="str">
        <f t="shared" si="9"/>
        <v/>
      </c>
      <c r="Y24" s="2158" t="str">
        <f t="shared" si="10"/>
        <v/>
      </c>
      <c r="Z24" s="2155" t="str">
        <f>IF(I24="","",IF(ISNA(MATCH(I24,IF(MID(N24,1,3)*1=1,'[1]1_inventory_totals'!$C$8:$C$10000,IF(MID(N24,1,3)*1=2,'[1]2_inventory_totals'!$C$8:$C$10000,"")),0)),0,IF(AL24&gt;0,1,0)))</f>
        <v/>
      </c>
      <c r="AA24" s="2155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155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155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155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2159" t="str">
        <f t="shared" si="11"/>
        <v/>
      </c>
      <c r="AF24" s="2160" t="str">
        <f>IF(ISNA(MATCH(MID(AE24,1,3)*1,UomConversion!$D$8:$D$500,0)),"",IF(AJ24&lt;&gt;"",AJ24,""))</f>
        <v/>
      </c>
      <c r="AG24" s="2160" t="str">
        <f>IF(AND(AH24&gt;0,COUNTIFS(UomConversion!$D$8:$D$500,MID(AE24,1,3)*1,UomConversion!$J$8:$J$500,1)&gt;1),TEXT(AH24,"000")&amp;"."&amp;VLOOKUP(AH24,uom_list,5,FALSE),"")</f>
        <v/>
      </c>
      <c r="AH24" s="2155" t="str">
        <f t="shared" si="12"/>
        <v/>
      </c>
      <c r="AI24" s="2155" t="str">
        <f t="shared" si="13"/>
        <v/>
      </c>
      <c r="AJ24" s="2155" t="str">
        <f t="shared" si="14"/>
        <v/>
      </c>
      <c r="AK24" s="2155" t="str" cm="1">
        <f t="array" ref="AK24">IF(L24="","",Slookup(MID(AE24,1,3)*1,UomConversion!$D$8:$J$500,2,UomConversion!$I$8:$I$500,1,UomConversion!$J$8:$J$500,1))</f>
        <v/>
      </c>
      <c r="AL24" s="2155" t="str">
        <f t="shared" si="15"/>
        <v/>
      </c>
      <c r="AM24" s="2155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155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155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1470"/>
    </row>
    <row r="25" spans="1:42" ht="27" customHeight="1">
      <c r="A25" s="1439"/>
      <c r="B25" s="1688"/>
      <c r="C25" s="1466"/>
      <c r="D25" s="1466"/>
      <c r="E25" s="1466"/>
      <c r="F25" s="1714"/>
      <c r="I25" s="2139" t="str">
        <f t="shared" si="5"/>
        <v/>
      </c>
      <c r="J25" s="2155" t="str">
        <f t="shared" ref="J25:J87" si="16">IF(L25="","",1)</f>
        <v/>
      </c>
      <c r="K25" s="2156" t="str">
        <f t="shared" si="0"/>
        <v/>
      </c>
      <c r="L25" s="1700"/>
      <c r="M25" s="1701"/>
      <c r="N25" s="1702"/>
      <c r="O25" s="1702"/>
      <c r="P25" s="2157" t="str">
        <f t="shared" si="7"/>
        <v/>
      </c>
      <c r="Q25" s="2157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703"/>
      <c r="S25" s="1702"/>
      <c r="T25" s="1702"/>
      <c r="U25" s="1700"/>
      <c r="V25" s="2155" t="str" cm="1">
        <f t="array" ref="V25">IF(L25="","",IF(M25=AE25,1,Slookup(MID(AE25,1,3)*1,UomConversion!$D$8:$J$500,5,UomConversion!$E$8:$E$500,MID(M25,1,3)*1,UomConversion!$J$8:$J$500,1)))</f>
        <v/>
      </c>
      <c r="W25" s="2155" t="str">
        <f t="shared" si="8"/>
        <v/>
      </c>
      <c r="X25" s="2158" t="str">
        <f t="shared" si="9"/>
        <v/>
      </c>
      <c r="Y25" s="2158" t="str">
        <f t="shared" si="10"/>
        <v/>
      </c>
      <c r="Z25" s="2155" t="str">
        <f>IF(I25="","",IF(ISNA(MATCH(I25,IF(MID(N25,1,3)*1=1,'[1]1_inventory_totals'!$C$8:$C$10000,IF(MID(N25,1,3)*1=2,'[1]2_inventory_totals'!$C$8:$C$10000,"")),0)),0,IF(AL25&gt;0,1,0)))</f>
        <v/>
      </c>
      <c r="AA25" s="2155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155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155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155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2159" t="str">
        <f t="shared" si="11"/>
        <v/>
      </c>
      <c r="AF25" s="2160" t="str">
        <f>IF(ISNA(MATCH(MID(AE25,1,3)*1,UomConversion!$D$8:$D$500,0)),"",IF(AJ25&lt;&gt;"",AJ25,""))</f>
        <v/>
      </c>
      <c r="AG25" s="2160" t="str">
        <f>IF(AND(AH25&gt;0,COUNTIFS(UomConversion!$D$8:$D$500,MID(AE25,1,3)*1,UomConversion!$J$8:$J$500,1)&gt;1),TEXT(AH25,"000")&amp;"."&amp;VLOOKUP(AH25,uom_list,5,FALSE),"")</f>
        <v/>
      </c>
      <c r="AH25" s="2155" t="str">
        <f t="shared" si="12"/>
        <v/>
      </c>
      <c r="AI25" s="2155" t="str">
        <f t="shared" si="13"/>
        <v/>
      </c>
      <c r="AJ25" s="2155" t="str">
        <f t="shared" si="14"/>
        <v/>
      </c>
      <c r="AK25" s="2155" t="str" cm="1">
        <f t="array" ref="AK25">IF(L25="","",Slookup(MID(AE25,1,3)*1,UomConversion!$D$8:$J$500,2,UomConversion!$I$8:$I$500,1,UomConversion!$J$8:$J$500,1))</f>
        <v/>
      </c>
      <c r="AL25" s="2155" t="str">
        <f t="shared" si="15"/>
        <v/>
      </c>
      <c r="AM25" s="2155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155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155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1470"/>
    </row>
    <row r="26" spans="1:42" ht="27" customHeight="1">
      <c r="A26" s="1439"/>
      <c r="B26" s="1688"/>
      <c r="C26" s="1466"/>
      <c r="D26" s="1466"/>
      <c r="E26" s="1466"/>
      <c r="F26" s="1714"/>
      <c r="I26" s="2139" t="str">
        <f t="shared" si="5"/>
        <v/>
      </c>
      <c r="J26" s="2155" t="str">
        <f t="shared" si="16"/>
        <v/>
      </c>
      <c r="K26" s="2156" t="str">
        <f t="shared" si="0"/>
        <v/>
      </c>
      <c r="L26" s="1700"/>
      <c r="M26" s="1701"/>
      <c r="N26" s="1702"/>
      <c r="O26" s="1702"/>
      <c r="P26" s="2157" t="str">
        <f t="shared" si="7"/>
        <v/>
      </c>
      <c r="Q26" s="2157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703"/>
      <c r="S26" s="1702"/>
      <c r="T26" s="1702"/>
      <c r="U26" s="1700"/>
      <c r="V26" s="2155" t="str" cm="1">
        <f t="array" ref="V26">IF(L26="","",IF(M26=AE26,1,Slookup(MID(AE26,1,3)*1,UomConversion!$D$8:$J$500,5,UomConversion!$E$8:$E$500,MID(M26,1,3)*1,UomConversion!$J$8:$J$500,1)))</f>
        <v/>
      </c>
      <c r="W26" s="2155" t="str">
        <f t="shared" si="8"/>
        <v/>
      </c>
      <c r="X26" s="2158" t="str">
        <f t="shared" si="9"/>
        <v/>
      </c>
      <c r="Y26" s="2158" t="str">
        <f t="shared" si="10"/>
        <v/>
      </c>
      <c r="Z26" s="2155" t="str">
        <f>IF(I26="","",IF(ISNA(MATCH(I26,IF(MID(N26,1,3)*1=1,'[1]1_inventory_totals'!$C$8:$C$10000,IF(MID(N26,1,3)*1=2,'[1]2_inventory_totals'!$C$8:$C$10000,"")),0)),0,IF(AL26&gt;0,1,0)))</f>
        <v/>
      </c>
      <c r="AA26" s="2155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155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155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155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2159" t="str">
        <f t="shared" si="11"/>
        <v/>
      </c>
      <c r="AF26" s="2160" t="str">
        <f>IF(ISNA(MATCH(MID(AE26,1,3)*1,UomConversion!$D$8:$D$500,0)),"",IF(AJ26&lt;&gt;"",AJ26,""))</f>
        <v/>
      </c>
      <c r="AG26" s="2160" t="str">
        <f>IF(AND(AH26&gt;0,COUNTIFS(UomConversion!$D$8:$D$500,MID(AE26,1,3)*1,UomConversion!$J$8:$J$500,1)&gt;1),TEXT(AH26,"000")&amp;"."&amp;VLOOKUP(AH26,uom_list,5,FALSE),"")</f>
        <v/>
      </c>
      <c r="AH26" s="2155" t="str">
        <f t="shared" si="12"/>
        <v/>
      </c>
      <c r="AI26" s="2155" t="str">
        <f t="shared" si="13"/>
        <v/>
      </c>
      <c r="AJ26" s="2155" t="str">
        <f t="shared" si="14"/>
        <v/>
      </c>
      <c r="AK26" s="2155" t="str" cm="1">
        <f t="array" ref="AK26">IF(L26="","",Slookup(MID(AE26,1,3)*1,UomConversion!$D$8:$J$500,2,UomConversion!$I$8:$I$500,1,UomConversion!$J$8:$J$500,1))</f>
        <v/>
      </c>
      <c r="AL26" s="2155" t="str">
        <f t="shared" si="15"/>
        <v/>
      </c>
      <c r="AM26" s="2155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155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155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1470"/>
    </row>
    <row r="27" spans="1:42" ht="27" customHeight="1">
      <c r="A27" s="1439"/>
      <c r="B27" s="1688"/>
      <c r="C27" s="1466"/>
      <c r="D27" s="1466"/>
      <c r="E27" s="1466"/>
      <c r="F27" s="1714"/>
      <c r="I27" s="2139" t="str">
        <f t="shared" si="5"/>
        <v/>
      </c>
      <c r="J27" s="2155" t="str">
        <f t="shared" si="16"/>
        <v/>
      </c>
      <c r="K27" s="2156" t="str">
        <f t="shared" si="0"/>
        <v/>
      </c>
      <c r="L27" s="1700"/>
      <c r="M27" s="1701"/>
      <c r="N27" s="1702"/>
      <c r="O27" s="1702"/>
      <c r="P27" s="2157" t="str">
        <f t="shared" si="7"/>
        <v/>
      </c>
      <c r="Q27" s="2157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703"/>
      <c r="S27" s="1702"/>
      <c r="T27" s="1702"/>
      <c r="U27" s="1700"/>
      <c r="V27" s="2155" t="str" cm="1">
        <f t="array" ref="V27">IF(L27="","",IF(M27=AE27,1,Slookup(MID(AE27,1,3)*1,UomConversion!$D$8:$J$500,5,UomConversion!$E$8:$E$500,MID(M27,1,3)*1,UomConversion!$J$8:$J$500,1)))</f>
        <v/>
      </c>
      <c r="W27" s="2155" t="str">
        <f t="shared" si="8"/>
        <v/>
      </c>
      <c r="X27" s="2158" t="str">
        <f t="shared" si="9"/>
        <v/>
      </c>
      <c r="Y27" s="2158" t="str">
        <f t="shared" si="10"/>
        <v/>
      </c>
      <c r="Z27" s="2155" t="str">
        <f>IF(I27="","",IF(ISNA(MATCH(I27,IF(MID(N27,1,3)*1=1,'[1]1_inventory_totals'!$C$8:$C$10000,IF(MID(N27,1,3)*1=2,'[1]2_inventory_totals'!$C$8:$C$10000,"")),0)),0,IF(AL27&gt;0,1,0)))</f>
        <v/>
      </c>
      <c r="AA27" s="2155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155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155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155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2159" t="str">
        <f t="shared" si="11"/>
        <v/>
      </c>
      <c r="AF27" s="2160" t="str">
        <f>IF(ISNA(MATCH(MID(AE27,1,3)*1,UomConversion!$D$8:$D$500,0)),"",IF(AJ27&lt;&gt;"",AJ27,""))</f>
        <v/>
      </c>
      <c r="AG27" s="2160" t="str">
        <f>IF(AND(AH27&gt;0,COUNTIFS(UomConversion!$D$8:$D$500,MID(AE27,1,3)*1,UomConversion!$J$8:$J$500,1)&gt;1),TEXT(AH27,"000")&amp;"."&amp;VLOOKUP(AH27,uom_list,5,FALSE),"")</f>
        <v/>
      </c>
      <c r="AH27" s="2155" t="str">
        <f t="shared" si="12"/>
        <v/>
      </c>
      <c r="AI27" s="2155" t="str">
        <f t="shared" si="13"/>
        <v/>
      </c>
      <c r="AJ27" s="2155" t="str">
        <f t="shared" si="14"/>
        <v/>
      </c>
      <c r="AK27" s="2155" t="str" cm="1">
        <f t="array" ref="AK27">IF(L27="","",Slookup(MID(AE27,1,3)*1,UomConversion!$D$8:$J$500,2,UomConversion!$I$8:$I$500,1,UomConversion!$J$8:$J$500,1))</f>
        <v/>
      </c>
      <c r="AL27" s="2155" t="str">
        <f t="shared" si="15"/>
        <v/>
      </c>
      <c r="AM27" s="2155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155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155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1470"/>
    </row>
    <row r="28" spans="1:42" ht="27" customHeight="1">
      <c r="A28" s="1439"/>
      <c r="B28" s="1688"/>
      <c r="C28" s="1466"/>
      <c r="D28" s="1466"/>
      <c r="E28" s="1466"/>
      <c r="F28" s="1714"/>
      <c r="I28" s="2139" t="str">
        <f t="shared" si="5"/>
        <v/>
      </c>
      <c r="J28" s="2155" t="str">
        <f t="shared" si="16"/>
        <v/>
      </c>
      <c r="K28" s="2156" t="str">
        <f t="shared" si="0"/>
        <v/>
      </c>
      <c r="L28" s="1700"/>
      <c r="M28" s="1701"/>
      <c r="N28" s="1702"/>
      <c r="O28" s="1702"/>
      <c r="P28" s="2157" t="str">
        <f t="shared" si="7"/>
        <v/>
      </c>
      <c r="Q28" s="2157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703"/>
      <c r="S28" s="1702"/>
      <c r="T28" s="1702"/>
      <c r="U28" s="1700"/>
      <c r="V28" s="2155" t="str" cm="1">
        <f t="array" ref="V28">IF(L28="","",IF(M28=AE28,1,Slookup(MID(AE28,1,3)*1,UomConversion!$D$8:$J$500,5,UomConversion!$E$8:$E$500,MID(M28,1,3)*1,UomConversion!$J$8:$J$500,1)))</f>
        <v/>
      </c>
      <c r="W28" s="2155" t="str">
        <f t="shared" si="8"/>
        <v/>
      </c>
      <c r="X28" s="2158" t="str">
        <f t="shared" si="9"/>
        <v/>
      </c>
      <c r="Y28" s="2158" t="str">
        <f t="shared" si="10"/>
        <v/>
      </c>
      <c r="Z28" s="2155" t="str">
        <f>IF(I28="","",IF(ISNA(MATCH(I28,IF(MID(N28,1,3)*1=1,'[1]1_inventory_totals'!$C$8:$C$10000,IF(MID(N28,1,3)*1=2,'[1]2_inventory_totals'!$C$8:$C$10000,"")),0)),0,IF(AL28&gt;0,1,0)))</f>
        <v/>
      </c>
      <c r="AA28" s="2155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155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155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155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2159" t="str">
        <f t="shared" si="11"/>
        <v/>
      </c>
      <c r="AF28" s="2160" t="str">
        <f>IF(ISNA(MATCH(MID(AE28,1,3)*1,UomConversion!$D$8:$D$500,0)),"",IF(AJ28&lt;&gt;"",AJ28,""))</f>
        <v/>
      </c>
      <c r="AG28" s="2160" t="str">
        <f>IF(AND(AH28&gt;0,COUNTIFS(UomConversion!$D$8:$D$500,MID(AE28,1,3)*1,UomConversion!$J$8:$J$500,1)&gt;1),TEXT(AH28,"000")&amp;"."&amp;VLOOKUP(AH28,uom_list,5,FALSE),"")</f>
        <v/>
      </c>
      <c r="AH28" s="2155" t="str">
        <f t="shared" si="12"/>
        <v/>
      </c>
      <c r="AI28" s="2155" t="str">
        <f t="shared" si="13"/>
        <v/>
      </c>
      <c r="AJ28" s="2155" t="str">
        <f t="shared" si="14"/>
        <v/>
      </c>
      <c r="AK28" s="2155" t="str" cm="1">
        <f t="array" ref="AK28">IF(L28="","",Slookup(MID(AE28,1,3)*1,UomConversion!$D$8:$J$500,2,UomConversion!$I$8:$I$500,1,UomConversion!$J$8:$J$500,1))</f>
        <v/>
      </c>
      <c r="AL28" s="2155" t="str">
        <f t="shared" si="15"/>
        <v/>
      </c>
      <c r="AM28" s="2155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155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155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1470"/>
    </row>
    <row r="29" spans="1:42" ht="27" customHeight="1">
      <c r="A29" s="1439"/>
      <c r="B29" s="1688"/>
      <c r="C29" s="1466"/>
      <c r="D29" s="1466"/>
      <c r="E29" s="1466"/>
      <c r="F29" s="1714"/>
      <c r="I29" s="2139" t="str">
        <f t="shared" si="5"/>
        <v/>
      </c>
      <c r="J29" s="2155" t="str">
        <f t="shared" si="16"/>
        <v/>
      </c>
      <c r="K29" s="2156" t="str">
        <f t="shared" si="0"/>
        <v/>
      </c>
      <c r="L29" s="1700"/>
      <c r="M29" s="1701"/>
      <c r="N29" s="1702"/>
      <c r="O29" s="1702"/>
      <c r="P29" s="2157" t="str">
        <f t="shared" si="7"/>
        <v/>
      </c>
      <c r="Q29" s="2157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703"/>
      <c r="S29" s="1702"/>
      <c r="T29" s="1702"/>
      <c r="U29" s="1700"/>
      <c r="V29" s="2155" t="str" cm="1">
        <f t="array" ref="V29">IF(L29="","",IF(M29=AE29,1,Slookup(MID(AE29,1,3)*1,UomConversion!$D$8:$J$500,5,UomConversion!$E$8:$E$500,MID(M29,1,3)*1,UomConversion!$J$8:$J$500,1)))</f>
        <v/>
      </c>
      <c r="W29" s="2155" t="str">
        <f t="shared" si="8"/>
        <v/>
      </c>
      <c r="X29" s="2158" t="str">
        <f t="shared" si="9"/>
        <v/>
      </c>
      <c r="Y29" s="2158" t="str">
        <f t="shared" si="10"/>
        <v/>
      </c>
      <c r="Z29" s="2155" t="str">
        <f>IF(I29="","",IF(ISNA(MATCH(I29,IF(MID(N29,1,3)*1=1,'[1]1_inventory_totals'!$C$8:$C$10000,IF(MID(N29,1,3)*1=2,'[1]2_inventory_totals'!$C$8:$C$10000,"")),0)),0,IF(AL29&gt;0,1,0)))</f>
        <v/>
      </c>
      <c r="AA29" s="2155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155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155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155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2159" t="str">
        <f t="shared" si="11"/>
        <v/>
      </c>
      <c r="AF29" s="2160" t="str">
        <f>IF(ISNA(MATCH(MID(AE29,1,3)*1,UomConversion!$D$8:$D$500,0)),"",IF(AJ29&lt;&gt;"",AJ29,""))</f>
        <v/>
      </c>
      <c r="AG29" s="2160" t="str">
        <f>IF(AND(AH29&gt;0,COUNTIFS(UomConversion!$D$8:$D$500,MID(AE29,1,3)*1,UomConversion!$J$8:$J$500,1)&gt;1),TEXT(AH29,"000")&amp;"."&amp;VLOOKUP(AH29,uom_list,5,FALSE),"")</f>
        <v/>
      </c>
      <c r="AH29" s="2155" t="str">
        <f t="shared" si="12"/>
        <v/>
      </c>
      <c r="AI29" s="2155" t="str">
        <f t="shared" si="13"/>
        <v/>
      </c>
      <c r="AJ29" s="2155" t="str">
        <f t="shared" si="14"/>
        <v/>
      </c>
      <c r="AK29" s="2155" t="str" cm="1">
        <f t="array" ref="AK29">IF(L29="","",Slookup(MID(AE29,1,3)*1,UomConversion!$D$8:$J$500,2,UomConversion!$I$8:$I$500,1,UomConversion!$J$8:$J$500,1))</f>
        <v/>
      </c>
      <c r="AL29" s="2155" t="str">
        <f t="shared" si="15"/>
        <v/>
      </c>
      <c r="AM29" s="2155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155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155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1470"/>
    </row>
    <row r="30" spans="1:42" ht="27" customHeight="1">
      <c r="A30" s="1439"/>
      <c r="B30" s="1688"/>
      <c r="C30" s="1466"/>
      <c r="D30" s="1466"/>
      <c r="E30" s="1466"/>
      <c r="F30" s="1714"/>
      <c r="I30" s="2139" t="str">
        <f t="shared" si="5"/>
        <v/>
      </c>
      <c r="J30" s="2155" t="str">
        <f t="shared" si="16"/>
        <v/>
      </c>
      <c r="K30" s="2156" t="str">
        <f t="shared" si="0"/>
        <v/>
      </c>
      <c r="L30" s="1700"/>
      <c r="M30" s="1701"/>
      <c r="N30" s="1702"/>
      <c r="O30" s="1702"/>
      <c r="P30" s="2157" t="str">
        <f t="shared" si="7"/>
        <v/>
      </c>
      <c r="Q30" s="2157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703"/>
      <c r="S30" s="1702"/>
      <c r="T30" s="1702"/>
      <c r="U30" s="1700"/>
      <c r="V30" s="2155" t="str" cm="1">
        <f t="array" ref="V30">IF(L30="","",IF(M30=AE30,1,Slookup(MID(AE30,1,3)*1,UomConversion!$D$8:$J$500,5,UomConversion!$E$8:$E$500,MID(M30,1,3)*1,UomConversion!$J$8:$J$500,1)))</f>
        <v/>
      </c>
      <c r="W30" s="2155" t="str">
        <f t="shared" si="8"/>
        <v/>
      </c>
      <c r="X30" s="2158" t="str">
        <f t="shared" si="9"/>
        <v/>
      </c>
      <c r="Y30" s="2158" t="str">
        <f t="shared" si="10"/>
        <v/>
      </c>
      <c r="Z30" s="2155" t="str">
        <f>IF(I30="","",IF(ISNA(MATCH(I30,IF(MID(N30,1,3)*1=1,'[1]1_inventory_totals'!$C$8:$C$10000,IF(MID(N30,1,3)*1=2,'[1]2_inventory_totals'!$C$8:$C$10000,"")),0)),0,IF(AL30&gt;0,1,0)))</f>
        <v/>
      </c>
      <c r="AA30" s="2155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155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155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155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2159" t="str">
        <f t="shared" si="11"/>
        <v/>
      </c>
      <c r="AF30" s="2160" t="str">
        <f>IF(ISNA(MATCH(MID(AE30,1,3)*1,UomConversion!$D$8:$D$500,0)),"",IF(AJ30&lt;&gt;"",AJ30,""))</f>
        <v/>
      </c>
      <c r="AG30" s="2160" t="str">
        <f>IF(AND(AH30&gt;0,COUNTIFS(UomConversion!$D$8:$D$500,MID(AE30,1,3)*1,UomConversion!$J$8:$J$500,1)&gt;1),TEXT(AH30,"000")&amp;"."&amp;VLOOKUP(AH30,uom_list,5,FALSE),"")</f>
        <v/>
      </c>
      <c r="AH30" s="2155" t="str">
        <f t="shared" si="12"/>
        <v/>
      </c>
      <c r="AI30" s="2155" t="str">
        <f t="shared" si="13"/>
        <v/>
      </c>
      <c r="AJ30" s="2155" t="str">
        <f t="shared" si="14"/>
        <v/>
      </c>
      <c r="AK30" s="2155" t="str" cm="1">
        <f t="array" ref="AK30">IF(L30="","",Slookup(MID(AE30,1,3)*1,UomConversion!$D$8:$J$500,2,UomConversion!$I$8:$I$500,1,UomConversion!$J$8:$J$500,1))</f>
        <v/>
      </c>
      <c r="AL30" s="2155" t="str">
        <f t="shared" si="15"/>
        <v/>
      </c>
      <c r="AM30" s="2155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155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155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1470"/>
    </row>
    <row r="31" spans="1:42" ht="27" hidden="1" customHeight="1">
      <c r="A31" s="1439"/>
      <c r="B31" s="1688"/>
      <c r="C31" s="1466"/>
      <c r="D31" s="1466"/>
      <c r="E31" s="1466"/>
      <c r="F31" s="1714"/>
      <c r="I31" s="2139" t="str">
        <f t="shared" si="5"/>
        <v/>
      </c>
      <c r="J31" s="2155" t="str">
        <f t="shared" si="16"/>
        <v/>
      </c>
      <c r="K31" s="2156" t="str">
        <f t="shared" si="0"/>
        <v/>
      </c>
      <c r="L31" s="1700"/>
      <c r="M31" s="1701"/>
      <c r="N31" s="1702"/>
      <c r="O31" s="1702"/>
      <c r="P31" s="2157" t="str">
        <f t="shared" si="7"/>
        <v/>
      </c>
      <c r="Q31" s="2157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703"/>
      <c r="S31" s="1702"/>
      <c r="T31" s="1702"/>
      <c r="U31" s="1700"/>
      <c r="V31" s="2155" t="str" cm="1">
        <f t="array" ref="V31">IF(L31="","",IF(M31=AE31,1,Slookup(MID(AE31,1,3)*1,UomConversion!$D$8:$J$500,5,UomConversion!$E$8:$E$500,MID(M31,1,3)*1,UomConversion!$J$8:$J$500,1)))</f>
        <v/>
      </c>
      <c r="W31" s="2155" t="str">
        <f t="shared" si="8"/>
        <v/>
      </c>
      <c r="X31" s="2158" t="str">
        <f t="shared" si="9"/>
        <v/>
      </c>
      <c r="Y31" s="2158" t="str">
        <f t="shared" si="10"/>
        <v/>
      </c>
      <c r="Z31" s="2155" t="str">
        <f>IF(I31="","",IF(ISNA(MATCH(I31,IF(MID(N31,1,3)*1=1,'[1]1_inventory_totals'!$C$8:$C$10000,IF(MID(N31,1,3)*1=2,'[1]2_inventory_totals'!$C$8:$C$10000,"")),0)),0,IF(AL31&gt;0,1,0)))</f>
        <v/>
      </c>
      <c r="AA31" s="2155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155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155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155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2159" t="str">
        <f t="shared" si="11"/>
        <v/>
      </c>
      <c r="AF31" s="2160" t="str">
        <f>IF(ISNA(MATCH(MID(AE31,1,3)*1,UomConversion!$D$8:$D$500,0)),"",IF(AJ31&lt;&gt;"",AJ31,""))</f>
        <v/>
      </c>
      <c r="AG31" s="2160" t="str">
        <f>IF(AND(AH31&gt;0,COUNTIFS(UomConversion!$D$8:$D$500,MID(AE31,1,3)*1,UomConversion!$J$8:$J$500,1)&gt;1),TEXT(AH31,"000")&amp;"."&amp;VLOOKUP(AH31,uom_list,5,FALSE),"")</f>
        <v/>
      </c>
      <c r="AH31" s="2155" t="str">
        <f t="shared" si="12"/>
        <v/>
      </c>
      <c r="AI31" s="2155" t="str">
        <f t="shared" si="13"/>
        <v/>
      </c>
      <c r="AJ31" s="2155" t="str">
        <f t="shared" si="14"/>
        <v/>
      </c>
      <c r="AK31" s="2155" t="str" cm="1">
        <f t="array" ref="AK31">IF(L31="","",Slookup(MID(AE31,1,3)*1,UomConversion!$D$8:$J$500,2,UomConversion!$I$8:$I$500,1,UomConversion!$J$8:$J$500,1))</f>
        <v/>
      </c>
      <c r="AL31" s="2155" t="str">
        <f t="shared" si="15"/>
        <v/>
      </c>
      <c r="AM31" s="2155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155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155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1470"/>
    </row>
    <row r="32" spans="1:42" ht="27" hidden="1" customHeight="1">
      <c r="A32" s="1439"/>
      <c r="B32" s="1688"/>
      <c r="C32" s="1466"/>
      <c r="D32" s="1466"/>
      <c r="E32" s="1466"/>
      <c r="F32" s="1714"/>
      <c r="I32" s="2139" t="str">
        <f t="shared" si="5"/>
        <v/>
      </c>
      <c r="J32" s="2155" t="str">
        <f t="shared" si="16"/>
        <v/>
      </c>
      <c r="K32" s="2156" t="str">
        <f t="shared" si="0"/>
        <v/>
      </c>
      <c r="L32" s="1700"/>
      <c r="M32" s="1701"/>
      <c r="N32" s="1702"/>
      <c r="O32" s="1702"/>
      <c r="P32" s="2157" t="str">
        <f t="shared" si="7"/>
        <v/>
      </c>
      <c r="Q32" s="2157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703"/>
      <c r="S32" s="1702"/>
      <c r="T32" s="1702"/>
      <c r="U32" s="1700"/>
      <c r="V32" s="2155" t="str" cm="1">
        <f t="array" ref="V32">IF(L32="","",IF(M32=AE32,1,Slookup(MID(AE32,1,3)*1,UomConversion!$D$8:$J$500,5,UomConversion!$E$8:$E$500,MID(M32,1,3)*1,UomConversion!$J$8:$J$500,1)))</f>
        <v/>
      </c>
      <c r="W32" s="2155" t="str">
        <f t="shared" si="8"/>
        <v/>
      </c>
      <c r="X32" s="2158" t="str">
        <f t="shared" si="9"/>
        <v/>
      </c>
      <c r="Y32" s="2158" t="str">
        <f t="shared" si="10"/>
        <v/>
      </c>
      <c r="Z32" s="2155" t="str">
        <f>IF(I32="","",IF(ISNA(MATCH(I32,IF(MID(N32,1,3)*1=1,'[1]1_inventory_totals'!$C$8:$C$10000,IF(MID(N32,1,3)*1=2,'[1]2_inventory_totals'!$C$8:$C$10000,"")),0)),0,IF(AL32&gt;0,1,0)))</f>
        <v/>
      </c>
      <c r="AA32" s="2155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155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155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155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2159" t="str">
        <f t="shared" si="11"/>
        <v/>
      </c>
      <c r="AF32" s="2160" t="str">
        <f>IF(ISNA(MATCH(MID(AE32,1,3)*1,UomConversion!$D$8:$D$500,0)),"",IF(AJ32&lt;&gt;"",AJ32,""))</f>
        <v/>
      </c>
      <c r="AG32" s="2160" t="str">
        <f>IF(AND(AH32&gt;0,COUNTIFS(UomConversion!$D$8:$D$500,MID(AE32,1,3)*1,UomConversion!$J$8:$J$500,1)&gt;1),TEXT(AH32,"000")&amp;"."&amp;VLOOKUP(AH32,uom_list,5,FALSE),"")</f>
        <v/>
      </c>
      <c r="AH32" s="2155" t="str">
        <f t="shared" si="12"/>
        <v/>
      </c>
      <c r="AI32" s="2155" t="str">
        <f t="shared" si="13"/>
        <v/>
      </c>
      <c r="AJ32" s="2155" t="str">
        <f t="shared" si="14"/>
        <v/>
      </c>
      <c r="AK32" s="2155" t="str" cm="1">
        <f t="array" ref="AK32">IF(L32="","",Slookup(MID(AE32,1,3)*1,UomConversion!$D$8:$J$500,2,UomConversion!$I$8:$I$500,1,UomConversion!$J$8:$J$500,1))</f>
        <v/>
      </c>
      <c r="AL32" s="2155" t="str">
        <f t="shared" si="15"/>
        <v/>
      </c>
      <c r="AM32" s="2155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155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155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1470"/>
    </row>
    <row r="33" spans="1:42" ht="27" hidden="1" customHeight="1">
      <c r="A33" s="1439"/>
      <c r="B33" s="1688"/>
      <c r="C33" s="1466"/>
      <c r="D33" s="1466"/>
      <c r="E33" s="1466"/>
      <c r="F33" s="1714"/>
      <c r="I33" s="2139" t="str">
        <f t="shared" si="5"/>
        <v/>
      </c>
      <c r="J33" s="2155" t="str">
        <f t="shared" si="16"/>
        <v/>
      </c>
      <c r="K33" s="2156" t="str">
        <f t="shared" si="0"/>
        <v/>
      </c>
      <c r="L33" s="1700"/>
      <c r="M33" s="1701"/>
      <c r="N33" s="1702"/>
      <c r="O33" s="1702"/>
      <c r="P33" s="2157" t="str">
        <f t="shared" si="7"/>
        <v/>
      </c>
      <c r="Q33" s="2157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703"/>
      <c r="S33" s="1702"/>
      <c r="T33" s="1702"/>
      <c r="U33" s="1700"/>
      <c r="V33" s="2155" t="str" cm="1">
        <f t="array" ref="V33">IF(L33="","",IF(M33=AE33,1,Slookup(MID(AE33,1,3)*1,UomConversion!$D$8:$J$500,5,UomConversion!$E$8:$E$500,MID(M33,1,3)*1,UomConversion!$J$8:$J$500,1)))</f>
        <v/>
      </c>
      <c r="W33" s="2155" t="str">
        <f t="shared" si="8"/>
        <v/>
      </c>
      <c r="X33" s="2158" t="str">
        <f t="shared" si="9"/>
        <v/>
      </c>
      <c r="Y33" s="2158" t="str">
        <f t="shared" si="10"/>
        <v/>
      </c>
      <c r="Z33" s="2155" t="str">
        <f>IF(I33="","",IF(ISNA(MATCH(I33,IF(MID(N33,1,3)*1=1,'[1]1_inventory_totals'!$C$8:$C$10000,IF(MID(N33,1,3)*1=2,'[1]2_inventory_totals'!$C$8:$C$10000,"")),0)),0,IF(AL33&gt;0,1,0)))</f>
        <v/>
      </c>
      <c r="AA33" s="2155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155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155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155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2159" t="str">
        <f t="shared" si="11"/>
        <v/>
      </c>
      <c r="AF33" s="2160" t="str">
        <f>IF(ISNA(MATCH(MID(AE33,1,3)*1,UomConversion!$D$8:$D$500,0)),"",IF(AJ33&lt;&gt;"",AJ33,""))</f>
        <v/>
      </c>
      <c r="AG33" s="2160" t="str">
        <f>IF(AND(AH33&gt;0,COUNTIFS(UomConversion!$D$8:$D$500,MID(AE33,1,3)*1,UomConversion!$J$8:$J$500,1)&gt;1),TEXT(AH33,"000")&amp;"."&amp;VLOOKUP(AH33,uom_list,5,FALSE),"")</f>
        <v/>
      </c>
      <c r="AH33" s="2155" t="str">
        <f t="shared" si="12"/>
        <v/>
      </c>
      <c r="AI33" s="2155" t="str">
        <f t="shared" si="13"/>
        <v/>
      </c>
      <c r="AJ33" s="2155" t="str">
        <f t="shared" si="14"/>
        <v/>
      </c>
      <c r="AK33" s="2155" t="str" cm="1">
        <f t="array" ref="AK33">IF(L33="","",Slookup(MID(AE33,1,3)*1,UomConversion!$D$8:$J$500,2,UomConversion!$I$8:$I$500,1,UomConversion!$J$8:$J$500,1))</f>
        <v/>
      </c>
      <c r="AL33" s="2155" t="str">
        <f t="shared" si="15"/>
        <v/>
      </c>
      <c r="AM33" s="2155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155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155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1470"/>
    </row>
    <row r="34" spans="1:42" ht="27" hidden="1" customHeight="1">
      <c r="A34" s="1439"/>
      <c r="B34" s="1688"/>
      <c r="C34" s="1466"/>
      <c r="D34" s="1466"/>
      <c r="E34" s="1466"/>
      <c r="F34" s="1714"/>
      <c r="I34" s="2139" t="str">
        <f t="shared" si="5"/>
        <v/>
      </c>
      <c r="J34" s="2155" t="str">
        <f t="shared" si="16"/>
        <v/>
      </c>
      <c r="K34" s="2156" t="str">
        <f t="shared" si="0"/>
        <v/>
      </c>
      <c r="L34" s="1700"/>
      <c r="M34" s="1701"/>
      <c r="N34" s="1702"/>
      <c r="O34" s="1702"/>
      <c r="P34" s="2157" t="str">
        <f t="shared" si="7"/>
        <v/>
      </c>
      <c r="Q34" s="2157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703"/>
      <c r="S34" s="1702"/>
      <c r="T34" s="1702"/>
      <c r="U34" s="1700"/>
      <c r="V34" s="2155" t="str" cm="1">
        <f t="array" ref="V34">IF(L34="","",IF(M34=AE34,1,Slookup(MID(AE34,1,3)*1,UomConversion!$D$8:$J$500,5,UomConversion!$E$8:$E$500,MID(M34,1,3)*1,UomConversion!$J$8:$J$500,1)))</f>
        <v/>
      </c>
      <c r="W34" s="2155" t="str">
        <f t="shared" si="8"/>
        <v/>
      </c>
      <c r="X34" s="2158" t="str">
        <f t="shared" si="9"/>
        <v/>
      </c>
      <c r="Y34" s="2158" t="str">
        <f t="shared" si="10"/>
        <v/>
      </c>
      <c r="Z34" s="2155" t="str">
        <f>IF(I34="","",IF(ISNA(MATCH(I34,IF(MID(N34,1,3)*1=1,'[1]1_inventory_totals'!$C$8:$C$10000,IF(MID(N34,1,3)*1=2,'[1]2_inventory_totals'!$C$8:$C$10000,"")),0)),0,IF(AL34&gt;0,1,0)))</f>
        <v/>
      </c>
      <c r="AA34" s="2155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155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155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155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2159" t="str">
        <f t="shared" si="11"/>
        <v/>
      </c>
      <c r="AF34" s="2160" t="str">
        <f>IF(ISNA(MATCH(MID(AE34,1,3)*1,UomConversion!$D$8:$D$500,0)),"",IF(AJ34&lt;&gt;"",AJ34,""))</f>
        <v/>
      </c>
      <c r="AG34" s="2160" t="str">
        <f>IF(AND(AH34&gt;0,COUNTIFS(UomConversion!$D$8:$D$500,MID(AE34,1,3)*1,UomConversion!$J$8:$J$500,1)&gt;1),TEXT(AH34,"000")&amp;"."&amp;VLOOKUP(AH34,uom_list,5,FALSE),"")</f>
        <v/>
      </c>
      <c r="AH34" s="2155" t="str">
        <f t="shared" si="12"/>
        <v/>
      </c>
      <c r="AI34" s="2155" t="str">
        <f t="shared" si="13"/>
        <v/>
      </c>
      <c r="AJ34" s="2155" t="str">
        <f t="shared" si="14"/>
        <v/>
      </c>
      <c r="AK34" s="2155" t="str" cm="1">
        <f t="array" ref="AK34">IF(L34="","",Slookup(MID(AE34,1,3)*1,UomConversion!$D$8:$J$500,2,UomConversion!$I$8:$I$500,1,UomConversion!$J$8:$J$500,1))</f>
        <v/>
      </c>
      <c r="AL34" s="2155" t="str">
        <f t="shared" si="15"/>
        <v/>
      </c>
      <c r="AM34" s="2155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155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155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1470"/>
    </row>
    <row r="35" spans="1:42" ht="27" hidden="1" customHeight="1">
      <c r="A35" s="1439"/>
      <c r="B35" s="1688"/>
      <c r="C35" s="1466"/>
      <c r="D35" s="1466"/>
      <c r="E35" s="1466"/>
      <c r="F35" s="1714"/>
      <c r="I35" s="2139" t="str">
        <f t="shared" si="5"/>
        <v/>
      </c>
      <c r="J35" s="2155" t="str">
        <f t="shared" si="16"/>
        <v/>
      </c>
      <c r="K35" s="2156" t="str">
        <f t="shared" si="0"/>
        <v/>
      </c>
      <c r="L35" s="1700"/>
      <c r="M35" s="1701"/>
      <c r="N35" s="1702"/>
      <c r="O35" s="1702"/>
      <c r="P35" s="2157" t="str">
        <f t="shared" si="7"/>
        <v/>
      </c>
      <c r="Q35" s="2157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703"/>
      <c r="S35" s="1702"/>
      <c r="T35" s="1702"/>
      <c r="U35" s="1700"/>
      <c r="V35" s="2155" t="str" cm="1">
        <f t="array" ref="V35">IF(L35="","",IF(M35=AE35,1,Slookup(MID(AE35,1,3)*1,UomConversion!$D$8:$J$500,5,UomConversion!$E$8:$E$500,MID(M35,1,3)*1,UomConversion!$J$8:$J$500,1)))</f>
        <v/>
      </c>
      <c r="W35" s="2155" t="str">
        <f t="shared" si="8"/>
        <v/>
      </c>
      <c r="X35" s="2158" t="str">
        <f t="shared" si="9"/>
        <v/>
      </c>
      <c r="Y35" s="2158" t="str">
        <f t="shared" si="10"/>
        <v/>
      </c>
      <c r="Z35" s="2155" t="str">
        <f>IF(I35="","",IF(ISNA(MATCH(I35,IF(MID(N35,1,3)*1=1,'[1]1_inventory_totals'!$C$8:$C$10000,IF(MID(N35,1,3)*1=2,'[1]2_inventory_totals'!$C$8:$C$10000,"")),0)),0,IF(AL35&gt;0,1,0)))</f>
        <v/>
      </c>
      <c r="AA35" s="2155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155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155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155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2159" t="str">
        <f t="shared" si="11"/>
        <v/>
      </c>
      <c r="AF35" s="2160" t="str">
        <f>IF(ISNA(MATCH(MID(AE35,1,3)*1,UomConversion!$D$8:$D$500,0)),"",IF(AJ35&lt;&gt;"",AJ35,""))</f>
        <v/>
      </c>
      <c r="AG35" s="2160" t="str">
        <f>IF(AND(AH35&gt;0,COUNTIFS(UomConversion!$D$8:$D$500,MID(AE35,1,3)*1,UomConversion!$J$8:$J$500,1)&gt;1),TEXT(AH35,"000")&amp;"."&amp;VLOOKUP(AH35,uom_list,5,FALSE),"")</f>
        <v/>
      </c>
      <c r="AH35" s="2155" t="str">
        <f t="shared" si="12"/>
        <v/>
      </c>
      <c r="AI35" s="2155" t="str">
        <f t="shared" si="13"/>
        <v/>
      </c>
      <c r="AJ35" s="2155" t="str">
        <f t="shared" si="14"/>
        <v/>
      </c>
      <c r="AK35" s="2155" t="str" cm="1">
        <f t="array" ref="AK35">IF(L35="","",Slookup(MID(AE35,1,3)*1,UomConversion!$D$8:$J$500,2,UomConversion!$I$8:$I$500,1,UomConversion!$J$8:$J$500,1))</f>
        <v/>
      </c>
      <c r="AL35" s="2155" t="str">
        <f t="shared" si="15"/>
        <v/>
      </c>
      <c r="AM35" s="2155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155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155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1470"/>
    </row>
    <row r="36" spans="1:42" ht="27" hidden="1" customHeight="1">
      <c r="A36" s="1439"/>
      <c r="B36" s="1688"/>
      <c r="C36" s="1466"/>
      <c r="D36" s="1466"/>
      <c r="E36" s="1466"/>
      <c r="F36" s="1714"/>
      <c r="I36" s="2139" t="str">
        <f t="shared" si="5"/>
        <v/>
      </c>
      <c r="J36" s="2155" t="str">
        <f t="shared" si="16"/>
        <v/>
      </c>
      <c r="K36" s="2156" t="str">
        <f t="shared" si="0"/>
        <v/>
      </c>
      <c r="L36" s="1700"/>
      <c r="M36" s="1701"/>
      <c r="N36" s="1702"/>
      <c r="O36" s="1702"/>
      <c r="P36" s="2157" t="str">
        <f t="shared" si="7"/>
        <v/>
      </c>
      <c r="Q36" s="2157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703"/>
      <c r="S36" s="1702"/>
      <c r="T36" s="1702"/>
      <c r="U36" s="1700"/>
      <c r="V36" s="2155" t="str" cm="1">
        <f t="array" ref="V36">IF(L36="","",IF(M36=AE36,1,Slookup(MID(AE36,1,3)*1,UomConversion!$D$8:$J$500,5,UomConversion!$E$8:$E$500,MID(M36,1,3)*1,UomConversion!$J$8:$J$500,1)))</f>
        <v/>
      </c>
      <c r="W36" s="2155" t="str">
        <f t="shared" si="8"/>
        <v/>
      </c>
      <c r="X36" s="2158" t="str">
        <f t="shared" si="9"/>
        <v/>
      </c>
      <c r="Y36" s="2158" t="str">
        <f t="shared" si="10"/>
        <v/>
      </c>
      <c r="Z36" s="2155" t="str">
        <f>IF(I36="","",IF(ISNA(MATCH(I36,IF(MID(N36,1,3)*1=1,'[1]1_inventory_totals'!$C$8:$C$10000,IF(MID(N36,1,3)*1=2,'[1]2_inventory_totals'!$C$8:$C$10000,"")),0)),0,IF(AL36&gt;0,1,0)))</f>
        <v/>
      </c>
      <c r="AA36" s="2155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155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155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155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2159" t="str">
        <f t="shared" si="11"/>
        <v/>
      </c>
      <c r="AF36" s="2160" t="str">
        <f>IF(ISNA(MATCH(MID(AE36,1,3)*1,UomConversion!$D$8:$D$500,0)),"",IF(AJ36&lt;&gt;"",AJ36,""))</f>
        <v/>
      </c>
      <c r="AG36" s="2160" t="str">
        <f>IF(AND(AH36&gt;0,COUNTIFS(UomConversion!$D$8:$D$500,MID(AE36,1,3)*1,UomConversion!$J$8:$J$500,1)&gt;1),TEXT(AH36,"000")&amp;"."&amp;VLOOKUP(AH36,uom_list,5,FALSE),"")</f>
        <v/>
      </c>
      <c r="AH36" s="2155" t="str">
        <f t="shared" si="12"/>
        <v/>
      </c>
      <c r="AI36" s="2155" t="str">
        <f t="shared" si="13"/>
        <v/>
      </c>
      <c r="AJ36" s="2155" t="str">
        <f t="shared" si="14"/>
        <v/>
      </c>
      <c r="AK36" s="2155" t="str" cm="1">
        <f t="array" ref="AK36">IF(L36="","",Slookup(MID(AE36,1,3)*1,UomConversion!$D$8:$J$500,2,UomConversion!$I$8:$I$500,1,UomConversion!$J$8:$J$500,1))</f>
        <v/>
      </c>
      <c r="AL36" s="2155" t="str">
        <f t="shared" si="15"/>
        <v/>
      </c>
      <c r="AM36" s="2155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155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155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1470"/>
    </row>
    <row r="37" spans="1:42" ht="27" hidden="1" customHeight="1">
      <c r="A37" s="1439"/>
      <c r="B37" s="1688"/>
      <c r="C37" s="1466"/>
      <c r="D37" s="1466"/>
      <c r="E37" s="1466"/>
      <c r="F37" s="1714"/>
      <c r="I37" s="2139" t="str">
        <f t="shared" si="5"/>
        <v/>
      </c>
      <c r="J37" s="2155" t="str">
        <f t="shared" si="16"/>
        <v/>
      </c>
      <c r="K37" s="2156" t="str">
        <f t="shared" si="0"/>
        <v/>
      </c>
      <c r="L37" s="1700"/>
      <c r="M37" s="1701"/>
      <c r="N37" s="1702"/>
      <c r="O37" s="1702"/>
      <c r="P37" s="2157" t="str">
        <f t="shared" si="7"/>
        <v/>
      </c>
      <c r="Q37" s="2157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703"/>
      <c r="S37" s="1702"/>
      <c r="T37" s="1702"/>
      <c r="U37" s="1700"/>
      <c r="V37" s="2155" t="str" cm="1">
        <f t="array" ref="V37">IF(L37="","",IF(M37=AE37,1,Slookup(MID(AE37,1,3)*1,UomConversion!$D$8:$J$500,5,UomConversion!$E$8:$E$500,MID(M37,1,3)*1,UomConversion!$J$8:$J$500,1)))</f>
        <v/>
      </c>
      <c r="W37" s="2155" t="str">
        <f t="shared" si="8"/>
        <v/>
      </c>
      <c r="X37" s="2158" t="str">
        <f t="shared" si="9"/>
        <v/>
      </c>
      <c r="Y37" s="2158" t="str">
        <f t="shared" si="10"/>
        <v/>
      </c>
      <c r="Z37" s="2155" t="str">
        <f>IF(I37="","",IF(ISNA(MATCH(I37,IF(MID(N37,1,3)*1=1,'[1]1_inventory_totals'!$C$8:$C$10000,IF(MID(N37,1,3)*1=2,'[1]2_inventory_totals'!$C$8:$C$10000,"")),0)),0,IF(AL37&gt;0,1,0)))</f>
        <v/>
      </c>
      <c r="AA37" s="2155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155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155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155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2159" t="str">
        <f t="shared" si="11"/>
        <v/>
      </c>
      <c r="AF37" s="2160" t="str">
        <f>IF(ISNA(MATCH(MID(AE37,1,3)*1,UomConversion!$D$8:$D$500,0)),"",IF(AJ37&lt;&gt;"",AJ37,""))</f>
        <v/>
      </c>
      <c r="AG37" s="2160" t="str">
        <f>IF(AND(AH37&gt;0,COUNTIFS(UomConversion!$D$8:$D$500,MID(AE37,1,3)*1,UomConversion!$J$8:$J$500,1)&gt;1),TEXT(AH37,"000")&amp;"."&amp;VLOOKUP(AH37,uom_list,5,FALSE),"")</f>
        <v/>
      </c>
      <c r="AH37" s="2155" t="str">
        <f t="shared" si="12"/>
        <v/>
      </c>
      <c r="AI37" s="2155" t="str">
        <f t="shared" si="13"/>
        <v/>
      </c>
      <c r="AJ37" s="2155" t="str">
        <f t="shared" si="14"/>
        <v/>
      </c>
      <c r="AK37" s="2155" t="str" cm="1">
        <f t="array" ref="AK37">IF(L37="","",Slookup(MID(AE37,1,3)*1,UomConversion!$D$8:$J$500,2,UomConversion!$I$8:$I$500,1,UomConversion!$J$8:$J$500,1))</f>
        <v/>
      </c>
      <c r="AL37" s="2155" t="str">
        <f t="shared" si="15"/>
        <v/>
      </c>
      <c r="AM37" s="2155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155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155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1470"/>
    </row>
    <row r="38" spans="1:42" ht="27" hidden="1" customHeight="1">
      <c r="A38" s="1439"/>
      <c r="B38" s="1688"/>
      <c r="C38" s="1466"/>
      <c r="D38" s="1466"/>
      <c r="E38" s="1466"/>
      <c r="F38" s="1714"/>
      <c r="I38" s="2139" t="str">
        <f t="shared" si="5"/>
        <v/>
      </c>
      <c r="J38" s="2155" t="str">
        <f t="shared" si="16"/>
        <v/>
      </c>
      <c r="K38" s="2156" t="str">
        <f t="shared" si="0"/>
        <v/>
      </c>
      <c r="L38" s="1700"/>
      <c r="M38" s="1701"/>
      <c r="N38" s="1702"/>
      <c r="O38" s="1702"/>
      <c r="P38" s="2157" t="str">
        <f t="shared" si="7"/>
        <v/>
      </c>
      <c r="Q38" s="2157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703"/>
      <c r="S38" s="1702"/>
      <c r="T38" s="1702"/>
      <c r="U38" s="1700"/>
      <c r="V38" s="2155" t="str" cm="1">
        <f t="array" ref="V38">IF(L38="","",IF(M38=AE38,1,Slookup(MID(AE38,1,3)*1,UomConversion!$D$8:$J$500,5,UomConversion!$E$8:$E$500,MID(M38,1,3)*1,UomConversion!$J$8:$J$500,1)))</f>
        <v/>
      </c>
      <c r="W38" s="2155" t="str">
        <f t="shared" si="8"/>
        <v/>
      </c>
      <c r="X38" s="2158" t="str">
        <f t="shared" si="9"/>
        <v/>
      </c>
      <c r="Y38" s="2158" t="str">
        <f t="shared" si="10"/>
        <v/>
      </c>
      <c r="Z38" s="2155" t="str">
        <f>IF(I38="","",IF(ISNA(MATCH(I38,IF(MID(N38,1,3)*1=1,'[1]1_inventory_totals'!$C$8:$C$10000,IF(MID(N38,1,3)*1=2,'[1]2_inventory_totals'!$C$8:$C$10000,"")),0)),0,IF(AL38&gt;0,1,0)))</f>
        <v/>
      </c>
      <c r="AA38" s="2155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155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155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155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2159" t="str">
        <f t="shared" si="11"/>
        <v/>
      </c>
      <c r="AF38" s="2160" t="str">
        <f>IF(ISNA(MATCH(MID(AE38,1,3)*1,UomConversion!$D$8:$D$500,0)),"",IF(AJ38&lt;&gt;"",AJ38,""))</f>
        <v/>
      </c>
      <c r="AG38" s="2160" t="str">
        <f>IF(AND(AH38&gt;0,COUNTIFS(UomConversion!$D$8:$D$500,MID(AE38,1,3)*1,UomConversion!$J$8:$J$500,1)&gt;1),TEXT(AH38,"000")&amp;"."&amp;VLOOKUP(AH38,uom_list,5,FALSE),"")</f>
        <v/>
      </c>
      <c r="AH38" s="2155" t="str">
        <f t="shared" si="12"/>
        <v/>
      </c>
      <c r="AI38" s="2155" t="str">
        <f t="shared" si="13"/>
        <v/>
      </c>
      <c r="AJ38" s="2155" t="str">
        <f t="shared" si="14"/>
        <v/>
      </c>
      <c r="AK38" s="2155" t="str" cm="1">
        <f t="array" ref="AK38">IF(L38="","",Slookup(MID(AE38,1,3)*1,UomConversion!$D$8:$J$500,2,UomConversion!$I$8:$I$500,1,UomConversion!$J$8:$J$500,1))</f>
        <v/>
      </c>
      <c r="AL38" s="2155" t="str">
        <f t="shared" si="15"/>
        <v/>
      </c>
      <c r="AM38" s="2155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155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155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1470"/>
    </row>
    <row r="39" spans="1:42" ht="27" hidden="1" customHeight="1">
      <c r="A39" s="1439"/>
      <c r="B39" s="1688"/>
      <c r="C39" s="1466"/>
      <c r="D39" s="1466"/>
      <c r="E39" s="1466"/>
      <c r="F39" s="1714"/>
      <c r="I39" s="2139" t="str">
        <f t="shared" si="5"/>
        <v/>
      </c>
      <c r="J39" s="2155" t="str">
        <f t="shared" si="16"/>
        <v/>
      </c>
      <c r="K39" s="2156" t="str">
        <f t="shared" si="0"/>
        <v/>
      </c>
      <c r="L39" s="1700"/>
      <c r="M39" s="1701"/>
      <c r="N39" s="1702"/>
      <c r="O39" s="1702"/>
      <c r="P39" s="2157" t="str">
        <f t="shared" si="7"/>
        <v/>
      </c>
      <c r="Q39" s="2157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703"/>
      <c r="S39" s="1702"/>
      <c r="T39" s="1702"/>
      <c r="U39" s="1700"/>
      <c r="V39" s="2155" t="str" cm="1">
        <f t="array" ref="V39">IF(L39="","",IF(M39=AE39,1,Slookup(MID(AE39,1,3)*1,UomConversion!$D$8:$J$500,5,UomConversion!$E$8:$E$500,MID(M39,1,3)*1,UomConversion!$J$8:$J$500,1)))</f>
        <v/>
      </c>
      <c r="W39" s="2155" t="str">
        <f t="shared" si="8"/>
        <v/>
      </c>
      <c r="X39" s="2158" t="str">
        <f t="shared" si="9"/>
        <v/>
      </c>
      <c r="Y39" s="2158" t="str">
        <f t="shared" si="10"/>
        <v/>
      </c>
      <c r="Z39" s="2155" t="str">
        <f>IF(I39="","",IF(ISNA(MATCH(I39,IF(MID(N39,1,3)*1=1,'[1]1_inventory_totals'!$C$8:$C$10000,IF(MID(N39,1,3)*1=2,'[1]2_inventory_totals'!$C$8:$C$10000,"")),0)),0,IF(AL39&gt;0,1,0)))</f>
        <v/>
      </c>
      <c r="AA39" s="2155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155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155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155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2159" t="str">
        <f t="shared" si="11"/>
        <v/>
      </c>
      <c r="AF39" s="2160" t="str">
        <f>IF(ISNA(MATCH(MID(AE39,1,3)*1,UomConversion!$D$8:$D$500,0)),"",IF(AJ39&lt;&gt;"",AJ39,""))</f>
        <v/>
      </c>
      <c r="AG39" s="2160" t="str">
        <f>IF(AND(AH39&gt;0,COUNTIFS(UomConversion!$D$8:$D$500,MID(AE39,1,3)*1,UomConversion!$J$8:$J$500,1)&gt;1),TEXT(AH39,"000")&amp;"."&amp;VLOOKUP(AH39,uom_list,5,FALSE),"")</f>
        <v/>
      </c>
      <c r="AH39" s="2155" t="str">
        <f t="shared" si="12"/>
        <v/>
      </c>
      <c r="AI39" s="2155" t="str">
        <f t="shared" si="13"/>
        <v/>
      </c>
      <c r="AJ39" s="2155" t="str">
        <f t="shared" si="14"/>
        <v/>
      </c>
      <c r="AK39" s="2155" t="str" cm="1">
        <f t="array" ref="AK39">IF(L39="","",Slookup(MID(AE39,1,3)*1,UomConversion!$D$8:$J$500,2,UomConversion!$I$8:$I$500,1,UomConversion!$J$8:$J$500,1))</f>
        <v/>
      </c>
      <c r="AL39" s="2155" t="str">
        <f t="shared" si="15"/>
        <v/>
      </c>
      <c r="AM39" s="2155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155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155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1470"/>
    </row>
    <row r="40" spans="1:42" ht="27" hidden="1" customHeight="1">
      <c r="A40" s="1439"/>
      <c r="B40" s="1688"/>
      <c r="C40" s="1466"/>
      <c r="D40" s="1466"/>
      <c r="E40" s="1466"/>
      <c r="F40" s="1714"/>
      <c r="I40" s="2139" t="str">
        <f t="shared" si="5"/>
        <v/>
      </c>
      <c r="J40" s="2155" t="str">
        <f t="shared" si="16"/>
        <v/>
      </c>
      <c r="K40" s="2156" t="str">
        <f t="shared" ref="K40:K71" si="17">IF(L40="","",VLOOKUP(I40,product_list,4,FALSE))</f>
        <v/>
      </c>
      <c r="L40" s="1700"/>
      <c r="M40" s="1701"/>
      <c r="N40" s="1702"/>
      <c r="O40" s="1702"/>
      <c r="P40" s="2157" t="str">
        <f t="shared" ref="P40:P71" si="18">IF(AND(adj_type&lt;&gt;"",L40&lt;&gt;"",M40&lt;&gt;""),IF(adj_type=1,O40*W40/V40,O40*W40/V40-Q40),"")</f>
        <v/>
      </c>
      <c r="Q40" s="2157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703"/>
      <c r="S40" s="1702"/>
      <c r="T40" s="1702"/>
      <c r="U40" s="1700"/>
      <c r="V40" s="2155" t="str" cm="1">
        <f t="array" ref="V40">IF(L40="","",IF(M40=AE40,1,Slookup(MID(AE40,1,3)*1,UomConversion!$D$8:$J$500,5,UomConversion!$E$8:$E$500,MID(M40,1,3)*1,UomConversion!$J$8:$J$500,1)))</f>
        <v/>
      </c>
      <c r="W40" s="2155" t="str">
        <f t="shared" si="8"/>
        <v/>
      </c>
      <c r="X40" s="2158" t="str">
        <f t="shared" si="9"/>
        <v/>
      </c>
      <c r="Y40" s="2158" t="str">
        <f t="shared" si="10"/>
        <v/>
      </c>
      <c r="Z40" s="2155" t="str">
        <f>IF(I40="","",IF(ISNA(MATCH(I40,IF(MID(N40,1,3)*1=1,'[1]1_inventory_totals'!$C$8:$C$10000,IF(MID(N40,1,3)*1=2,'[1]2_inventory_totals'!$C$8:$C$10000,"")),0)),0,IF(AL40&gt;0,1,0)))</f>
        <v/>
      </c>
      <c r="AA40" s="2155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155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155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155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2159" t="str">
        <f t="shared" si="11"/>
        <v/>
      </c>
      <c r="AF40" s="2160" t="str">
        <f>IF(ISNA(MATCH(MID(AE40,1,3)*1,UomConversion!$D$8:$D$500,0)),"",IF(AJ40&lt;&gt;"",AJ40,""))</f>
        <v/>
      </c>
      <c r="AG40" s="2160" t="str">
        <f>IF(AND(AH40&gt;0,COUNTIFS(UomConversion!$D$8:$D$500,MID(AE40,1,3)*1,UomConversion!$J$8:$J$500,1)&gt;1),TEXT(AH40,"000")&amp;"."&amp;VLOOKUP(AH40,uom_list,5,FALSE),"")</f>
        <v/>
      </c>
      <c r="AH40" s="2155" t="str">
        <f t="shared" si="12"/>
        <v/>
      </c>
      <c r="AI40" s="2155" t="str">
        <f t="shared" si="13"/>
        <v/>
      </c>
      <c r="AJ40" s="2155" t="str">
        <f t="shared" si="14"/>
        <v/>
      </c>
      <c r="AK40" s="2155" t="str" cm="1">
        <f t="array" ref="AK40">IF(L40="","",Slookup(MID(AE40,1,3)*1,UomConversion!$D$8:$J$500,2,UomConversion!$I$8:$I$500,1,UomConversion!$J$8:$J$500,1))</f>
        <v/>
      </c>
      <c r="AL40" s="2155" t="str">
        <f t="shared" si="15"/>
        <v/>
      </c>
      <c r="AM40" s="2155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155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155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1470"/>
    </row>
    <row r="41" spans="1:42" ht="27" hidden="1" customHeight="1">
      <c r="A41" s="1439"/>
      <c r="B41" s="1688"/>
      <c r="C41" s="1466"/>
      <c r="D41" s="1466"/>
      <c r="E41" s="1466"/>
      <c r="F41" s="1714"/>
      <c r="I41" s="2139" t="str">
        <f t="shared" si="5"/>
        <v/>
      </c>
      <c r="J41" s="2155" t="str">
        <f t="shared" si="16"/>
        <v/>
      </c>
      <c r="K41" s="2156" t="str">
        <f t="shared" si="17"/>
        <v/>
      </c>
      <c r="L41" s="1700"/>
      <c r="M41" s="1701"/>
      <c r="N41" s="1702"/>
      <c r="O41" s="1702"/>
      <c r="P41" s="2157" t="str">
        <f t="shared" si="18"/>
        <v/>
      </c>
      <c r="Q41" s="2157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703"/>
      <c r="S41" s="1702"/>
      <c r="T41" s="1702"/>
      <c r="U41" s="1700"/>
      <c r="V41" s="2155" t="str" cm="1">
        <f t="array" ref="V41">IF(L41="","",IF(M41=AE41,1,Slookup(MID(AE41,1,3)*1,UomConversion!$D$8:$J$500,5,UomConversion!$E$8:$E$500,MID(M41,1,3)*1,UomConversion!$J$8:$J$500,1)))</f>
        <v/>
      </c>
      <c r="W41" s="2155" t="str">
        <f t="shared" si="8"/>
        <v/>
      </c>
      <c r="X41" s="2158" t="str">
        <f t="shared" si="9"/>
        <v/>
      </c>
      <c r="Y41" s="2158" t="str">
        <f t="shared" si="10"/>
        <v/>
      </c>
      <c r="Z41" s="2155" t="str">
        <f>IF(I41="","",IF(ISNA(MATCH(I41,IF(MID(N41,1,3)*1=1,'[1]1_inventory_totals'!$C$8:$C$10000,IF(MID(N41,1,3)*1=2,'[1]2_inventory_totals'!$C$8:$C$10000,"")),0)),0,IF(AL41&gt;0,1,0)))</f>
        <v/>
      </c>
      <c r="AA41" s="2155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155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155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155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2159" t="str">
        <f t="shared" si="11"/>
        <v/>
      </c>
      <c r="AF41" s="2160" t="str">
        <f>IF(ISNA(MATCH(MID(AE41,1,3)*1,UomConversion!$D$8:$D$500,0)),"",IF(AJ41&lt;&gt;"",AJ41,""))</f>
        <v/>
      </c>
      <c r="AG41" s="2160" t="str">
        <f>IF(AND(AH41&gt;0,COUNTIFS(UomConversion!$D$8:$D$500,MID(AE41,1,3)*1,UomConversion!$J$8:$J$500,1)&gt;1),TEXT(AH41,"000")&amp;"."&amp;VLOOKUP(AH41,uom_list,5,FALSE),"")</f>
        <v/>
      </c>
      <c r="AH41" s="2155" t="str">
        <f t="shared" si="12"/>
        <v/>
      </c>
      <c r="AI41" s="2155" t="str">
        <f t="shared" si="13"/>
        <v/>
      </c>
      <c r="AJ41" s="2155" t="str">
        <f t="shared" si="14"/>
        <v/>
      </c>
      <c r="AK41" s="2155" t="str" cm="1">
        <f t="array" ref="AK41">IF(L41="","",Slookup(MID(AE41,1,3)*1,UomConversion!$D$8:$J$500,2,UomConversion!$I$8:$I$500,1,UomConversion!$J$8:$J$500,1))</f>
        <v/>
      </c>
      <c r="AL41" s="2155" t="str">
        <f t="shared" si="15"/>
        <v/>
      </c>
      <c r="AM41" s="2155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155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155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1470"/>
    </row>
    <row r="42" spans="1:42" ht="27" hidden="1" customHeight="1">
      <c r="A42" s="1439"/>
      <c r="B42" s="1688"/>
      <c r="C42" s="1466"/>
      <c r="D42" s="1466"/>
      <c r="E42" s="1466"/>
      <c r="F42" s="1714"/>
      <c r="I42" s="2139" t="str">
        <f t="shared" si="5"/>
        <v/>
      </c>
      <c r="J42" s="2155" t="str">
        <f t="shared" si="16"/>
        <v/>
      </c>
      <c r="K42" s="2156" t="str">
        <f t="shared" si="17"/>
        <v/>
      </c>
      <c r="L42" s="1700"/>
      <c r="M42" s="1701"/>
      <c r="N42" s="1702"/>
      <c r="O42" s="1702"/>
      <c r="P42" s="2157" t="str">
        <f t="shared" si="18"/>
        <v/>
      </c>
      <c r="Q42" s="2157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703"/>
      <c r="S42" s="1702"/>
      <c r="T42" s="1702"/>
      <c r="U42" s="1700"/>
      <c r="V42" s="2155" t="str" cm="1">
        <f t="array" ref="V42">IF(L42="","",IF(M42=AE42,1,Slookup(MID(AE42,1,3)*1,UomConversion!$D$8:$J$500,5,UomConversion!$E$8:$E$500,MID(M42,1,3)*1,UomConversion!$J$8:$J$500,1)))</f>
        <v/>
      </c>
      <c r="W42" s="2155" t="str">
        <f t="shared" si="8"/>
        <v/>
      </c>
      <c r="X42" s="2158" t="str">
        <f t="shared" si="9"/>
        <v/>
      </c>
      <c r="Y42" s="2158" t="str">
        <f t="shared" si="10"/>
        <v/>
      </c>
      <c r="Z42" s="2155" t="str">
        <f>IF(I42="","",IF(ISNA(MATCH(I42,IF(MID(N42,1,3)*1=1,'[1]1_inventory_totals'!$C$8:$C$10000,IF(MID(N42,1,3)*1=2,'[1]2_inventory_totals'!$C$8:$C$10000,"")),0)),0,IF(AL42&gt;0,1,0)))</f>
        <v/>
      </c>
      <c r="AA42" s="2155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155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155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155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2159" t="str">
        <f t="shared" si="11"/>
        <v/>
      </c>
      <c r="AF42" s="2160" t="str">
        <f>IF(ISNA(MATCH(MID(AE42,1,3)*1,UomConversion!$D$8:$D$500,0)),"",IF(AJ42&lt;&gt;"",AJ42,""))</f>
        <v/>
      </c>
      <c r="AG42" s="2160" t="str">
        <f>IF(AND(AH42&gt;0,COUNTIFS(UomConversion!$D$8:$D$500,MID(AE42,1,3)*1,UomConversion!$J$8:$J$500,1)&gt;1),TEXT(AH42,"000")&amp;"."&amp;VLOOKUP(AH42,uom_list,5,FALSE),"")</f>
        <v/>
      </c>
      <c r="AH42" s="2155" t="str">
        <f t="shared" si="12"/>
        <v/>
      </c>
      <c r="AI42" s="2155" t="str">
        <f t="shared" si="13"/>
        <v/>
      </c>
      <c r="AJ42" s="2155" t="str">
        <f t="shared" si="14"/>
        <v/>
      </c>
      <c r="AK42" s="2155" t="str" cm="1">
        <f t="array" ref="AK42">IF(L42="","",Slookup(MID(AE42,1,3)*1,UomConversion!$D$8:$J$500,2,UomConversion!$I$8:$I$500,1,UomConversion!$J$8:$J$500,1))</f>
        <v/>
      </c>
      <c r="AL42" s="2155" t="str">
        <f t="shared" si="15"/>
        <v/>
      </c>
      <c r="AM42" s="2155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155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155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1470"/>
    </row>
    <row r="43" spans="1:42" ht="27" hidden="1" customHeight="1">
      <c r="A43" s="1439"/>
      <c r="B43" s="1688"/>
      <c r="C43" s="1466"/>
      <c r="D43" s="1466"/>
      <c r="E43" s="1466"/>
      <c r="F43" s="1714"/>
      <c r="I43" s="2139" t="str">
        <f t="shared" si="5"/>
        <v/>
      </c>
      <c r="J43" s="2155" t="str">
        <f t="shared" si="16"/>
        <v/>
      </c>
      <c r="K43" s="2156" t="str">
        <f t="shared" si="17"/>
        <v/>
      </c>
      <c r="L43" s="1700"/>
      <c r="M43" s="1701"/>
      <c r="N43" s="1702"/>
      <c r="O43" s="1702"/>
      <c r="P43" s="2157" t="str">
        <f t="shared" si="18"/>
        <v/>
      </c>
      <c r="Q43" s="2157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703"/>
      <c r="S43" s="1702"/>
      <c r="T43" s="1702"/>
      <c r="U43" s="1700"/>
      <c r="V43" s="2155" t="str" cm="1">
        <f t="array" ref="V43">IF(L43="","",IF(M43=AE43,1,Slookup(MID(AE43,1,3)*1,UomConversion!$D$8:$J$500,5,UomConversion!$E$8:$E$500,MID(M43,1,3)*1,UomConversion!$J$8:$J$500,1)))</f>
        <v/>
      </c>
      <c r="W43" s="2155" t="str">
        <f t="shared" si="8"/>
        <v/>
      </c>
      <c r="X43" s="2158" t="str">
        <f t="shared" si="9"/>
        <v/>
      </c>
      <c r="Y43" s="2158" t="str">
        <f t="shared" si="10"/>
        <v/>
      </c>
      <c r="Z43" s="2155" t="str">
        <f>IF(I43="","",IF(ISNA(MATCH(I43,IF(MID(N43,1,3)*1=1,'[1]1_inventory_totals'!$C$8:$C$10000,IF(MID(N43,1,3)*1=2,'[1]2_inventory_totals'!$C$8:$C$10000,"")),0)),0,IF(AL43&gt;0,1,0)))</f>
        <v/>
      </c>
      <c r="AA43" s="2155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155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155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155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2159" t="str">
        <f t="shared" si="11"/>
        <v/>
      </c>
      <c r="AF43" s="2160" t="str">
        <f>IF(ISNA(MATCH(MID(AE43,1,3)*1,UomConversion!$D$8:$D$500,0)),"",IF(AJ43&lt;&gt;"",AJ43,""))</f>
        <v/>
      </c>
      <c r="AG43" s="2160" t="str">
        <f>IF(AND(AH43&gt;0,COUNTIFS(UomConversion!$D$8:$D$500,MID(AE43,1,3)*1,UomConversion!$J$8:$J$500,1)&gt;1),TEXT(AH43,"000")&amp;"."&amp;VLOOKUP(AH43,uom_list,5,FALSE),"")</f>
        <v/>
      </c>
      <c r="AH43" s="2155" t="str">
        <f t="shared" si="12"/>
        <v/>
      </c>
      <c r="AI43" s="2155" t="str">
        <f t="shared" si="13"/>
        <v/>
      </c>
      <c r="AJ43" s="2155" t="str">
        <f t="shared" si="14"/>
        <v/>
      </c>
      <c r="AK43" s="2155" t="str" cm="1">
        <f t="array" ref="AK43">IF(L43="","",Slookup(MID(AE43,1,3)*1,UomConversion!$D$8:$J$500,2,UomConversion!$I$8:$I$500,1,UomConversion!$J$8:$J$500,1))</f>
        <v/>
      </c>
      <c r="AL43" s="2155" t="str">
        <f t="shared" si="15"/>
        <v/>
      </c>
      <c r="AM43" s="2155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155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155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1470"/>
    </row>
    <row r="44" spans="1:42" ht="27" hidden="1" customHeight="1">
      <c r="A44" s="1439"/>
      <c r="B44" s="1688"/>
      <c r="C44" s="1466"/>
      <c r="D44" s="1466"/>
      <c r="E44" s="1466"/>
      <c r="F44" s="1714"/>
      <c r="I44" s="2139" t="str">
        <f t="shared" si="5"/>
        <v/>
      </c>
      <c r="J44" s="2155" t="str">
        <f t="shared" si="16"/>
        <v/>
      </c>
      <c r="K44" s="2156" t="str">
        <f t="shared" si="17"/>
        <v/>
      </c>
      <c r="L44" s="1700"/>
      <c r="M44" s="1701"/>
      <c r="N44" s="1702"/>
      <c r="O44" s="1702"/>
      <c r="P44" s="2157" t="str">
        <f t="shared" si="18"/>
        <v/>
      </c>
      <c r="Q44" s="2157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703"/>
      <c r="S44" s="1702"/>
      <c r="T44" s="1702"/>
      <c r="U44" s="1700"/>
      <c r="V44" s="2155" t="str" cm="1">
        <f t="array" ref="V44">IF(L44="","",IF(M44=AE44,1,Slookup(MID(AE44,1,3)*1,UomConversion!$D$8:$J$500,5,UomConversion!$E$8:$E$500,MID(M44,1,3)*1,UomConversion!$J$8:$J$500,1)))</f>
        <v/>
      </c>
      <c r="W44" s="2155" t="str">
        <f t="shared" si="8"/>
        <v/>
      </c>
      <c r="X44" s="2158" t="str">
        <f t="shared" si="9"/>
        <v/>
      </c>
      <c r="Y44" s="2158" t="str">
        <f t="shared" si="10"/>
        <v/>
      </c>
      <c r="Z44" s="2155" t="str">
        <f>IF(I44="","",IF(ISNA(MATCH(I44,IF(MID(N44,1,3)*1=1,'[1]1_inventory_totals'!$C$8:$C$10000,IF(MID(N44,1,3)*1=2,'[1]2_inventory_totals'!$C$8:$C$10000,"")),0)),0,IF(AL44&gt;0,1,0)))</f>
        <v/>
      </c>
      <c r="AA44" s="2155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155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155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155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2159" t="str">
        <f t="shared" si="11"/>
        <v/>
      </c>
      <c r="AF44" s="2160" t="str">
        <f>IF(ISNA(MATCH(MID(AE44,1,3)*1,UomConversion!$D$8:$D$500,0)),"",IF(AJ44&lt;&gt;"",AJ44,""))</f>
        <v/>
      </c>
      <c r="AG44" s="2160" t="str">
        <f>IF(AND(AH44&gt;0,COUNTIFS(UomConversion!$D$8:$D$500,MID(AE44,1,3)*1,UomConversion!$J$8:$J$500,1)&gt;1),TEXT(AH44,"000")&amp;"."&amp;VLOOKUP(AH44,uom_list,5,FALSE),"")</f>
        <v/>
      </c>
      <c r="AH44" s="2155" t="str">
        <f t="shared" si="12"/>
        <v/>
      </c>
      <c r="AI44" s="2155" t="str">
        <f t="shared" si="13"/>
        <v/>
      </c>
      <c r="AJ44" s="2155" t="str">
        <f t="shared" si="14"/>
        <v/>
      </c>
      <c r="AK44" s="2155" t="str" cm="1">
        <f t="array" ref="AK44">IF(L44="","",Slookup(MID(AE44,1,3)*1,UomConversion!$D$8:$J$500,2,UomConversion!$I$8:$I$500,1,UomConversion!$J$8:$J$500,1))</f>
        <v/>
      </c>
      <c r="AL44" s="2155" t="str">
        <f t="shared" si="15"/>
        <v/>
      </c>
      <c r="AM44" s="2155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155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155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1470"/>
    </row>
    <row r="45" spans="1:42" ht="27" hidden="1" customHeight="1">
      <c r="A45" s="1439"/>
      <c r="B45" s="1688"/>
      <c r="C45" s="1466"/>
      <c r="D45" s="1466"/>
      <c r="E45" s="1466"/>
      <c r="F45" s="1714"/>
      <c r="I45" s="2139" t="str">
        <f t="shared" si="5"/>
        <v/>
      </c>
      <c r="J45" s="2155" t="str">
        <f t="shared" si="16"/>
        <v/>
      </c>
      <c r="K45" s="2156" t="str">
        <f t="shared" si="17"/>
        <v/>
      </c>
      <c r="L45" s="1700"/>
      <c r="M45" s="1701"/>
      <c r="N45" s="1702"/>
      <c r="O45" s="1702"/>
      <c r="P45" s="2157" t="str">
        <f t="shared" si="18"/>
        <v/>
      </c>
      <c r="Q45" s="2157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703"/>
      <c r="S45" s="1702"/>
      <c r="T45" s="1702"/>
      <c r="U45" s="1700"/>
      <c r="V45" s="2155" t="str" cm="1">
        <f t="array" ref="V45">IF(L45="","",IF(M45=AE45,1,Slookup(MID(AE45,1,3)*1,UomConversion!$D$8:$J$500,5,UomConversion!$E$8:$E$500,MID(M45,1,3)*1,UomConversion!$J$8:$J$500,1)))</f>
        <v/>
      </c>
      <c r="W45" s="2155" t="str">
        <f t="shared" si="8"/>
        <v/>
      </c>
      <c r="X45" s="2158" t="str">
        <f t="shared" si="9"/>
        <v/>
      </c>
      <c r="Y45" s="2158" t="str">
        <f t="shared" si="10"/>
        <v/>
      </c>
      <c r="Z45" s="2155" t="str">
        <f>IF(I45="","",IF(ISNA(MATCH(I45,IF(MID(N45,1,3)*1=1,'[1]1_inventory_totals'!$C$8:$C$10000,IF(MID(N45,1,3)*1=2,'[1]2_inventory_totals'!$C$8:$C$10000,"")),0)),0,IF(AL45&gt;0,1,0)))</f>
        <v/>
      </c>
      <c r="AA45" s="2155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155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155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155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2159" t="str">
        <f t="shared" si="11"/>
        <v/>
      </c>
      <c r="AF45" s="2160" t="str">
        <f>IF(ISNA(MATCH(MID(AE45,1,3)*1,UomConversion!$D$8:$D$500,0)),"",IF(AJ45&lt;&gt;"",AJ45,""))</f>
        <v/>
      </c>
      <c r="AG45" s="2160" t="str">
        <f>IF(AND(AH45&gt;0,COUNTIFS(UomConversion!$D$8:$D$500,MID(AE45,1,3)*1,UomConversion!$J$8:$J$500,1)&gt;1),TEXT(AH45,"000")&amp;"."&amp;VLOOKUP(AH45,uom_list,5,FALSE),"")</f>
        <v/>
      </c>
      <c r="AH45" s="2155" t="str">
        <f t="shared" si="12"/>
        <v/>
      </c>
      <c r="AI45" s="2155" t="str">
        <f t="shared" si="13"/>
        <v/>
      </c>
      <c r="AJ45" s="2155" t="str">
        <f t="shared" si="14"/>
        <v/>
      </c>
      <c r="AK45" s="2155" t="str" cm="1">
        <f t="array" ref="AK45">IF(L45="","",Slookup(MID(AE45,1,3)*1,UomConversion!$D$8:$J$500,2,UomConversion!$I$8:$I$500,1,UomConversion!$J$8:$J$500,1))</f>
        <v/>
      </c>
      <c r="AL45" s="2155" t="str">
        <f t="shared" si="15"/>
        <v/>
      </c>
      <c r="AM45" s="2155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155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155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1470"/>
    </row>
    <row r="46" spans="1:42" ht="27" hidden="1" customHeight="1">
      <c r="A46" s="1439"/>
      <c r="B46" s="1688"/>
      <c r="C46" s="1466"/>
      <c r="D46" s="1466"/>
      <c r="E46" s="1466"/>
      <c r="F46" s="1714"/>
      <c r="I46" s="2139" t="str">
        <f t="shared" si="5"/>
        <v/>
      </c>
      <c r="J46" s="2155" t="str">
        <f t="shared" si="16"/>
        <v/>
      </c>
      <c r="K46" s="2156" t="str">
        <f t="shared" si="17"/>
        <v/>
      </c>
      <c r="L46" s="1700"/>
      <c r="M46" s="1701"/>
      <c r="N46" s="1702"/>
      <c r="O46" s="1702"/>
      <c r="P46" s="2157" t="str">
        <f t="shared" si="18"/>
        <v/>
      </c>
      <c r="Q46" s="2157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703"/>
      <c r="S46" s="1702"/>
      <c r="T46" s="1702"/>
      <c r="U46" s="1700"/>
      <c r="V46" s="2155" t="str" cm="1">
        <f t="array" ref="V46">IF(L46="","",IF(M46=AE46,1,Slookup(MID(AE46,1,3)*1,UomConversion!$D$8:$J$500,5,UomConversion!$E$8:$E$500,MID(M46,1,3)*1,UomConversion!$J$8:$J$500,1)))</f>
        <v/>
      </c>
      <c r="W46" s="2155" t="str">
        <f t="shared" si="8"/>
        <v/>
      </c>
      <c r="X46" s="2158" t="str">
        <f t="shared" si="9"/>
        <v/>
      </c>
      <c r="Y46" s="2158" t="str">
        <f t="shared" si="10"/>
        <v/>
      </c>
      <c r="Z46" s="2155" t="str">
        <f>IF(I46="","",IF(ISNA(MATCH(I46,IF(MID(N46,1,3)*1=1,'[1]1_inventory_totals'!$C$8:$C$10000,IF(MID(N46,1,3)*1=2,'[1]2_inventory_totals'!$C$8:$C$10000,"")),0)),0,IF(AL46&gt;0,1,0)))</f>
        <v/>
      </c>
      <c r="AA46" s="2155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155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155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155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2159" t="str">
        <f t="shared" si="11"/>
        <v/>
      </c>
      <c r="AF46" s="2160" t="str">
        <f>IF(ISNA(MATCH(MID(AE46,1,3)*1,UomConversion!$D$8:$D$500,0)),"",IF(AJ46&lt;&gt;"",AJ46,""))</f>
        <v/>
      </c>
      <c r="AG46" s="2160" t="str">
        <f>IF(AND(AH46&gt;0,COUNTIFS(UomConversion!$D$8:$D$500,MID(AE46,1,3)*1,UomConversion!$J$8:$J$500,1)&gt;1),TEXT(AH46,"000")&amp;"."&amp;VLOOKUP(AH46,uom_list,5,FALSE),"")</f>
        <v/>
      </c>
      <c r="AH46" s="2155" t="str">
        <f t="shared" si="12"/>
        <v/>
      </c>
      <c r="AI46" s="2155" t="str">
        <f t="shared" si="13"/>
        <v/>
      </c>
      <c r="AJ46" s="2155" t="str">
        <f t="shared" si="14"/>
        <v/>
      </c>
      <c r="AK46" s="2155" t="str" cm="1">
        <f t="array" ref="AK46">IF(L46="","",Slookup(MID(AE46,1,3)*1,UomConversion!$D$8:$J$500,2,UomConversion!$I$8:$I$500,1,UomConversion!$J$8:$J$500,1))</f>
        <v/>
      </c>
      <c r="AL46" s="2155" t="str">
        <f t="shared" si="15"/>
        <v/>
      </c>
      <c r="AM46" s="2155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155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155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1470"/>
    </row>
    <row r="47" spans="1:42" ht="27" hidden="1" customHeight="1">
      <c r="A47" s="1439"/>
      <c r="B47" s="1688"/>
      <c r="C47" s="1466"/>
      <c r="D47" s="1466"/>
      <c r="E47" s="1466"/>
      <c r="F47" s="1714"/>
      <c r="I47" s="2139" t="str">
        <f t="shared" si="5"/>
        <v/>
      </c>
      <c r="J47" s="2155" t="str">
        <f t="shared" si="16"/>
        <v/>
      </c>
      <c r="K47" s="2156" t="str">
        <f t="shared" si="17"/>
        <v/>
      </c>
      <c r="L47" s="1700"/>
      <c r="M47" s="1701"/>
      <c r="N47" s="1702"/>
      <c r="O47" s="1702"/>
      <c r="P47" s="2157" t="str">
        <f t="shared" si="18"/>
        <v/>
      </c>
      <c r="Q47" s="2157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703"/>
      <c r="S47" s="1702"/>
      <c r="T47" s="1702"/>
      <c r="U47" s="1700"/>
      <c r="V47" s="2155" t="str" cm="1">
        <f t="array" ref="V47">IF(L47="","",IF(M47=AE47,1,Slookup(MID(AE47,1,3)*1,UomConversion!$D$8:$J$500,5,UomConversion!$E$8:$E$500,MID(M47,1,3)*1,UomConversion!$J$8:$J$500,1)))</f>
        <v/>
      </c>
      <c r="W47" s="2155" t="str">
        <f t="shared" si="8"/>
        <v/>
      </c>
      <c r="X47" s="2158" t="str">
        <f t="shared" si="9"/>
        <v/>
      </c>
      <c r="Y47" s="2158" t="str">
        <f t="shared" si="10"/>
        <v/>
      </c>
      <c r="Z47" s="2155" t="str">
        <f>IF(I47="","",IF(ISNA(MATCH(I47,IF(MID(N47,1,3)*1=1,'[1]1_inventory_totals'!$C$8:$C$10000,IF(MID(N47,1,3)*1=2,'[1]2_inventory_totals'!$C$8:$C$10000,"")),0)),0,IF(AL47&gt;0,1,0)))</f>
        <v/>
      </c>
      <c r="AA47" s="2155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155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155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155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2159" t="str">
        <f t="shared" si="11"/>
        <v/>
      </c>
      <c r="AF47" s="2160" t="str">
        <f>IF(ISNA(MATCH(MID(AE47,1,3)*1,UomConversion!$D$8:$D$500,0)),"",IF(AJ47&lt;&gt;"",AJ47,""))</f>
        <v/>
      </c>
      <c r="AG47" s="2160" t="str">
        <f>IF(AND(AH47&gt;0,COUNTIFS(UomConversion!$D$8:$D$500,MID(AE47,1,3)*1,UomConversion!$J$8:$J$500,1)&gt;1),TEXT(AH47,"000")&amp;"."&amp;VLOOKUP(AH47,uom_list,5,FALSE),"")</f>
        <v/>
      </c>
      <c r="AH47" s="2155" t="str">
        <f t="shared" si="12"/>
        <v/>
      </c>
      <c r="AI47" s="2155" t="str">
        <f t="shared" si="13"/>
        <v/>
      </c>
      <c r="AJ47" s="2155" t="str">
        <f t="shared" si="14"/>
        <v/>
      </c>
      <c r="AK47" s="2155" t="str" cm="1">
        <f t="array" ref="AK47">IF(L47="","",Slookup(MID(AE47,1,3)*1,UomConversion!$D$8:$J$500,2,UomConversion!$I$8:$I$500,1,UomConversion!$J$8:$J$500,1))</f>
        <v/>
      </c>
      <c r="AL47" s="2155" t="str">
        <f t="shared" si="15"/>
        <v/>
      </c>
      <c r="AM47" s="2155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155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155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1470"/>
    </row>
    <row r="48" spans="1:42" ht="27" hidden="1" customHeight="1">
      <c r="A48" s="1439"/>
      <c r="B48" s="1688"/>
      <c r="C48" s="1466"/>
      <c r="D48" s="1466"/>
      <c r="E48" s="1466"/>
      <c r="F48" s="1714"/>
      <c r="I48" s="2139" t="str">
        <f t="shared" si="5"/>
        <v/>
      </c>
      <c r="J48" s="2155" t="str">
        <f t="shared" si="16"/>
        <v/>
      </c>
      <c r="K48" s="2156" t="str">
        <f t="shared" si="17"/>
        <v/>
      </c>
      <c r="L48" s="1700"/>
      <c r="M48" s="1701"/>
      <c r="N48" s="1702"/>
      <c r="O48" s="1702"/>
      <c r="P48" s="2157" t="str">
        <f t="shared" si="18"/>
        <v/>
      </c>
      <c r="Q48" s="2157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703"/>
      <c r="S48" s="1702"/>
      <c r="T48" s="1702"/>
      <c r="U48" s="1700"/>
      <c r="V48" s="2155" t="str" cm="1">
        <f t="array" ref="V48">IF(L48="","",IF(M48=AE48,1,Slookup(MID(AE48,1,3)*1,UomConversion!$D$8:$J$500,5,UomConversion!$E$8:$E$500,MID(M48,1,3)*1,UomConversion!$J$8:$J$500,1)))</f>
        <v/>
      </c>
      <c r="W48" s="2155" t="str">
        <f t="shared" si="8"/>
        <v/>
      </c>
      <c r="X48" s="2158" t="str">
        <f t="shared" si="9"/>
        <v/>
      </c>
      <c r="Y48" s="2158" t="str">
        <f t="shared" si="10"/>
        <v/>
      </c>
      <c r="Z48" s="2155" t="str">
        <f>IF(I48="","",IF(ISNA(MATCH(I48,IF(MID(N48,1,3)*1=1,'[1]1_inventory_totals'!$C$8:$C$10000,IF(MID(N48,1,3)*1=2,'[1]2_inventory_totals'!$C$8:$C$10000,"")),0)),0,IF(AL48&gt;0,1,0)))</f>
        <v/>
      </c>
      <c r="AA48" s="2155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155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155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155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2159" t="str">
        <f t="shared" si="11"/>
        <v/>
      </c>
      <c r="AF48" s="2160" t="str">
        <f>IF(ISNA(MATCH(MID(AE48,1,3)*1,UomConversion!$D$8:$D$500,0)),"",IF(AJ48&lt;&gt;"",AJ48,""))</f>
        <v/>
      </c>
      <c r="AG48" s="2160" t="str">
        <f>IF(AND(AH48&gt;0,COUNTIFS(UomConversion!$D$8:$D$500,MID(AE48,1,3)*1,UomConversion!$J$8:$J$500,1)&gt;1),TEXT(AH48,"000")&amp;"."&amp;VLOOKUP(AH48,uom_list,5,FALSE),"")</f>
        <v/>
      </c>
      <c r="AH48" s="2155" t="str">
        <f t="shared" si="12"/>
        <v/>
      </c>
      <c r="AI48" s="2155" t="str">
        <f t="shared" si="13"/>
        <v/>
      </c>
      <c r="AJ48" s="2155" t="str">
        <f t="shared" si="14"/>
        <v/>
      </c>
      <c r="AK48" s="2155" t="str" cm="1">
        <f t="array" ref="AK48">IF(L48="","",Slookup(MID(AE48,1,3)*1,UomConversion!$D$8:$J$500,2,UomConversion!$I$8:$I$500,1,UomConversion!$J$8:$J$500,1))</f>
        <v/>
      </c>
      <c r="AL48" s="2155" t="str">
        <f t="shared" si="15"/>
        <v/>
      </c>
      <c r="AM48" s="2155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155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155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1470"/>
    </row>
    <row r="49" spans="1:42" ht="27" hidden="1" customHeight="1">
      <c r="A49" s="1439"/>
      <c r="B49" s="1688"/>
      <c r="C49" s="1466"/>
      <c r="D49" s="1466"/>
      <c r="E49" s="1466"/>
      <c r="F49" s="1714"/>
      <c r="I49" s="2139" t="str">
        <f t="shared" si="5"/>
        <v/>
      </c>
      <c r="J49" s="2155" t="str">
        <f t="shared" si="16"/>
        <v/>
      </c>
      <c r="K49" s="2156" t="str">
        <f t="shared" si="17"/>
        <v/>
      </c>
      <c r="L49" s="1700"/>
      <c r="M49" s="1701"/>
      <c r="N49" s="1702"/>
      <c r="O49" s="1702"/>
      <c r="P49" s="2157" t="str">
        <f t="shared" si="18"/>
        <v/>
      </c>
      <c r="Q49" s="2157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703"/>
      <c r="S49" s="1702"/>
      <c r="T49" s="1702"/>
      <c r="U49" s="1700"/>
      <c r="V49" s="2155" t="str" cm="1">
        <f t="array" ref="V49">IF(L49="","",IF(M49=AE49,1,Slookup(MID(AE49,1,3)*1,UomConversion!$D$8:$J$500,5,UomConversion!$E$8:$E$500,MID(M49,1,3)*1,UomConversion!$J$8:$J$500,1)))</f>
        <v/>
      </c>
      <c r="W49" s="2155" t="str">
        <f t="shared" si="8"/>
        <v/>
      </c>
      <c r="X49" s="2158" t="str">
        <f t="shared" si="9"/>
        <v/>
      </c>
      <c r="Y49" s="2158" t="str">
        <f t="shared" si="10"/>
        <v/>
      </c>
      <c r="Z49" s="2155" t="str">
        <f>IF(I49="","",IF(ISNA(MATCH(I49,IF(MID(N49,1,3)*1=1,'[1]1_inventory_totals'!$C$8:$C$10000,IF(MID(N49,1,3)*1=2,'[1]2_inventory_totals'!$C$8:$C$10000,"")),0)),0,IF(AL49&gt;0,1,0)))</f>
        <v/>
      </c>
      <c r="AA49" s="2155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155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155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155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2159" t="str">
        <f t="shared" si="11"/>
        <v/>
      </c>
      <c r="AF49" s="2160" t="str">
        <f>IF(ISNA(MATCH(MID(AE49,1,3)*1,UomConversion!$D$8:$D$500,0)),"",IF(AJ49&lt;&gt;"",AJ49,""))</f>
        <v/>
      </c>
      <c r="AG49" s="2160" t="str">
        <f>IF(AND(AH49&gt;0,COUNTIFS(UomConversion!$D$8:$D$500,MID(AE49,1,3)*1,UomConversion!$J$8:$J$500,1)&gt;1),TEXT(AH49,"000")&amp;"."&amp;VLOOKUP(AH49,uom_list,5,FALSE),"")</f>
        <v/>
      </c>
      <c r="AH49" s="2155" t="str">
        <f t="shared" si="12"/>
        <v/>
      </c>
      <c r="AI49" s="2155" t="str">
        <f t="shared" si="13"/>
        <v/>
      </c>
      <c r="AJ49" s="2155" t="str">
        <f t="shared" si="14"/>
        <v/>
      </c>
      <c r="AK49" s="2155" t="str" cm="1">
        <f t="array" ref="AK49">IF(L49="","",Slookup(MID(AE49,1,3)*1,UomConversion!$D$8:$J$500,2,UomConversion!$I$8:$I$500,1,UomConversion!$J$8:$J$500,1))</f>
        <v/>
      </c>
      <c r="AL49" s="2155" t="str">
        <f t="shared" si="15"/>
        <v/>
      </c>
      <c r="AM49" s="2155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155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155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1470"/>
    </row>
    <row r="50" spans="1:42" ht="27" hidden="1" customHeight="1">
      <c r="A50" s="1439"/>
      <c r="B50" s="1688"/>
      <c r="C50" s="1466"/>
      <c r="D50" s="1466"/>
      <c r="E50" s="1466"/>
      <c r="F50" s="1714"/>
      <c r="I50" s="2139" t="str">
        <f t="shared" si="5"/>
        <v/>
      </c>
      <c r="J50" s="2155" t="str">
        <f t="shared" si="16"/>
        <v/>
      </c>
      <c r="K50" s="2156" t="str">
        <f t="shared" si="17"/>
        <v/>
      </c>
      <c r="L50" s="1700"/>
      <c r="M50" s="1701"/>
      <c r="N50" s="1702"/>
      <c r="O50" s="1702"/>
      <c r="P50" s="2157" t="str">
        <f t="shared" si="18"/>
        <v/>
      </c>
      <c r="Q50" s="2157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703"/>
      <c r="S50" s="1702"/>
      <c r="T50" s="1702"/>
      <c r="U50" s="1700"/>
      <c r="V50" s="2155" t="str" cm="1">
        <f t="array" ref="V50">IF(L50="","",IF(M50=AE50,1,Slookup(MID(AE50,1,3)*1,UomConversion!$D$8:$J$500,5,UomConversion!$E$8:$E$500,MID(M50,1,3)*1,UomConversion!$J$8:$J$500,1)))</f>
        <v/>
      </c>
      <c r="W50" s="2155" t="str">
        <f t="shared" si="8"/>
        <v/>
      </c>
      <c r="X50" s="2158" t="str">
        <f t="shared" si="9"/>
        <v/>
      </c>
      <c r="Y50" s="2158" t="str">
        <f t="shared" si="10"/>
        <v/>
      </c>
      <c r="Z50" s="2155" t="str">
        <f>IF(I50="","",IF(ISNA(MATCH(I50,IF(MID(N50,1,3)*1=1,'[1]1_inventory_totals'!$C$8:$C$10000,IF(MID(N50,1,3)*1=2,'[1]2_inventory_totals'!$C$8:$C$10000,"")),0)),0,IF(AL50&gt;0,1,0)))</f>
        <v/>
      </c>
      <c r="AA50" s="2155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155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155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155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2159" t="str">
        <f t="shared" si="11"/>
        <v/>
      </c>
      <c r="AF50" s="2160" t="str">
        <f>IF(ISNA(MATCH(MID(AE50,1,3)*1,UomConversion!$D$8:$D$500,0)),"",IF(AJ50&lt;&gt;"",AJ50,""))</f>
        <v/>
      </c>
      <c r="AG50" s="2160" t="str">
        <f>IF(AND(AH50&gt;0,COUNTIFS(UomConversion!$D$8:$D$500,MID(AE50,1,3)*1,UomConversion!$J$8:$J$500,1)&gt;1),TEXT(AH50,"000")&amp;"."&amp;VLOOKUP(AH50,uom_list,5,FALSE),"")</f>
        <v/>
      </c>
      <c r="AH50" s="2155" t="str">
        <f t="shared" si="12"/>
        <v/>
      </c>
      <c r="AI50" s="2155" t="str">
        <f t="shared" si="13"/>
        <v/>
      </c>
      <c r="AJ50" s="2155" t="str">
        <f t="shared" si="14"/>
        <v/>
      </c>
      <c r="AK50" s="2155" t="str" cm="1">
        <f t="array" ref="AK50">IF(L50="","",Slookup(MID(AE50,1,3)*1,UomConversion!$D$8:$J$500,2,UomConversion!$I$8:$I$500,1,UomConversion!$J$8:$J$500,1))</f>
        <v/>
      </c>
      <c r="AL50" s="2155" t="str">
        <f t="shared" si="15"/>
        <v/>
      </c>
      <c r="AM50" s="2155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155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155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1470"/>
    </row>
    <row r="51" spans="1:42" ht="27" hidden="1" customHeight="1">
      <c r="A51" s="1439"/>
      <c r="B51" s="1688"/>
      <c r="C51" s="1466"/>
      <c r="D51" s="1466"/>
      <c r="E51" s="1466"/>
      <c r="F51" s="1714"/>
      <c r="I51" s="2139" t="str">
        <f t="shared" si="5"/>
        <v/>
      </c>
      <c r="J51" s="2155" t="str">
        <f t="shared" si="16"/>
        <v/>
      </c>
      <c r="K51" s="2156" t="str">
        <f t="shared" si="17"/>
        <v/>
      </c>
      <c r="L51" s="1700"/>
      <c r="M51" s="1701"/>
      <c r="N51" s="1702"/>
      <c r="O51" s="1702"/>
      <c r="P51" s="2157" t="str">
        <f t="shared" si="18"/>
        <v/>
      </c>
      <c r="Q51" s="2157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703"/>
      <c r="S51" s="1702"/>
      <c r="T51" s="1702"/>
      <c r="U51" s="1700"/>
      <c r="V51" s="2155" t="str" cm="1">
        <f t="array" ref="V51">IF(L51="","",IF(M51=AE51,1,Slookup(MID(AE51,1,3)*1,UomConversion!$D$8:$J$500,5,UomConversion!$E$8:$E$500,MID(M51,1,3)*1,UomConversion!$J$8:$J$500,1)))</f>
        <v/>
      </c>
      <c r="W51" s="2155" t="str">
        <f t="shared" si="8"/>
        <v/>
      </c>
      <c r="X51" s="2158" t="str">
        <f t="shared" si="9"/>
        <v/>
      </c>
      <c r="Y51" s="2158" t="str">
        <f t="shared" si="10"/>
        <v/>
      </c>
      <c r="Z51" s="2155" t="str">
        <f>IF(I51="","",IF(ISNA(MATCH(I51,IF(MID(N51,1,3)*1=1,'[1]1_inventory_totals'!$C$8:$C$10000,IF(MID(N51,1,3)*1=2,'[1]2_inventory_totals'!$C$8:$C$10000,"")),0)),0,IF(AL51&gt;0,1,0)))</f>
        <v/>
      </c>
      <c r="AA51" s="2155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155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155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155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2159" t="str">
        <f t="shared" si="11"/>
        <v/>
      </c>
      <c r="AF51" s="2160" t="str">
        <f>IF(ISNA(MATCH(MID(AE51,1,3)*1,UomConversion!$D$8:$D$500,0)),"",IF(AJ51&lt;&gt;"",AJ51,""))</f>
        <v/>
      </c>
      <c r="AG51" s="2160" t="str">
        <f>IF(AND(AH51&gt;0,COUNTIFS(UomConversion!$D$8:$D$500,MID(AE51,1,3)*1,UomConversion!$J$8:$J$500,1)&gt;1),TEXT(AH51,"000")&amp;"."&amp;VLOOKUP(AH51,uom_list,5,FALSE),"")</f>
        <v/>
      </c>
      <c r="AH51" s="2155" t="str">
        <f t="shared" si="12"/>
        <v/>
      </c>
      <c r="AI51" s="2155" t="str">
        <f t="shared" si="13"/>
        <v/>
      </c>
      <c r="AJ51" s="2155" t="str">
        <f t="shared" si="14"/>
        <v/>
      </c>
      <c r="AK51" s="2155" t="str" cm="1">
        <f t="array" ref="AK51">IF(L51="","",Slookup(MID(AE51,1,3)*1,UomConversion!$D$8:$J$500,2,UomConversion!$I$8:$I$500,1,UomConversion!$J$8:$J$500,1))</f>
        <v/>
      </c>
      <c r="AL51" s="2155" t="str">
        <f t="shared" si="15"/>
        <v/>
      </c>
      <c r="AM51" s="2155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155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155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1470"/>
    </row>
    <row r="52" spans="1:42" ht="27" hidden="1" customHeight="1">
      <c r="A52" s="1439"/>
      <c r="B52" s="1688"/>
      <c r="C52" s="1466"/>
      <c r="D52" s="1466"/>
      <c r="E52" s="1466"/>
      <c r="F52" s="1714"/>
      <c r="I52" s="2139" t="str">
        <f t="shared" si="5"/>
        <v/>
      </c>
      <c r="J52" s="2155" t="str">
        <f t="shared" si="16"/>
        <v/>
      </c>
      <c r="K52" s="2156" t="str">
        <f t="shared" si="17"/>
        <v/>
      </c>
      <c r="L52" s="1700"/>
      <c r="M52" s="1701"/>
      <c r="N52" s="1702"/>
      <c r="O52" s="1702"/>
      <c r="P52" s="2157" t="str">
        <f t="shared" si="18"/>
        <v/>
      </c>
      <c r="Q52" s="2157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703"/>
      <c r="S52" s="1702"/>
      <c r="T52" s="1702"/>
      <c r="U52" s="1700"/>
      <c r="V52" s="2155" t="str" cm="1">
        <f t="array" ref="V52">IF(L52="","",IF(M52=AE52,1,Slookup(MID(AE52,1,3)*1,UomConversion!$D$8:$J$500,5,UomConversion!$E$8:$E$500,MID(M52,1,3)*1,UomConversion!$J$8:$J$500,1)))</f>
        <v/>
      </c>
      <c r="W52" s="2155" t="str">
        <f t="shared" si="8"/>
        <v/>
      </c>
      <c r="X52" s="2158" t="str">
        <f t="shared" si="9"/>
        <v/>
      </c>
      <c r="Y52" s="2158" t="str">
        <f t="shared" si="10"/>
        <v/>
      </c>
      <c r="Z52" s="2155" t="str">
        <f>IF(I52="","",IF(ISNA(MATCH(I52,IF(MID(N52,1,3)*1=1,'[1]1_inventory_totals'!$C$8:$C$10000,IF(MID(N52,1,3)*1=2,'[1]2_inventory_totals'!$C$8:$C$10000,"")),0)),0,IF(AL52&gt;0,1,0)))</f>
        <v/>
      </c>
      <c r="AA52" s="2155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155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155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155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2159" t="str">
        <f t="shared" si="11"/>
        <v/>
      </c>
      <c r="AF52" s="2160" t="str">
        <f>IF(ISNA(MATCH(MID(AE52,1,3)*1,UomConversion!$D$8:$D$500,0)),"",IF(AJ52&lt;&gt;"",AJ52,""))</f>
        <v/>
      </c>
      <c r="AG52" s="2160" t="str">
        <f>IF(AND(AH52&gt;0,COUNTIFS(UomConversion!$D$8:$D$500,MID(AE52,1,3)*1,UomConversion!$J$8:$J$500,1)&gt;1),TEXT(AH52,"000")&amp;"."&amp;VLOOKUP(AH52,uom_list,5,FALSE),"")</f>
        <v/>
      </c>
      <c r="AH52" s="2155" t="str">
        <f t="shared" si="12"/>
        <v/>
      </c>
      <c r="AI52" s="2155" t="str">
        <f t="shared" si="13"/>
        <v/>
      </c>
      <c r="AJ52" s="2155" t="str">
        <f t="shared" si="14"/>
        <v/>
      </c>
      <c r="AK52" s="2155" t="str" cm="1">
        <f t="array" ref="AK52">IF(L52="","",Slookup(MID(AE52,1,3)*1,UomConversion!$D$8:$J$500,2,UomConversion!$I$8:$I$500,1,UomConversion!$J$8:$J$500,1))</f>
        <v/>
      </c>
      <c r="AL52" s="2155" t="str">
        <f t="shared" si="15"/>
        <v/>
      </c>
      <c r="AM52" s="2155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155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155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1470"/>
    </row>
    <row r="53" spans="1:42" ht="27" hidden="1" customHeight="1">
      <c r="A53" s="1439"/>
      <c r="B53" s="1694"/>
      <c r="C53" s="1466"/>
      <c r="D53" s="1466"/>
      <c r="E53" s="1466"/>
      <c r="F53" s="1715"/>
      <c r="G53" s="1457"/>
      <c r="H53" s="1586"/>
      <c r="I53" s="2139" t="str">
        <f t="shared" si="5"/>
        <v/>
      </c>
      <c r="J53" s="2155" t="str">
        <f t="shared" si="16"/>
        <v/>
      </c>
      <c r="K53" s="2156" t="str">
        <f t="shared" si="17"/>
        <v/>
      </c>
      <c r="L53" s="1700"/>
      <c r="M53" s="1701"/>
      <c r="N53" s="1702"/>
      <c r="O53" s="1702"/>
      <c r="P53" s="2157" t="str">
        <f t="shared" si="18"/>
        <v/>
      </c>
      <c r="Q53" s="2157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703"/>
      <c r="S53" s="1702"/>
      <c r="T53" s="1702"/>
      <c r="U53" s="1700"/>
      <c r="V53" s="2155" t="str" cm="1">
        <f t="array" ref="V53">IF(L53="","",IF(M53=AE53,1,Slookup(MID(AE53,1,3)*1,UomConversion!$D$8:$J$500,5,UomConversion!$E$8:$E$500,MID(M53,1,3)*1,UomConversion!$J$8:$J$500,1)))</f>
        <v/>
      </c>
      <c r="W53" s="2155" t="str">
        <f t="shared" si="8"/>
        <v/>
      </c>
      <c r="X53" s="2158" t="str">
        <f t="shared" si="9"/>
        <v/>
      </c>
      <c r="Y53" s="2158" t="str">
        <f t="shared" si="10"/>
        <v/>
      </c>
      <c r="Z53" s="2155" t="str">
        <f>IF(I53="","",IF(ISNA(MATCH(I53,IF(MID(N53,1,3)*1=1,'[1]1_inventory_totals'!$C$8:$C$10000,IF(MID(N53,1,3)*1=2,'[1]2_inventory_totals'!$C$8:$C$10000,"")),0)),0,IF(AL53&gt;0,1,0)))</f>
        <v/>
      </c>
      <c r="AA53" s="2155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155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155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155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2159" t="str">
        <f t="shared" si="11"/>
        <v/>
      </c>
      <c r="AF53" s="2160" t="str">
        <f>IF(ISNA(MATCH(MID(AE53,1,3)*1,UomConversion!$D$8:$D$500,0)),"",IF(AJ53&lt;&gt;"",AJ53,""))</f>
        <v/>
      </c>
      <c r="AG53" s="2160" t="str">
        <f>IF(AND(AH53&gt;0,COUNTIFS(UomConversion!$D$8:$D$500,MID(AE53,1,3)*1,UomConversion!$J$8:$J$500,1)&gt;1),TEXT(AH53,"000")&amp;"."&amp;VLOOKUP(AH53,uom_list,5,FALSE),"")</f>
        <v/>
      </c>
      <c r="AH53" s="2155" t="str">
        <f t="shared" si="12"/>
        <v/>
      </c>
      <c r="AI53" s="2155" t="str">
        <f t="shared" si="13"/>
        <v/>
      </c>
      <c r="AJ53" s="2155" t="str">
        <f t="shared" si="14"/>
        <v/>
      </c>
      <c r="AK53" s="2155" t="str" cm="1">
        <f t="array" ref="AK53">IF(L53="","",Slookup(MID(AE53,1,3)*1,UomConversion!$D$8:$J$500,2,UomConversion!$I$8:$I$500,1,UomConversion!$J$8:$J$500,1))</f>
        <v/>
      </c>
      <c r="AL53" s="2155" t="str">
        <f t="shared" si="15"/>
        <v/>
      </c>
      <c r="AM53" s="2155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155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155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1470"/>
    </row>
    <row r="54" spans="1:42" ht="27" hidden="1" customHeight="1">
      <c r="A54" s="1439"/>
      <c r="B54" s="1694"/>
      <c r="C54" s="1466"/>
      <c r="D54" s="1466"/>
      <c r="E54" s="1466"/>
      <c r="F54" s="1715"/>
      <c r="G54" s="1457"/>
      <c r="H54" s="1586"/>
      <c r="I54" s="2139" t="str">
        <f t="shared" si="5"/>
        <v/>
      </c>
      <c r="J54" s="2155" t="str">
        <f t="shared" si="16"/>
        <v/>
      </c>
      <c r="K54" s="2156" t="str">
        <f t="shared" si="17"/>
        <v/>
      </c>
      <c r="L54" s="1700"/>
      <c r="M54" s="1701"/>
      <c r="N54" s="1702"/>
      <c r="O54" s="1702"/>
      <c r="P54" s="2157" t="str">
        <f t="shared" si="18"/>
        <v/>
      </c>
      <c r="Q54" s="2157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703"/>
      <c r="S54" s="1702"/>
      <c r="T54" s="1702"/>
      <c r="U54" s="1700"/>
      <c r="V54" s="2155" t="str" cm="1">
        <f t="array" ref="V54">IF(L54="","",IF(M54=AE54,1,Slookup(MID(AE54,1,3)*1,UomConversion!$D$8:$J$500,5,UomConversion!$E$8:$E$500,MID(M54,1,3)*1,UomConversion!$J$8:$J$500,1)))</f>
        <v/>
      </c>
      <c r="W54" s="2155" t="str">
        <f t="shared" si="8"/>
        <v/>
      </c>
      <c r="X54" s="2158" t="str">
        <f t="shared" si="9"/>
        <v/>
      </c>
      <c r="Y54" s="2158" t="str">
        <f t="shared" si="10"/>
        <v/>
      </c>
      <c r="Z54" s="2155" t="str">
        <f>IF(I54="","",IF(ISNA(MATCH(I54,IF(MID(N54,1,3)*1=1,'[1]1_inventory_totals'!$C$8:$C$10000,IF(MID(N54,1,3)*1=2,'[1]2_inventory_totals'!$C$8:$C$10000,"")),0)),0,IF(AL54&gt;0,1,0)))</f>
        <v/>
      </c>
      <c r="AA54" s="2155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155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155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155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2159" t="str">
        <f t="shared" si="11"/>
        <v/>
      </c>
      <c r="AF54" s="2160" t="str">
        <f>IF(ISNA(MATCH(MID(AE54,1,3)*1,UomConversion!$D$8:$D$500,0)),"",IF(AJ54&lt;&gt;"",AJ54,""))</f>
        <v/>
      </c>
      <c r="AG54" s="2160" t="str">
        <f>IF(AND(AH54&gt;0,COUNTIFS(UomConversion!$D$8:$D$500,MID(AE54,1,3)*1,UomConversion!$J$8:$J$500,1)&gt;1),TEXT(AH54,"000")&amp;"."&amp;VLOOKUP(AH54,uom_list,5,FALSE),"")</f>
        <v/>
      </c>
      <c r="AH54" s="2155" t="str">
        <f t="shared" si="12"/>
        <v/>
      </c>
      <c r="AI54" s="2155" t="str">
        <f t="shared" si="13"/>
        <v/>
      </c>
      <c r="AJ54" s="2155" t="str">
        <f t="shared" si="14"/>
        <v/>
      </c>
      <c r="AK54" s="2155" t="str" cm="1">
        <f t="array" ref="AK54">IF(L54="","",Slookup(MID(AE54,1,3)*1,UomConversion!$D$8:$J$500,2,UomConversion!$I$8:$I$500,1,UomConversion!$J$8:$J$500,1))</f>
        <v/>
      </c>
      <c r="AL54" s="2155" t="str">
        <f t="shared" si="15"/>
        <v/>
      </c>
      <c r="AM54" s="2155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155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155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1470"/>
    </row>
    <row r="55" spans="1:42" ht="27" hidden="1" customHeight="1">
      <c r="A55" s="1439"/>
      <c r="B55" s="1694"/>
      <c r="C55" s="1466"/>
      <c r="D55" s="1466"/>
      <c r="E55" s="1466"/>
      <c r="F55" s="1715"/>
      <c r="G55" s="1457"/>
      <c r="H55" s="1586"/>
      <c r="I55" s="2139" t="str">
        <f t="shared" si="5"/>
        <v/>
      </c>
      <c r="J55" s="2155" t="str">
        <f t="shared" si="16"/>
        <v/>
      </c>
      <c r="K55" s="2156" t="str">
        <f t="shared" si="17"/>
        <v/>
      </c>
      <c r="L55" s="1700"/>
      <c r="M55" s="1701"/>
      <c r="N55" s="1702"/>
      <c r="O55" s="1702"/>
      <c r="P55" s="2157" t="str">
        <f t="shared" si="18"/>
        <v/>
      </c>
      <c r="Q55" s="2157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703"/>
      <c r="S55" s="1702"/>
      <c r="T55" s="1702"/>
      <c r="U55" s="1700"/>
      <c r="V55" s="2155" t="str" cm="1">
        <f t="array" ref="V55">IF(L55="","",IF(M55=AE55,1,Slookup(MID(AE55,1,3)*1,UomConversion!$D$8:$J$500,5,UomConversion!$E$8:$E$500,MID(M55,1,3)*1,UomConversion!$J$8:$J$500,1)))</f>
        <v/>
      </c>
      <c r="W55" s="2155" t="str">
        <f t="shared" si="8"/>
        <v/>
      </c>
      <c r="X55" s="2158" t="str">
        <f t="shared" si="9"/>
        <v/>
      </c>
      <c r="Y55" s="2158" t="str">
        <f t="shared" si="10"/>
        <v/>
      </c>
      <c r="Z55" s="2155" t="str">
        <f>IF(I55="","",IF(ISNA(MATCH(I55,IF(MID(N55,1,3)*1=1,'[1]1_inventory_totals'!$C$8:$C$10000,IF(MID(N55,1,3)*1=2,'[1]2_inventory_totals'!$C$8:$C$10000,"")),0)),0,IF(AL55&gt;0,1,0)))</f>
        <v/>
      </c>
      <c r="AA55" s="2155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155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155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155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2159" t="str">
        <f t="shared" si="11"/>
        <v/>
      </c>
      <c r="AF55" s="2160" t="str">
        <f>IF(ISNA(MATCH(MID(AE55,1,3)*1,UomConversion!$D$8:$D$500,0)),"",IF(AJ55&lt;&gt;"",AJ55,""))</f>
        <v/>
      </c>
      <c r="AG55" s="2160" t="str">
        <f>IF(AND(AH55&gt;0,COUNTIFS(UomConversion!$D$8:$D$500,MID(AE55,1,3)*1,UomConversion!$J$8:$J$500,1)&gt;1),TEXT(AH55,"000")&amp;"."&amp;VLOOKUP(AH55,uom_list,5,FALSE),"")</f>
        <v/>
      </c>
      <c r="AH55" s="2155" t="str">
        <f t="shared" si="12"/>
        <v/>
      </c>
      <c r="AI55" s="2155" t="str">
        <f t="shared" si="13"/>
        <v/>
      </c>
      <c r="AJ55" s="2155" t="str">
        <f t="shared" si="14"/>
        <v/>
      </c>
      <c r="AK55" s="2155" t="str" cm="1">
        <f t="array" ref="AK55">IF(L55="","",Slookup(MID(AE55,1,3)*1,UomConversion!$D$8:$J$500,2,UomConversion!$I$8:$I$500,1,UomConversion!$J$8:$J$500,1))</f>
        <v/>
      </c>
      <c r="AL55" s="2155" t="str">
        <f t="shared" si="15"/>
        <v/>
      </c>
      <c r="AM55" s="2155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155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155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1470"/>
    </row>
    <row r="56" spans="1:42" ht="27" hidden="1" customHeight="1">
      <c r="A56" s="1439"/>
      <c r="B56" s="1694"/>
      <c r="C56" s="1466"/>
      <c r="D56" s="1466"/>
      <c r="E56" s="1466"/>
      <c r="F56" s="1715"/>
      <c r="G56" s="1457"/>
      <c r="H56" s="1586"/>
      <c r="I56" s="2139" t="str">
        <f t="shared" si="5"/>
        <v/>
      </c>
      <c r="J56" s="2155" t="str">
        <f t="shared" si="16"/>
        <v/>
      </c>
      <c r="K56" s="2156" t="str">
        <f t="shared" si="17"/>
        <v/>
      </c>
      <c r="L56" s="1700"/>
      <c r="M56" s="1701"/>
      <c r="N56" s="1702"/>
      <c r="O56" s="1702"/>
      <c r="P56" s="2157" t="str">
        <f t="shared" si="18"/>
        <v/>
      </c>
      <c r="Q56" s="2157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703"/>
      <c r="S56" s="1702"/>
      <c r="T56" s="1702"/>
      <c r="U56" s="1700"/>
      <c r="V56" s="2155" t="str" cm="1">
        <f t="array" ref="V56">IF(L56="","",IF(M56=AE56,1,Slookup(MID(AE56,1,3)*1,UomConversion!$D$8:$J$500,5,UomConversion!$E$8:$E$500,MID(M56,1,3)*1,UomConversion!$J$8:$J$500,1)))</f>
        <v/>
      </c>
      <c r="W56" s="2155" t="str">
        <f t="shared" si="8"/>
        <v/>
      </c>
      <c r="X56" s="2158" t="str">
        <f t="shared" si="9"/>
        <v/>
      </c>
      <c r="Y56" s="2158" t="str">
        <f t="shared" si="10"/>
        <v/>
      </c>
      <c r="Z56" s="2155" t="str">
        <f>IF(I56="","",IF(ISNA(MATCH(I56,IF(MID(N56,1,3)*1=1,'[1]1_inventory_totals'!$C$8:$C$10000,IF(MID(N56,1,3)*1=2,'[1]2_inventory_totals'!$C$8:$C$10000,"")),0)),0,IF(AL56&gt;0,1,0)))</f>
        <v/>
      </c>
      <c r="AA56" s="2155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155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155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155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2159" t="str">
        <f t="shared" si="11"/>
        <v/>
      </c>
      <c r="AF56" s="2160" t="str">
        <f>IF(ISNA(MATCH(MID(AE56,1,3)*1,UomConversion!$D$8:$D$500,0)),"",IF(AJ56&lt;&gt;"",AJ56,""))</f>
        <v/>
      </c>
      <c r="AG56" s="2160" t="str">
        <f>IF(AND(AH56&gt;0,COUNTIFS(UomConversion!$D$8:$D$500,MID(AE56,1,3)*1,UomConversion!$J$8:$J$500,1)&gt;1),TEXT(AH56,"000")&amp;"."&amp;VLOOKUP(AH56,uom_list,5,FALSE),"")</f>
        <v/>
      </c>
      <c r="AH56" s="2155" t="str">
        <f t="shared" si="12"/>
        <v/>
      </c>
      <c r="AI56" s="2155" t="str">
        <f t="shared" si="13"/>
        <v/>
      </c>
      <c r="AJ56" s="2155" t="str">
        <f t="shared" si="14"/>
        <v/>
      </c>
      <c r="AK56" s="2155" t="str" cm="1">
        <f t="array" ref="AK56">IF(L56="","",Slookup(MID(AE56,1,3)*1,UomConversion!$D$8:$J$500,2,UomConversion!$I$8:$I$500,1,UomConversion!$J$8:$J$500,1))</f>
        <v/>
      </c>
      <c r="AL56" s="2155" t="str">
        <f t="shared" si="15"/>
        <v/>
      </c>
      <c r="AM56" s="2155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155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155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1470"/>
    </row>
    <row r="57" spans="1:42" ht="27" hidden="1" customHeight="1">
      <c r="A57" s="1439"/>
      <c r="B57" s="1694"/>
      <c r="C57" s="1466"/>
      <c r="D57" s="1466"/>
      <c r="E57" s="1466"/>
      <c r="F57" s="1715"/>
      <c r="G57" s="1457"/>
      <c r="H57" s="1586"/>
      <c r="I57" s="2139" t="str">
        <f t="shared" si="5"/>
        <v/>
      </c>
      <c r="J57" s="2155" t="str">
        <f t="shared" si="16"/>
        <v/>
      </c>
      <c r="K57" s="2156" t="str">
        <f t="shared" si="17"/>
        <v/>
      </c>
      <c r="L57" s="1700"/>
      <c r="M57" s="1701"/>
      <c r="N57" s="1702"/>
      <c r="O57" s="1702"/>
      <c r="P57" s="2157" t="str">
        <f t="shared" si="18"/>
        <v/>
      </c>
      <c r="Q57" s="2157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703"/>
      <c r="S57" s="1702"/>
      <c r="T57" s="1702"/>
      <c r="U57" s="1700"/>
      <c r="V57" s="2155" t="str" cm="1">
        <f t="array" ref="V57">IF(L57="","",IF(M57=AE57,1,Slookup(MID(AE57,1,3)*1,UomConversion!$D$8:$J$500,5,UomConversion!$E$8:$E$500,MID(M57,1,3)*1,UomConversion!$J$8:$J$500,1)))</f>
        <v/>
      </c>
      <c r="W57" s="2155" t="str">
        <f t="shared" si="8"/>
        <v/>
      </c>
      <c r="X57" s="2158" t="str">
        <f t="shared" si="9"/>
        <v/>
      </c>
      <c r="Y57" s="2158" t="str">
        <f t="shared" si="10"/>
        <v/>
      </c>
      <c r="Z57" s="2155" t="str">
        <f>IF(I57="","",IF(ISNA(MATCH(I57,IF(MID(N57,1,3)*1=1,'[1]1_inventory_totals'!$C$8:$C$10000,IF(MID(N57,1,3)*1=2,'[1]2_inventory_totals'!$C$8:$C$10000,"")),0)),0,IF(AL57&gt;0,1,0)))</f>
        <v/>
      </c>
      <c r="AA57" s="2155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155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155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155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2159" t="str">
        <f t="shared" si="11"/>
        <v/>
      </c>
      <c r="AF57" s="2160" t="str">
        <f>IF(ISNA(MATCH(MID(AE57,1,3)*1,UomConversion!$D$8:$D$500,0)),"",IF(AJ57&lt;&gt;"",AJ57,""))</f>
        <v/>
      </c>
      <c r="AG57" s="2160" t="str">
        <f>IF(AND(AH57&gt;0,COUNTIFS(UomConversion!$D$8:$D$500,MID(AE57,1,3)*1,UomConversion!$J$8:$J$500,1)&gt;1),TEXT(AH57,"000")&amp;"."&amp;VLOOKUP(AH57,uom_list,5,FALSE),"")</f>
        <v/>
      </c>
      <c r="AH57" s="2155" t="str">
        <f t="shared" si="12"/>
        <v/>
      </c>
      <c r="AI57" s="2155" t="str">
        <f t="shared" si="13"/>
        <v/>
      </c>
      <c r="AJ57" s="2155" t="str">
        <f t="shared" si="14"/>
        <v/>
      </c>
      <c r="AK57" s="2155" t="str" cm="1">
        <f t="array" ref="AK57">IF(L57="","",Slookup(MID(AE57,1,3)*1,UomConversion!$D$8:$J$500,2,UomConversion!$I$8:$I$500,1,UomConversion!$J$8:$J$500,1))</f>
        <v/>
      </c>
      <c r="AL57" s="2155" t="str">
        <f t="shared" si="15"/>
        <v/>
      </c>
      <c r="AM57" s="2155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155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155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1470"/>
    </row>
    <row r="58" spans="1:42" ht="27" hidden="1" customHeight="1">
      <c r="A58" s="1439"/>
      <c r="B58" s="1694"/>
      <c r="C58" s="1466"/>
      <c r="D58" s="1466"/>
      <c r="E58" s="1466"/>
      <c r="F58" s="1715"/>
      <c r="G58" s="1457"/>
      <c r="H58" s="1586"/>
      <c r="I58" s="2139" t="str">
        <f t="shared" si="5"/>
        <v/>
      </c>
      <c r="J58" s="2155" t="str">
        <f t="shared" si="16"/>
        <v/>
      </c>
      <c r="K58" s="2156" t="str">
        <f t="shared" si="17"/>
        <v/>
      </c>
      <c r="L58" s="1700"/>
      <c r="M58" s="1701"/>
      <c r="N58" s="1702"/>
      <c r="O58" s="1702"/>
      <c r="P58" s="2157" t="str">
        <f t="shared" si="18"/>
        <v/>
      </c>
      <c r="Q58" s="2157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703"/>
      <c r="S58" s="1702"/>
      <c r="T58" s="1702"/>
      <c r="U58" s="1700"/>
      <c r="V58" s="2155" t="str" cm="1">
        <f t="array" ref="V58">IF(L58="","",IF(M58=AE58,1,Slookup(MID(AE58,1,3)*1,UomConversion!$D$8:$J$500,5,UomConversion!$E$8:$E$500,MID(M58,1,3)*1,UomConversion!$J$8:$J$500,1)))</f>
        <v/>
      </c>
      <c r="W58" s="2155" t="str">
        <f t="shared" si="8"/>
        <v/>
      </c>
      <c r="X58" s="2158" t="str">
        <f t="shared" si="9"/>
        <v/>
      </c>
      <c r="Y58" s="2158" t="str">
        <f t="shared" si="10"/>
        <v/>
      </c>
      <c r="Z58" s="2155" t="str">
        <f>IF(I58="","",IF(ISNA(MATCH(I58,IF(MID(N58,1,3)*1=1,'[1]1_inventory_totals'!$C$8:$C$10000,IF(MID(N58,1,3)*1=2,'[1]2_inventory_totals'!$C$8:$C$10000,"")),0)),0,IF(AL58&gt;0,1,0)))</f>
        <v/>
      </c>
      <c r="AA58" s="2155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155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155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155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2159" t="str">
        <f t="shared" si="11"/>
        <v/>
      </c>
      <c r="AF58" s="2160" t="str">
        <f>IF(ISNA(MATCH(MID(AE58,1,3)*1,UomConversion!$D$8:$D$500,0)),"",IF(AJ58&lt;&gt;"",AJ58,""))</f>
        <v/>
      </c>
      <c r="AG58" s="2160" t="str">
        <f>IF(AND(AH58&gt;0,COUNTIFS(UomConversion!$D$8:$D$500,MID(AE58,1,3)*1,UomConversion!$J$8:$J$500,1)&gt;1),TEXT(AH58,"000")&amp;"."&amp;VLOOKUP(AH58,uom_list,5,FALSE),"")</f>
        <v/>
      </c>
      <c r="AH58" s="2155" t="str">
        <f t="shared" si="12"/>
        <v/>
      </c>
      <c r="AI58" s="2155" t="str">
        <f t="shared" si="13"/>
        <v/>
      </c>
      <c r="AJ58" s="2155" t="str">
        <f t="shared" si="14"/>
        <v/>
      </c>
      <c r="AK58" s="2155" t="str" cm="1">
        <f t="array" ref="AK58">IF(L58="","",Slookup(MID(AE58,1,3)*1,UomConversion!$D$8:$J$500,2,UomConversion!$I$8:$I$500,1,UomConversion!$J$8:$J$500,1))</f>
        <v/>
      </c>
      <c r="AL58" s="2155" t="str">
        <f t="shared" si="15"/>
        <v/>
      </c>
      <c r="AM58" s="2155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155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155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1470"/>
    </row>
    <row r="59" spans="1:42" ht="27" hidden="1" customHeight="1">
      <c r="A59" s="1439"/>
      <c r="B59" s="1694"/>
      <c r="C59" s="1466"/>
      <c r="D59" s="1466"/>
      <c r="E59" s="1466"/>
      <c r="F59" s="1715"/>
      <c r="G59" s="1457"/>
      <c r="H59" s="1586"/>
      <c r="I59" s="2139" t="str">
        <f t="shared" si="5"/>
        <v/>
      </c>
      <c r="J59" s="2155" t="str">
        <f t="shared" si="16"/>
        <v/>
      </c>
      <c r="K59" s="2156" t="str">
        <f t="shared" si="17"/>
        <v/>
      </c>
      <c r="L59" s="1700"/>
      <c r="M59" s="1701"/>
      <c r="N59" s="1702"/>
      <c r="O59" s="1702"/>
      <c r="P59" s="2157" t="str">
        <f t="shared" si="18"/>
        <v/>
      </c>
      <c r="Q59" s="2157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703"/>
      <c r="S59" s="1702"/>
      <c r="T59" s="1702"/>
      <c r="U59" s="1700"/>
      <c r="V59" s="2155" t="str" cm="1">
        <f t="array" ref="V59">IF(L59="","",IF(M59=AE59,1,Slookup(MID(AE59,1,3)*1,UomConversion!$D$8:$J$500,5,UomConversion!$E$8:$E$500,MID(M59,1,3)*1,UomConversion!$J$8:$J$500,1)))</f>
        <v/>
      </c>
      <c r="W59" s="2155" t="str">
        <f t="shared" si="8"/>
        <v/>
      </c>
      <c r="X59" s="2158" t="str">
        <f t="shared" si="9"/>
        <v/>
      </c>
      <c r="Y59" s="2158" t="str">
        <f t="shared" si="10"/>
        <v/>
      </c>
      <c r="Z59" s="2155" t="str">
        <f>IF(I59="","",IF(ISNA(MATCH(I59,IF(MID(N59,1,3)*1=1,'[1]1_inventory_totals'!$C$8:$C$10000,IF(MID(N59,1,3)*1=2,'[1]2_inventory_totals'!$C$8:$C$10000,"")),0)),0,IF(AL59&gt;0,1,0)))</f>
        <v/>
      </c>
      <c r="AA59" s="2155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155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155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155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2159" t="str">
        <f t="shared" si="11"/>
        <v/>
      </c>
      <c r="AF59" s="2160" t="str">
        <f>IF(ISNA(MATCH(MID(AE59,1,3)*1,UomConversion!$D$8:$D$500,0)),"",IF(AJ59&lt;&gt;"",AJ59,""))</f>
        <v/>
      </c>
      <c r="AG59" s="2160" t="str">
        <f>IF(AND(AH59&gt;0,COUNTIFS(UomConversion!$D$8:$D$500,MID(AE59,1,3)*1,UomConversion!$J$8:$J$500,1)&gt;1),TEXT(AH59,"000")&amp;"."&amp;VLOOKUP(AH59,uom_list,5,FALSE),"")</f>
        <v/>
      </c>
      <c r="AH59" s="2155" t="str">
        <f t="shared" si="12"/>
        <v/>
      </c>
      <c r="AI59" s="2155" t="str">
        <f t="shared" si="13"/>
        <v/>
      </c>
      <c r="AJ59" s="2155" t="str">
        <f t="shared" si="14"/>
        <v/>
      </c>
      <c r="AK59" s="2155" t="str" cm="1">
        <f t="array" ref="AK59">IF(L59="","",Slookup(MID(AE59,1,3)*1,UomConversion!$D$8:$J$500,2,UomConversion!$I$8:$I$500,1,UomConversion!$J$8:$J$500,1))</f>
        <v/>
      </c>
      <c r="AL59" s="2155" t="str">
        <f t="shared" si="15"/>
        <v/>
      </c>
      <c r="AM59" s="2155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155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155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1470"/>
    </row>
    <row r="60" spans="1:42" ht="27" hidden="1" customHeight="1">
      <c r="A60" s="1439"/>
      <c r="B60" s="1694"/>
      <c r="C60" s="1466"/>
      <c r="D60" s="1466"/>
      <c r="E60" s="1466"/>
      <c r="F60" s="1715"/>
      <c r="G60" s="1457"/>
      <c r="H60" s="1586"/>
      <c r="I60" s="2139" t="str">
        <f t="shared" si="5"/>
        <v/>
      </c>
      <c r="J60" s="2155" t="str">
        <f t="shared" si="16"/>
        <v/>
      </c>
      <c r="K60" s="2156" t="str">
        <f t="shared" si="17"/>
        <v/>
      </c>
      <c r="L60" s="1700"/>
      <c r="M60" s="1701"/>
      <c r="N60" s="1702"/>
      <c r="O60" s="1702"/>
      <c r="P60" s="2157" t="str">
        <f t="shared" si="18"/>
        <v/>
      </c>
      <c r="Q60" s="2157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703"/>
      <c r="S60" s="1702"/>
      <c r="T60" s="1702"/>
      <c r="U60" s="1700"/>
      <c r="V60" s="2155" t="str" cm="1">
        <f t="array" ref="V60">IF(L60="","",IF(M60=AE60,1,Slookup(MID(AE60,1,3)*1,UomConversion!$D$8:$J$500,5,UomConversion!$E$8:$E$500,MID(M60,1,3)*1,UomConversion!$J$8:$J$500,1)))</f>
        <v/>
      </c>
      <c r="W60" s="2155" t="str">
        <f t="shared" si="8"/>
        <v/>
      </c>
      <c r="X60" s="2158" t="str">
        <f t="shared" si="9"/>
        <v/>
      </c>
      <c r="Y60" s="2158" t="str">
        <f t="shared" si="10"/>
        <v/>
      </c>
      <c r="Z60" s="2155" t="str">
        <f>IF(I60="","",IF(ISNA(MATCH(I60,IF(MID(N60,1,3)*1=1,'[1]1_inventory_totals'!$C$8:$C$10000,IF(MID(N60,1,3)*1=2,'[1]2_inventory_totals'!$C$8:$C$10000,"")),0)),0,IF(AL60&gt;0,1,0)))</f>
        <v/>
      </c>
      <c r="AA60" s="2155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155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155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155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2159" t="str">
        <f t="shared" si="11"/>
        <v/>
      </c>
      <c r="AF60" s="2160" t="str">
        <f>IF(ISNA(MATCH(MID(AE60,1,3)*1,UomConversion!$D$8:$D$500,0)),"",IF(AJ60&lt;&gt;"",AJ60,""))</f>
        <v/>
      </c>
      <c r="AG60" s="2160" t="str">
        <f>IF(AND(AH60&gt;0,COUNTIFS(UomConversion!$D$8:$D$500,MID(AE60,1,3)*1,UomConversion!$J$8:$J$500,1)&gt;1),TEXT(AH60,"000")&amp;"."&amp;VLOOKUP(AH60,uom_list,5,FALSE),"")</f>
        <v/>
      </c>
      <c r="AH60" s="2155" t="str">
        <f t="shared" si="12"/>
        <v/>
      </c>
      <c r="AI60" s="2155" t="str">
        <f t="shared" si="13"/>
        <v/>
      </c>
      <c r="AJ60" s="2155" t="str">
        <f t="shared" si="14"/>
        <v/>
      </c>
      <c r="AK60" s="2155" t="str" cm="1">
        <f t="array" ref="AK60">IF(L60="","",Slookup(MID(AE60,1,3)*1,UomConversion!$D$8:$J$500,2,UomConversion!$I$8:$I$500,1,UomConversion!$J$8:$J$500,1))</f>
        <v/>
      </c>
      <c r="AL60" s="2155" t="str">
        <f t="shared" si="15"/>
        <v/>
      </c>
      <c r="AM60" s="2155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155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155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1470"/>
    </row>
    <row r="61" spans="1:42" ht="27" hidden="1" customHeight="1">
      <c r="A61" s="1439"/>
      <c r="B61" s="1694"/>
      <c r="C61" s="1466"/>
      <c r="D61" s="1466"/>
      <c r="E61" s="1466"/>
      <c r="F61" s="1715"/>
      <c r="G61" s="1457"/>
      <c r="H61" s="1586"/>
      <c r="I61" s="2139" t="str">
        <f t="shared" si="5"/>
        <v/>
      </c>
      <c r="J61" s="2155" t="str">
        <f t="shared" si="16"/>
        <v/>
      </c>
      <c r="K61" s="2156" t="str">
        <f t="shared" si="17"/>
        <v/>
      </c>
      <c r="L61" s="1700"/>
      <c r="M61" s="1701"/>
      <c r="N61" s="1702"/>
      <c r="O61" s="1702"/>
      <c r="P61" s="2157" t="str">
        <f t="shared" si="18"/>
        <v/>
      </c>
      <c r="Q61" s="2157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703"/>
      <c r="S61" s="1702"/>
      <c r="T61" s="1702"/>
      <c r="U61" s="1700"/>
      <c r="V61" s="2155" t="str" cm="1">
        <f t="array" ref="V61">IF(L61="","",IF(M61=AE61,1,Slookup(MID(AE61,1,3)*1,UomConversion!$D$8:$J$500,5,UomConversion!$E$8:$E$500,MID(M61,1,3)*1,UomConversion!$J$8:$J$500,1)))</f>
        <v/>
      </c>
      <c r="W61" s="2155" t="str">
        <f t="shared" si="8"/>
        <v/>
      </c>
      <c r="X61" s="2158" t="str">
        <f t="shared" si="9"/>
        <v/>
      </c>
      <c r="Y61" s="2158" t="str">
        <f t="shared" si="10"/>
        <v/>
      </c>
      <c r="Z61" s="2155" t="str">
        <f>IF(I61="","",IF(ISNA(MATCH(I61,IF(MID(N61,1,3)*1=1,'[1]1_inventory_totals'!$C$8:$C$10000,IF(MID(N61,1,3)*1=2,'[1]2_inventory_totals'!$C$8:$C$10000,"")),0)),0,IF(AL61&gt;0,1,0)))</f>
        <v/>
      </c>
      <c r="AA61" s="2155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155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155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155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2159" t="str">
        <f t="shared" si="11"/>
        <v/>
      </c>
      <c r="AF61" s="2160" t="str">
        <f>IF(ISNA(MATCH(MID(AE61,1,3)*1,UomConversion!$D$8:$D$500,0)),"",IF(AJ61&lt;&gt;"",AJ61,""))</f>
        <v/>
      </c>
      <c r="AG61" s="2160" t="str">
        <f>IF(AND(AH61&gt;0,COUNTIFS(UomConversion!$D$8:$D$500,MID(AE61,1,3)*1,UomConversion!$J$8:$J$500,1)&gt;1),TEXT(AH61,"000")&amp;"."&amp;VLOOKUP(AH61,uom_list,5,FALSE),"")</f>
        <v/>
      </c>
      <c r="AH61" s="2155" t="str">
        <f t="shared" si="12"/>
        <v/>
      </c>
      <c r="AI61" s="2155" t="str">
        <f t="shared" si="13"/>
        <v/>
      </c>
      <c r="AJ61" s="2155" t="str">
        <f t="shared" si="14"/>
        <v/>
      </c>
      <c r="AK61" s="2155" t="str" cm="1">
        <f t="array" ref="AK61">IF(L61="","",Slookup(MID(AE61,1,3)*1,UomConversion!$D$8:$J$500,2,UomConversion!$I$8:$I$500,1,UomConversion!$J$8:$J$500,1))</f>
        <v/>
      </c>
      <c r="AL61" s="2155" t="str">
        <f t="shared" si="15"/>
        <v/>
      </c>
      <c r="AM61" s="2155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155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155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1470"/>
    </row>
    <row r="62" spans="1:42" ht="27" hidden="1" customHeight="1">
      <c r="A62" s="1439"/>
      <c r="B62" s="1694"/>
      <c r="C62" s="1466"/>
      <c r="D62" s="1466"/>
      <c r="E62" s="1466"/>
      <c r="F62" s="1715"/>
      <c r="G62" s="1457"/>
      <c r="H62" s="1586"/>
      <c r="I62" s="2139" t="str">
        <f t="shared" si="5"/>
        <v/>
      </c>
      <c r="J62" s="2155" t="str">
        <f t="shared" si="16"/>
        <v/>
      </c>
      <c r="K62" s="2156" t="str">
        <f t="shared" si="17"/>
        <v/>
      </c>
      <c r="L62" s="1700"/>
      <c r="M62" s="1701"/>
      <c r="N62" s="1702"/>
      <c r="O62" s="1702"/>
      <c r="P62" s="2157" t="str">
        <f t="shared" si="18"/>
        <v/>
      </c>
      <c r="Q62" s="2157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703"/>
      <c r="S62" s="1702"/>
      <c r="T62" s="1702"/>
      <c r="U62" s="1700"/>
      <c r="V62" s="2155" t="str" cm="1">
        <f t="array" ref="V62">IF(L62="","",IF(M62=AE62,1,Slookup(MID(AE62,1,3)*1,UomConversion!$D$8:$J$500,5,UomConversion!$E$8:$E$500,MID(M62,1,3)*1,UomConversion!$J$8:$J$500,1)))</f>
        <v/>
      </c>
      <c r="W62" s="2155" t="str">
        <f t="shared" si="8"/>
        <v/>
      </c>
      <c r="X62" s="2158" t="str">
        <f t="shared" si="9"/>
        <v/>
      </c>
      <c r="Y62" s="2158" t="str">
        <f t="shared" si="10"/>
        <v/>
      </c>
      <c r="Z62" s="2155" t="str">
        <f>IF(I62="","",IF(ISNA(MATCH(I62,IF(MID(N62,1,3)*1=1,'[1]1_inventory_totals'!$C$8:$C$10000,IF(MID(N62,1,3)*1=2,'[1]2_inventory_totals'!$C$8:$C$10000,"")),0)),0,IF(AL62&gt;0,1,0)))</f>
        <v/>
      </c>
      <c r="AA62" s="2155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155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155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155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2159" t="str">
        <f t="shared" si="11"/>
        <v/>
      </c>
      <c r="AF62" s="2160" t="str">
        <f>IF(ISNA(MATCH(MID(AE62,1,3)*1,UomConversion!$D$8:$D$500,0)),"",IF(AJ62&lt;&gt;"",AJ62,""))</f>
        <v/>
      </c>
      <c r="AG62" s="2160" t="str">
        <f>IF(AND(AH62&gt;0,COUNTIFS(UomConversion!$D$8:$D$500,MID(AE62,1,3)*1,UomConversion!$J$8:$J$500,1)&gt;1),TEXT(AH62,"000")&amp;"."&amp;VLOOKUP(AH62,uom_list,5,FALSE),"")</f>
        <v/>
      </c>
      <c r="AH62" s="2155" t="str">
        <f t="shared" si="12"/>
        <v/>
      </c>
      <c r="AI62" s="2155" t="str">
        <f t="shared" si="13"/>
        <v/>
      </c>
      <c r="AJ62" s="2155" t="str">
        <f t="shared" si="14"/>
        <v/>
      </c>
      <c r="AK62" s="2155" t="str" cm="1">
        <f t="array" ref="AK62">IF(L62="","",Slookup(MID(AE62,1,3)*1,UomConversion!$D$8:$J$500,2,UomConversion!$I$8:$I$500,1,UomConversion!$J$8:$J$500,1))</f>
        <v/>
      </c>
      <c r="AL62" s="2155" t="str">
        <f t="shared" si="15"/>
        <v/>
      </c>
      <c r="AM62" s="2155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155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155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1470"/>
    </row>
    <row r="63" spans="1:42" ht="27" hidden="1" customHeight="1">
      <c r="A63" s="1439"/>
      <c r="B63" s="1694"/>
      <c r="C63" s="1466"/>
      <c r="D63" s="1466"/>
      <c r="E63" s="1466"/>
      <c r="F63" s="1715"/>
      <c r="G63" s="1457"/>
      <c r="H63" s="1586"/>
      <c r="I63" s="2139" t="str">
        <f t="shared" si="5"/>
        <v/>
      </c>
      <c r="J63" s="2155" t="str">
        <f t="shared" si="16"/>
        <v/>
      </c>
      <c r="K63" s="2156" t="str">
        <f t="shared" si="17"/>
        <v/>
      </c>
      <c r="L63" s="1700"/>
      <c r="M63" s="1701"/>
      <c r="N63" s="1702"/>
      <c r="O63" s="1702"/>
      <c r="P63" s="2157" t="str">
        <f t="shared" si="18"/>
        <v/>
      </c>
      <c r="Q63" s="2157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703"/>
      <c r="S63" s="1702"/>
      <c r="T63" s="1702"/>
      <c r="U63" s="1700"/>
      <c r="V63" s="2155" t="str" cm="1">
        <f t="array" ref="V63">IF(L63="","",IF(M63=AE63,1,Slookup(MID(AE63,1,3)*1,UomConversion!$D$8:$J$500,5,UomConversion!$E$8:$E$500,MID(M63,1,3)*1,UomConversion!$J$8:$J$500,1)))</f>
        <v/>
      </c>
      <c r="W63" s="2155" t="str">
        <f t="shared" si="8"/>
        <v/>
      </c>
      <c r="X63" s="2158" t="str">
        <f t="shared" si="9"/>
        <v/>
      </c>
      <c r="Y63" s="2158" t="str">
        <f t="shared" si="10"/>
        <v/>
      </c>
      <c r="Z63" s="2155" t="str">
        <f>IF(I63="","",IF(ISNA(MATCH(I63,IF(MID(N63,1,3)*1=1,'[1]1_inventory_totals'!$C$8:$C$10000,IF(MID(N63,1,3)*1=2,'[1]2_inventory_totals'!$C$8:$C$10000,"")),0)),0,IF(AL63&gt;0,1,0)))</f>
        <v/>
      </c>
      <c r="AA63" s="2155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155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155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155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2159" t="str">
        <f t="shared" si="11"/>
        <v/>
      </c>
      <c r="AF63" s="2160" t="str">
        <f>IF(ISNA(MATCH(MID(AE63,1,3)*1,UomConversion!$D$8:$D$500,0)),"",IF(AJ63&lt;&gt;"",AJ63,""))</f>
        <v/>
      </c>
      <c r="AG63" s="2160" t="str">
        <f>IF(AND(AH63&gt;0,COUNTIFS(UomConversion!$D$8:$D$500,MID(AE63,1,3)*1,UomConversion!$J$8:$J$500,1)&gt;1),TEXT(AH63,"000")&amp;"."&amp;VLOOKUP(AH63,uom_list,5,FALSE),"")</f>
        <v/>
      </c>
      <c r="AH63" s="2155" t="str">
        <f t="shared" si="12"/>
        <v/>
      </c>
      <c r="AI63" s="2155" t="str">
        <f t="shared" si="13"/>
        <v/>
      </c>
      <c r="AJ63" s="2155" t="str">
        <f t="shared" si="14"/>
        <v/>
      </c>
      <c r="AK63" s="2155" t="str" cm="1">
        <f t="array" ref="AK63">IF(L63="","",Slookup(MID(AE63,1,3)*1,UomConversion!$D$8:$J$500,2,UomConversion!$I$8:$I$500,1,UomConversion!$J$8:$J$500,1))</f>
        <v/>
      </c>
      <c r="AL63" s="2155" t="str">
        <f t="shared" si="15"/>
        <v/>
      </c>
      <c r="AM63" s="2155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155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155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1470"/>
    </row>
    <row r="64" spans="1:42" ht="27" hidden="1" customHeight="1">
      <c r="A64" s="1439"/>
      <c r="B64" s="1694"/>
      <c r="C64" s="1466"/>
      <c r="D64" s="1466"/>
      <c r="E64" s="1466"/>
      <c r="F64" s="1715"/>
      <c r="G64" s="1457"/>
      <c r="H64" s="1586"/>
      <c r="I64" s="2139" t="str">
        <f t="shared" si="5"/>
        <v/>
      </c>
      <c r="J64" s="2155" t="str">
        <f t="shared" si="16"/>
        <v/>
      </c>
      <c r="K64" s="2156" t="str">
        <f t="shared" si="17"/>
        <v/>
      </c>
      <c r="L64" s="1700"/>
      <c r="M64" s="1701"/>
      <c r="N64" s="1702"/>
      <c r="O64" s="1702"/>
      <c r="P64" s="2157" t="str">
        <f t="shared" si="18"/>
        <v/>
      </c>
      <c r="Q64" s="2157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703"/>
      <c r="S64" s="1702"/>
      <c r="T64" s="1702"/>
      <c r="U64" s="1700"/>
      <c r="V64" s="2155" t="str" cm="1">
        <f t="array" ref="V64">IF(L64="","",IF(M64=AE64,1,Slookup(MID(AE64,1,3)*1,UomConversion!$D$8:$J$500,5,UomConversion!$E$8:$E$500,MID(M64,1,3)*1,UomConversion!$J$8:$J$500,1)))</f>
        <v/>
      </c>
      <c r="W64" s="2155" t="str">
        <f t="shared" si="8"/>
        <v/>
      </c>
      <c r="X64" s="2158" t="str">
        <f t="shared" si="9"/>
        <v/>
      </c>
      <c r="Y64" s="2158" t="str">
        <f t="shared" si="10"/>
        <v/>
      </c>
      <c r="Z64" s="2155" t="str">
        <f>IF(I64="","",IF(ISNA(MATCH(I64,IF(MID(N64,1,3)*1=1,'[1]1_inventory_totals'!$C$8:$C$10000,IF(MID(N64,1,3)*1=2,'[1]2_inventory_totals'!$C$8:$C$10000,"")),0)),0,IF(AL64&gt;0,1,0)))</f>
        <v/>
      </c>
      <c r="AA64" s="2155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155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155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155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2159" t="str">
        <f t="shared" si="11"/>
        <v/>
      </c>
      <c r="AF64" s="2160" t="str">
        <f>IF(ISNA(MATCH(MID(AE64,1,3)*1,UomConversion!$D$8:$D$500,0)),"",IF(AJ64&lt;&gt;"",AJ64,""))</f>
        <v/>
      </c>
      <c r="AG64" s="2160" t="str">
        <f>IF(AND(AH64&gt;0,COUNTIFS(UomConversion!$D$8:$D$500,MID(AE64,1,3)*1,UomConversion!$J$8:$J$500,1)&gt;1),TEXT(AH64,"000")&amp;"."&amp;VLOOKUP(AH64,uom_list,5,FALSE),"")</f>
        <v/>
      </c>
      <c r="AH64" s="2155" t="str">
        <f t="shared" si="12"/>
        <v/>
      </c>
      <c r="AI64" s="2155" t="str">
        <f t="shared" si="13"/>
        <v/>
      </c>
      <c r="AJ64" s="2155" t="str">
        <f t="shared" si="14"/>
        <v/>
      </c>
      <c r="AK64" s="2155" t="str" cm="1">
        <f t="array" ref="AK64">IF(L64="","",Slookup(MID(AE64,1,3)*1,UomConversion!$D$8:$J$500,2,UomConversion!$I$8:$I$500,1,UomConversion!$J$8:$J$500,1))</f>
        <v/>
      </c>
      <c r="AL64" s="2155" t="str">
        <f t="shared" si="15"/>
        <v/>
      </c>
      <c r="AM64" s="2155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155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155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1470"/>
    </row>
    <row r="65" spans="1:42" ht="27" hidden="1" customHeight="1">
      <c r="A65" s="1439"/>
      <c r="B65" s="1694"/>
      <c r="C65" s="1466"/>
      <c r="D65" s="1466"/>
      <c r="E65" s="1466"/>
      <c r="F65" s="1715"/>
      <c r="G65" s="1457"/>
      <c r="H65" s="1586"/>
      <c r="I65" s="2139" t="str">
        <f t="shared" si="5"/>
        <v/>
      </c>
      <c r="J65" s="2155" t="str">
        <f t="shared" si="16"/>
        <v/>
      </c>
      <c r="K65" s="2156" t="str">
        <f t="shared" si="17"/>
        <v/>
      </c>
      <c r="L65" s="1700"/>
      <c r="M65" s="1701"/>
      <c r="N65" s="1702"/>
      <c r="O65" s="1702"/>
      <c r="P65" s="2157" t="str">
        <f t="shared" si="18"/>
        <v/>
      </c>
      <c r="Q65" s="2157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703"/>
      <c r="S65" s="1702"/>
      <c r="T65" s="1702"/>
      <c r="U65" s="1700"/>
      <c r="V65" s="2155" t="str" cm="1">
        <f t="array" ref="V65">IF(L65="","",IF(M65=AE65,1,Slookup(MID(AE65,1,3)*1,UomConversion!$D$8:$J$500,5,UomConversion!$E$8:$E$500,MID(M65,1,3)*1,UomConversion!$J$8:$J$500,1)))</f>
        <v/>
      </c>
      <c r="W65" s="2155" t="str">
        <f t="shared" si="8"/>
        <v/>
      </c>
      <c r="X65" s="2158" t="str">
        <f t="shared" si="9"/>
        <v/>
      </c>
      <c r="Y65" s="2158" t="str">
        <f t="shared" si="10"/>
        <v/>
      </c>
      <c r="Z65" s="2155" t="str">
        <f>IF(I65="","",IF(ISNA(MATCH(I65,IF(MID(N65,1,3)*1=1,'[1]1_inventory_totals'!$C$8:$C$10000,IF(MID(N65,1,3)*1=2,'[1]2_inventory_totals'!$C$8:$C$10000,"")),0)),0,IF(AL65&gt;0,1,0)))</f>
        <v/>
      </c>
      <c r="AA65" s="2155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155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155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155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2159" t="str">
        <f t="shared" si="11"/>
        <v/>
      </c>
      <c r="AF65" s="2160" t="str">
        <f>IF(ISNA(MATCH(MID(AE65,1,3)*1,UomConversion!$D$8:$D$500,0)),"",IF(AJ65&lt;&gt;"",AJ65,""))</f>
        <v/>
      </c>
      <c r="AG65" s="2160" t="str">
        <f>IF(AND(AH65&gt;0,COUNTIFS(UomConversion!$D$8:$D$500,MID(AE65,1,3)*1,UomConversion!$J$8:$J$500,1)&gt;1),TEXT(AH65,"000")&amp;"."&amp;VLOOKUP(AH65,uom_list,5,FALSE),"")</f>
        <v/>
      </c>
      <c r="AH65" s="2155" t="str">
        <f t="shared" si="12"/>
        <v/>
      </c>
      <c r="AI65" s="2155" t="str">
        <f t="shared" si="13"/>
        <v/>
      </c>
      <c r="AJ65" s="2155" t="str">
        <f t="shared" si="14"/>
        <v/>
      </c>
      <c r="AK65" s="2155" t="str" cm="1">
        <f t="array" ref="AK65">IF(L65="","",Slookup(MID(AE65,1,3)*1,UomConversion!$D$8:$J$500,2,UomConversion!$I$8:$I$500,1,UomConversion!$J$8:$J$500,1))</f>
        <v/>
      </c>
      <c r="AL65" s="2155" t="str">
        <f t="shared" si="15"/>
        <v/>
      </c>
      <c r="AM65" s="2155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155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155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1470"/>
    </row>
    <row r="66" spans="1:42" ht="27" hidden="1" customHeight="1">
      <c r="A66" s="1439"/>
      <c r="B66" s="1694"/>
      <c r="C66" s="1466"/>
      <c r="D66" s="1466"/>
      <c r="E66" s="1466"/>
      <c r="F66" s="1715"/>
      <c r="G66" s="1457"/>
      <c r="H66" s="1586"/>
      <c r="I66" s="2139" t="str">
        <f t="shared" si="5"/>
        <v/>
      </c>
      <c r="J66" s="2155" t="str">
        <f t="shared" si="16"/>
        <v/>
      </c>
      <c r="K66" s="2156" t="str">
        <f t="shared" si="17"/>
        <v/>
      </c>
      <c r="L66" s="1700"/>
      <c r="M66" s="1701"/>
      <c r="N66" s="1702"/>
      <c r="O66" s="1702"/>
      <c r="P66" s="2157" t="str">
        <f t="shared" si="18"/>
        <v/>
      </c>
      <c r="Q66" s="2157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703"/>
      <c r="S66" s="1702"/>
      <c r="T66" s="1702"/>
      <c r="U66" s="1700"/>
      <c r="V66" s="2155" t="str" cm="1">
        <f t="array" ref="V66">IF(L66="","",IF(M66=AE66,1,Slookup(MID(AE66,1,3)*1,UomConversion!$D$8:$J$500,5,UomConversion!$E$8:$E$500,MID(M66,1,3)*1,UomConversion!$J$8:$J$500,1)))</f>
        <v/>
      </c>
      <c r="W66" s="2155" t="str">
        <f t="shared" si="8"/>
        <v/>
      </c>
      <c r="X66" s="2158" t="str">
        <f t="shared" si="9"/>
        <v/>
      </c>
      <c r="Y66" s="2158" t="str">
        <f t="shared" si="10"/>
        <v/>
      </c>
      <c r="Z66" s="2155" t="str">
        <f>IF(I66="","",IF(ISNA(MATCH(I66,IF(MID(N66,1,3)*1=1,'[1]1_inventory_totals'!$C$8:$C$10000,IF(MID(N66,1,3)*1=2,'[1]2_inventory_totals'!$C$8:$C$10000,"")),0)),0,IF(AL66&gt;0,1,0)))</f>
        <v/>
      </c>
      <c r="AA66" s="2155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155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155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155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2159" t="str">
        <f t="shared" si="11"/>
        <v/>
      </c>
      <c r="AF66" s="2160" t="str">
        <f>IF(ISNA(MATCH(MID(AE66,1,3)*1,UomConversion!$D$8:$D$500,0)),"",IF(AJ66&lt;&gt;"",AJ66,""))</f>
        <v/>
      </c>
      <c r="AG66" s="2160" t="str">
        <f>IF(AND(AH66&gt;0,COUNTIFS(UomConversion!$D$8:$D$500,MID(AE66,1,3)*1,UomConversion!$J$8:$J$500,1)&gt;1),TEXT(AH66,"000")&amp;"."&amp;VLOOKUP(AH66,uom_list,5,FALSE),"")</f>
        <v/>
      </c>
      <c r="AH66" s="2155" t="str">
        <f t="shared" si="12"/>
        <v/>
      </c>
      <c r="AI66" s="2155" t="str">
        <f t="shared" si="13"/>
        <v/>
      </c>
      <c r="AJ66" s="2155" t="str">
        <f t="shared" si="14"/>
        <v/>
      </c>
      <c r="AK66" s="2155" t="str" cm="1">
        <f t="array" ref="AK66">IF(L66="","",Slookup(MID(AE66,1,3)*1,UomConversion!$D$8:$J$500,2,UomConversion!$I$8:$I$500,1,UomConversion!$J$8:$J$500,1))</f>
        <v/>
      </c>
      <c r="AL66" s="2155" t="str">
        <f t="shared" si="15"/>
        <v/>
      </c>
      <c r="AM66" s="2155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155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155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1470"/>
    </row>
    <row r="67" spans="1:42" ht="27" hidden="1" customHeight="1">
      <c r="A67" s="1439"/>
      <c r="B67" s="1694"/>
      <c r="C67" s="1466"/>
      <c r="D67" s="1466"/>
      <c r="E67" s="1466"/>
      <c r="F67" s="1715"/>
      <c r="G67" s="1457"/>
      <c r="H67" s="1586"/>
      <c r="I67" s="2139" t="str">
        <f t="shared" si="5"/>
        <v/>
      </c>
      <c r="J67" s="2155" t="str">
        <f t="shared" si="16"/>
        <v/>
      </c>
      <c r="K67" s="2156" t="str">
        <f t="shared" si="17"/>
        <v/>
      </c>
      <c r="L67" s="1700"/>
      <c r="M67" s="1701"/>
      <c r="N67" s="1702"/>
      <c r="O67" s="1702"/>
      <c r="P67" s="2157" t="str">
        <f t="shared" si="18"/>
        <v/>
      </c>
      <c r="Q67" s="2157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703"/>
      <c r="S67" s="1702"/>
      <c r="T67" s="1702"/>
      <c r="U67" s="1700"/>
      <c r="V67" s="2155" t="str" cm="1">
        <f t="array" ref="V67">IF(L67="","",IF(M67=AE67,1,Slookup(MID(AE67,1,3)*1,UomConversion!$D$8:$J$500,5,UomConversion!$E$8:$E$500,MID(M67,1,3)*1,UomConversion!$J$8:$J$500,1)))</f>
        <v/>
      </c>
      <c r="W67" s="2155" t="str">
        <f t="shared" si="8"/>
        <v/>
      </c>
      <c r="X67" s="2158" t="str">
        <f t="shared" si="9"/>
        <v/>
      </c>
      <c r="Y67" s="2158" t="str">
        <f t="shared" si="10"/>
        <v/>
      </c>
      <c r="Z67" s="2155" t="str">
        <f>IF(I67="","",IF(ISNA(MATCH(I67,IF(MID(N67,1,3)*1=1,'[1]1_inventory_totals'!$C$8:$C$10000,IF(MID(N67,1,3)*1=2,'[1]2_inventory_totals'!$C$8:$C$10000,"")),0)),0,IF(AL67&gt;0,1,0)))</f>
        <v/>
      </c>
      <c r="AA67" s="2155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155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155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155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2159" t="str">
        <f t="shared" si="11"/>
        <v/>
      </c>
      <c r="AF67" s="2160" t="str">
        <f>IF(ISNA(MATCH(MID(AE67,1,3)*1,UomConversion!$D$8:$D$500,0)),"",IF(AJ67&lt;&gt;"",AJ67,""))</f>
        <v/>
      </c>
      <c r="AG67" s="2160" t="str">
        <f>IF(AND(AH67&gt;0,COUNTIFS(UomConversion!$D$8:$D$500,MID(AE67,1,3)*1,UomConversion!$J$8:$J$500,1)&gt;1),TEXT(AH67,"000")&amp;"."&amp;VLOOKUP(AH67,uom_list,5,FALSE),"")</f>
        <v/>
      </c>
      <c r="AH67" s="2155" t="str">
        <f t="shared" si="12"/>
        <v/>
      </c>
      <c r="AI67" s="2155" t="str">
        <f t="shared" si="13"/>
        <v/>
      </c>
      <c r="AJ67" s="2155" t="str">
        <f t="shared" si="14"/>
        <v/>
      </c>
      <c r="AK67" s="2155" t="str" cm="1">
        <f t="array" ref="AK67">IF(L67="","",Slookup(MID(AE67,1,3)*1,UomConversion!$D$8:$J$500,2,UomConversion!$I$8:$I$500,1,UomConversion!$J$8:$J$500,1))</f>
        <v/>
      </c>
      <c r="AL67" s="2155" t="str">
        <f t="shared" si="15"/>
        <v/>
      </c>
      <c r="AM67" s="2155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155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155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1470"/>
    </row>
    <row r="68" spans="1:42" ht="27" hidden="1" customHeight="1">
      <c r="A68" s="1439"/>
      <c r="B68" s="1694"/>
      <c r="C68" s="1466"/>
      <c r="D68" s="1466"/>
      <c r="E68" s="1466"/>
      <c r="F68" s="1715"/>
      <c r="G68" s="1457"/>
      <c r="H68" s="1586"/>
      <c r="I68" s="2139" t="str">
        <f t="shared" si="5"/>
        <v/>
      </c>
      <c r="J68" s="2155" t="str">
        <f t="shared" si="16"/>
        <v/>
      </c>
      <c r="K68" s="2156" t="str">
        <f t="shared" si="17"/>
        <v/>
      </c>
      <c r="L68" s="1700"/>
      <c r="M68" s="1701"/>
      <c r="N68" s="1702"/>
      <c r="O68" s="1702"/>
      <c r="P68" s="2157" t="str">
        <f t="shared" si="18"/>
        <v/>
      </c>
      <c r="Q68" s="2157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703"/>
      <c r="S68" s="1702"/>
      <c r="T68" s="1702"/>
      <c r="U68" s="1700"/>
      <c r="V68" s="2155" t="str" cm="1">
        <f t="array" ref="V68">IF(L68="","",IF(M68=AE68,1,Slookup(MID(AE68,1,3)*1,UomConversion!$D$8:$J$500,5,UomConversion!$E$8:$E$500,MID(M68,1,3)*1,UomConversion!$J$8:$J$500,1)))</f>
        <v/>
      </c>
      <c r="W68" s="2155" t="str">
        <f t="shared" si="8"/>
        <v/>
      </c>
      <c r="X68" s="2158" t="str">
        <f t="shared" si="9"/>
        <v/>
      </c>
      <c r="Y68" s="2158" t="str">
        <f t="shared" si="10"/>
        <v/>
      </c>
      <c r="Z68" s="2155" t="str">
        <f>IF(I68="","",IF(ISNA(MATCH(I68,IF(MID(N68,1,3)*1=1,'[1]1_inventory_totals'!$C$8:$C$10000,IF(MID(N68,1,3)*1=2,'[1]2_inventory_totals'!$C$8:$C$10000,"")),0)),0,IF(AL68&gt;0,1,0)))</f>
        <v/>
      </c>
      <c r="AA68" s="2155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155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155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155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2159" t="str">
        <f t="shared" si="11"/>
        <v/>
      </c>
      <c r="AF68" s="2160" t="str">
        <f>IF(ISNA(MATCH(MID(AE68,1,3)*1,UomConversion!$D$8:$D$500,0)),"",IF(AJ68&lt;&gt;"",AJ68,""))</f>
        <v/>
      </c>
      <c r="AG68" s="2160" t="str">
        <f>IF(AND(AH68&gt;0,COUNTIFS(UomConversion!$D$8:$D$500,MID(AE68,1,3)*1,UomConversion!$J$8:$J$500,1)&gt;1),TEXT(AH68,"000")&amp;"."&amp;VLOOKUP(AH68,uom_list,5,FALSE),"")</f>
        <v/>
      </c>
      <c r="AH68" s="2155" t="str">
        <f t="shared" si="12"/>
        <v/>
      </c>
      <c r="AI68" s="2155" t="str">
        <f t="shared" si="13"/>
        <v/>
      </c>
      <c r="AJ68" s="2155" t="str">
        <f t="shared" si="14"/>
        <v/>
      </c>
      <c r="AK68" s="2155" t="str" cm="1">
        <f t="array" ref="AK68">IF(L68="","",Slookup(MID(AE68,1,3)*1,UomConversion!$D$8:$J$500,2,UomConversion!$I$8:$I$500,1,UomConversion!$J$8:$J$500,1))</f>
        <v/>
      </c>
      <c r="AL68" s="2155" t="str">
        <f t="shared" si="15"/>
        <v/>
      </c>
      <c r="AM68" s="2155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155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155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1470"/>
    </row>
    <row r="69" spans="1:42" ht="27" hidden="1" customHeight="1">
      <c r="A69" s="1439"/>
      <c r="B69" s="1694"/>
      <c r="C69" s="1466"/>
      <c r="D69" s="1466"/>
      <c r="E69" s="1466"/>
      <c r="F69" s="1715"/>
      <c r="G69" s="1457"/>
      <c r="H69" s="1586"/>
      <c r="I69" s="2139" t="str">
        <f t="shared" si="5"/>
        <v/>
      </c>
      <c r="J69" s="2155" t="str">
        <f t="shared" si="16"/>
        <v/>
      </c>
      <c r="K69" s="2156" t="str">
        <f t="shared" si="17"/>
        <v/>
      </c>
      <c r="L69" s="1700"/>
      <c r="M69" s="1701"/>
      <c r="N69" s="1702"/>
      <c r="O69" s="1702"/>
      <c r="P69" s="2157" t="str">
        <f t="shared" si="18"/>
        <v/>
      </c>
      <c r="Q69" s="2157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703"/>
      <c r="S69" s="1702"/>
      <c r="T69" s="1702"/>
      <c r="U69" s="1700"/>
      <c r="V69" s="2155" t="str" cm="1">
        <f t="array" ref="V69">IF(L69="","",IF(M69=AE69,1,Slookup(MID(AE69,1,3)*1,UomConversion!$D$8:$J$500,5,UomConversion!$E$8:$E$500,MID(M69,1,3)*1,UomConversion!$J$8:$J$500,1)))</f>
        <v/>
      </c>
      <c r="W69" s="2155" t="str">
        <f t="shared" si="8"/>
        <v/>
      </c>
      <c r="X69" s="2158" t="str">
        <f t="shared" si="9"/>
        <v/>
      </c>
      <c r="Y69" s="2158" t="str">
        <f t="shared" si="10"/>
        <v/>
      </c>
      <c r="Z69" s="2155" t="str">
        <f>IF(I69="","",IF(ISNA(MATCH(I69,IF(MID(N69,1,3)*1=1,'[1]1_inventory_totals'!$C$8:$C$10000,IF(MID(N69,1,3)*1=2,'[1]2_inventory_totals'!$C$8:$C$10000,"")),0)),0,IF(AL69&gt;0,1,0)))</f>
        <v/>
      </c>
      <c r="AA69" s="2155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155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155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155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2159" t="str">
        <f t="shared" si="11"/>
        <v/>
      </c>
      <c r="AF69" s="2160" t="str">
        <f>IF(ISNA(MATCH(MID(AE69,1,3)*1,UomConversion!$D$8:$D$500,0)),"",IF(AJ69&lt;&gt;"",AJ69,""))</f>
        <v/>
      </c>
      <c r="AG69" s="2160" t="str">
        <f>IF(AND(AH69&gt;0,COUNTIFS(UomConversion!$D$8:$D$500,MID(AE69,1,3)*1,UomConversion!$J$8:$J$500,1)&gt;1),TEXT(AH69,"000")&amp;"."&amp;VLOOKUP(AH69,uom_list,5,FALSE),"")</f>
        <v/>
      </c>
      <c r="AH69" s="2155" t="str">
        <f t="shared" si="12"/>
        <v/>
      </c>
      <c r="AI69" s="2155" t="str">
        <f t="shared" si="13"/>
        <v/>
      </c>
      <c r="AJ69" s="2155" t="str">
        <f t="shared" si="14"/>
        <v/>
      </c>
      <c r="AK69" s="2155" t="str" cm="1">
        <f t="array" ref="AK69">IF(L69="","",Slookup(MID(AE69,1,3)*1,UomConversion!$D$8:$J$500,2,UomConversion!$I$8:$I$500,1,UomConversion!$J$8:$J$500,1))</f>
        <v/>
      </c>
      <c r="AL69" s="2155" t="str">
        <f t="shared" si="15"/>
        <v/>
      </c>
      <c r="AM69" s="2155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155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155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1470"/>
    </row>
    <row r="70" spans="1:42" ht="27" hidden="1" customHeight="1">
      <c r="A70" s="1439"/>
      <c r="B70" s="1694"/>
      <c r="C70" s="1466"/>
      <c r="D70" s="1466"/>
      <c r="E70" s="1466"/>
      <c r="F70" s="1715"/>
      <c r="G70" s="1457"/>
      <c r="H70" s="1586"/>
      <c r="I70" s="2139" t="str">
        <f t="shared" si="5"/>
        <v/>
      </c>
      <c r="J70" s="2155" t="str">
        <f t="shared" si="16"/>
        <v/>
      </c>
      <c r="K70" s="2156" t="str">
        <f t="shared" si="17"/>
        <v/>
      </c>
      <c r="L70" s="1700"/>
      <c r="M70" s="1701"/>
      <c r="N70" s="1702"/>
      <c r="O70" s="1702"/>
      <c r="P70" s="2157" t="str">
        <f t="shared" si="18"/>
        <v/>
      </c>
      <c r="Q70" s="2157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703"/>
      <c r="S70" s="1702"/>
      <c r="T70" s="1702"/>
      <c r="U70" s="1700"/>
      <c r="V70" s="2155" t="str" cm="1">
        <f t="array" ref="V70">IF(L70="","",IF(M70=AE70,1,Slookup(MID(AE70,1,3)*1,UomConversion!$D$8:$J$500,5,UomConversion!$E$8:$E$500,MID(M70,1,3)*1,UomConversion!$J$8:$J$500,1)))</f>
        <v/>
      </c>
      <c r="W70" s="2155" t="str">
        <f t="shared" si="8"/>
        <v/>
      </c>
      <c r="X70" s="2158" t="str">
        <f t="shared" si="9"/>
        <v/>
      </c>
      <c r="Y70" s="2158" t="str">
        <f t="shared" si="10"/>
        <v/>
      </c>
      <c r="Z70" s="2155" t="str">
        <f>IF(I70="","",IF(ISNA(MATCH(I70,IF(MID(N70,1,3)*1=1,'[1]1_inventory_totals'!$C$8:$C$10000,IF(MID(N70,1,3)*1=2,'[1]2_inventory_totals'!$C$8:$C$10000,"")),0)),0,IF(AL70&gt;0,1,0)))</f>
        <v/>
      </c>
      <c r="AA70" s="2155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155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155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155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2159" t="str">
        <f t="shared" si="11"/>
        <v/>
      </c>
      <c r="AF70" s="2160" t="str">
        <f>IF(ISNA(MATCH(MID(AE70,1,3)*1,UomConversion!$D$8:$D$500,0)),"",IF(AJ70&lt;&gt;"",AJ70,""))</f>
        <v/>
      </c>
      <c r="AG70" s="2160" t="str">
        <f>IF(AND(AH70&gt;0,COUNTIFS(UomConversion!$D$8:$D$500,MID(AE70,1,3)*1,UomConversion!$J$8:$J$500,1)&gt;1),TEXT(AH70,"000")&amp;"."&amp;VLOOKUP(AH70,uom_list,5,FALSE),"")</f>
        <v/>
      </c>
      <c r="AH70" s="2155" t="str">
        <f t="shared" si="12"/>
        <v/>
      </c>
      <c r="AI70" s="2155" t="str">
        <f t="shared" si="13"/>
        <v/>
      </c>
      <c r="AJ70" s="2155" t="str">
        <f t="shared" si="14"/>
        <v/>
      </c>
      <c r="AK70" s="2155" t="str" cm="1">
        <f t="array" ref="AK70">IF(L70="","",Slookup(MID(AE70,1,3)*1,UomConversion!$D$8:$J$500,2,UomConversion!$I$8:$I$500,1,UomConversion!$J$8:$J$500,1))</f>
        <v/>
      </c>
      <c r="AL70" s="2155" t="str">
        <f t="shared" si="15"/>
        <v/>
      </c>
      <c r="AM70" s="2155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155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155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1470"/>
    </row>
    <row r="71" spans="1:42" ht="27" hidden="1" customHeight="1">
      <c r="A71" s="1439"/>
      <c r="B71" s="1694"/>
      <c r="C71" s="1466"/>
      <c r="D71" s="1466"/>
      <c r="E71" s="1466"/>
      <c r="F71" s="1715"/>
      <c r="G71" s="1457"/>
      <c r="H71" s="1586"/>
      <c r="I71" s="2139" t="str">
        <f t="shared" si="5"/>
        <v/>
      </c>
      <c r="J71" s="2155" t="str">
        <f t="shared" si="16"/>
        <v/>
      </c>
      <c r="K71" s="2156" t="str">
        <f t="shared" si="17"/>
        <v/>
      </c>
      <c r="L71" s="1700"/>
      <c r="M71" s="1701"/>
      <c r="N71" s="1702"/>
      <c r="O71" s="1702"/>
      <c r="P71" s="2157" t="str">
        <f t="shared" si="18"/>
        <v/>
      </c>
      <c r="Q71" s="2157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703"/>
      <c r="S71" s="1702"/>
      <c r="T71" s="1702"/>
      <c r="U71" s="1700"/>
      <c r="V71" s="2155" t="str" cm="1">
        <f t="array" ref="V71">IF(L71="","",IF(M71=AE71,1,Slookup(MID(AE71,1,3)*1,UomConversion!$D$8:$J$500,5,UomConversion!$E$8:$E$500,MID(M71,1,3)*1,UomConversion!$J$8:$J$500,1)))</f>
        <v/>
      </c>
      <c r="W71" s="2155" t="str">
        <f t="shared" si="8"/>
        <v/>
      </c>
      <c r="X71" s="2158" t="str">
        <f t="shared" si="9"/>
        <v/>
      </c>
      <c r="Y71" s="2158" t="str">
        <f t="shared" si="10"/>
        <v/>
      </c>
      <c r="Z71" s="2155" t="str">
        <f>IF(I71="","",IF(ISNA(MATCH(I71,IF(MID(N71,1,3)*1=1,'[1]1_inventory_totals'!$C$8:$C$10000,IF(MID(N71,1,3)*1=2,'[1]2_inventory_totals'!$C$8:$C$10000,"")),0)),0,IF(AL71&gt;0,1,0)))</f>
        <v/>
      </c>
      <c r="AA71" s="2155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155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155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155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2159" t="str">
        <f t="shared" si="11"/>
        <v/>
      </c>
      <c r="AF71" s="2160" t="str">
        <f>IF(ISNA(MATCH(MID(AE71,1,3)*1,UomConversion!$D$8:$D$500,0)),"",IF(AJ71&lt;&gt;"",AJ71,""))</f>
        <v/>
      </c>
      <c r="AG71" s="2160" t="str">
        <f>IF(AND(AH71&gt;0,COUNTIFS(UomConversion!$D$8:$D$500,MID(AE71,1,3)*1,UomConversion!$J$8:$J$500,1)&gt;1),TEXT(AH71,"000")&amp;"."&amp;VLOOKUP(AH71,uom_list,5,FALSE),"")</f>
        <v/>
      </c>
      <c r="AH71" s="2155" t="str">
        <f t="shared" si="12"/>
        <v/>
      </c>
      <c r="AI71" s="2155" t="str">
        <f t="shared" si="13"/>
        <v/>
      </c>
      <c r="AJ71" s="2155" t="str">
        <f t="shared" si="14"/>
        <v/>
      </c>
      <c r="AK71" s="2155" t="str" cm="1">
        <f t="array" ref="AK71">IF(L71="","",Slookup(MID(AE71,1,3)*1,UomConversion!$D$8:$J$500,2,UomConversion!$I$8:$I$500,1,UomConversion!$J$8:$J$500,1))</f>
        <v/>
      </c>
      <c r="AL71" s="2155" t="str">
        <f t="shared" si="15"/>
        <v/>
      </c>
      <c r="AM71" s="2155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155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155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1470"/>
    </row>
    <row r="72" spans="1:42" ht="27" hidden="1" customHeight="1">
      <c r="A72" s="1439"/>
      <c r="B72" s="1694"/>
      <c r="C72" s="1466"/>
      <c r="D72" s="1466"/>
      <c r="E72" s="1466"/>
      <c r="F72" s="1715"/>
      <c r="G72" s="1457"/>
      <c r="H72" s="1586"/>
      <c r="I72" s="2139" t="str">
        <f t="shared" si="5"/>
        <v/>
      </c>
      <c r="J72" s="2155" t="str">
        <f t="shared" si="16"/>
        <v/>
      </c>
      <c r="K72" s="2156" t="str">
        <f t="shared" ref="K72:K87" si="19">IF(L72="","",VLOOKUP(I72,product_list,4,FALSE))</f>
        <v/>
      </c>
      <c r="L72" s="1700"/>
      <c r="M72" s="1701"/>
      <c r="N72" s="1702"/>
      <c r="O72" s="1702"/>
      <c r="P72" s="2157" t="str">
        <f t="shared" ref="P72:P87" si="20">IF(AND(adj_type&lt;&gt;"",L72&lt;&gt;"",M72&lt;&gt;""),IF(adj_type=1,O72*W72/V72,O72*W72/V72-Q72),"")</f>
        <v/>
      </c>
      <c r="Q72" s="2157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703"/>
      <c r="S72" s="1702"/>
      <c r="T72" s="1702"/>
      <c r="U72" s="1700"/>
      <c r="V72" s="2155" t="str" cm="1">
        <f t="array" ref="V72">IF(L72="","",IF(M72=AE72,1,Slookup(MID(AE72,1,3)*1,UomConversion!$D$8:$J$500,5,UomConversion!$E$8:$E$500,MID(M72,1,3)*1,UomConversion!$J$8:$J$500,1)))</f>
        <v/>
      </c>
      <c r="W72" s="2155" t="str">
        <f t="shared" si="8"/>
        <v/>
      </c>
      <c r="X72" s="2158" t="str">
        <f t="shared" si="9"/>
        <v/>
      </c>
      <c r="Y72" s="2158" t="str">
        <f t="shared" si="10"/>
        <v/>
      </c>
      <c r="Z72" s="2155" t="str">
        <f>IF(I72="","",IF(ISNA(MATCH(I72,IF(MID(N72,1,3)*1=1,'[1]1_inventory_totals'!$C$8:$C$10000,IF(MID(N72,1,3)*1=2,'[1]2_inventory_totals'!$C$8:$C$10000,"")),0)),0,IF(AL72&gt;0,1,0)))</f>
        <v/>
      </c>
      <c r="AA72" s="2155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155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155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155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2159" t="str">
        <f t="shared" si="11"/>
        <v/>
      </c>
      <c r="AF72" s="2160" t="str">
        <f>IF(ISNA(MATCH(MID(AE72,1,3)*1,UomConversion!$D$8:$D$500,0)),"",IF(AJ72&lt;&gt;"",AJ72,""))</f>
        <v/>
      </c>
      <c r="AG72" s="2160" t="str">
        <f>IF(AND(AH72&gt;0,COUNTIFS(UomConversion!$D$8:$D$500,MID(AE72,1,3)*1,UomConversion!$J$8:$J$500,1)&gt;1),TEXT(AH72,"000")&amp;"."&amp;VLOOKUP(AH72,uom_list,5,FALSE),"")</f>
        <v/>
      </c>
      <c r="AH72" s="2155" t="str">
        <f t="shared" si="12"/>
        <v/>
      </c>
      <c r="AI72" s="2155" t="str">
        <f t="shared" si="13"/>
        <v/>
      </c>
      <c r="AJ72" s="2155" t="str">
        <f t="shared" si="14"/>
        <v/>
      </c>
      <c r="AK72" s="2155" t="str" cm="1">
        <f t="array" ref="AK72">IF(L72="","",Slookup(MID(AE72,1,3)*1,UomConversion!$D$8:$J$500,2,UomConversion!$I$8:$I$500,1,UomConversion!$J$8:$J$500,1))</f>
        <v/>
      </c>
      <c r="AL72" s="2155" t="str">
        <f t="shared" si="15"/>
        <v/>
      </c>
      <c r="AM72" s="2155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155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155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1470"/>
    </row>
    <row r="73" spans="1:42" ht="27" hidden="1" customHeight="1">
      <c r="A73" s="1439"/>
      <c r="B73" s="1694"/>
      <c r="C73" s="1466"/>
      <c r="D73" s="1466"/>
      <c r="E73" s="1466"/>
      <c r="F73" s="1715"/>
      <c r="G73" s="1457"/>
      <c r="H73" s="1586"/>
      <c r="I73" s="2139" t="str">
        <f t="shared" ref="I73:I87" si="21">IF(L73="","",MID(L73,1,5)*1)</f>
        <v/>
      </c>
      <c r="J73" s="2155" t="str">
        <f t="shared" si="16"/>
        <v/>
      </c>
      <c r="K73" s="2156" t="str">
        <f t="shared" si="19"/>
        <v/>
      </c>
      <c r="L73" s="1700"/>
      <c r="M73" s="1701"/>
      <c r="N73" s="1702"/>
      <c r="O73" s="1702"/>
      <c r="P73" s="2157" t="str">
        <f t="shared" si="20"/>
        <v/>
      </c>
      <c r="Q73" s="2157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703"/>
      <c r="S73" s="1702"/>
      <c r="T73" s="1702"/>
      <c r="U73" s="1700"/>
      <c r="V73" s="2155" t="str" cm="1">
        <f t="array" ref="V73">IF(L73="","",IF(M73=AE73,1,Slookup(MID(AE73,1,3)*1,UomConversion!$D$8:$J$500,5,UomConversion!$E$8:$E$500,MID(M73,1,3)*1,UomConversion!$J$8:$J$500,1)))</f>
        <v/>
      </c>
      <c r="W73" s="2155" t="str">
        <f t="shared" ref="W73:W87" si="22">IF(AND(L73="",ISNA(VLOOKUP(I73,product_list,18,FALSE))),"",VLOOKUP(I73,product_list,18,FALSE))</f>
        <v/>
      </c>
      <c r="X73" s="2158" t="str">
        <f t="shared" ref="X73:X87" si="23">IF(L73="","",IF(M73=AE73,Y73,IF(M73=AF73,ROUND(Y73/V73,2),IF(M73=AG73,ROUND(Y73/W73,2)))))</f>
        <v/>
      </c>
      <c r="Y73" s="2158" t="str">
        <f t="shared" ref="Y73:Y87" si="24">IF(L73="","",VLOOKUP(I73,product_list,14,FALSE))</f>
        <v/>
      </c>
      <c r="Z73" s="2155" t="str">
        <f>IF(I73="","",IF(ISNA(MATCH(I73,IF(MID(N73,1,3)*1=1,'[1]1_inventory_totals'!$C$8:$C$10000,IF(MID(N73,1,3)*1=2,'[1]2_inventory_totals'!$C$8:$C$10000,"")),0)),0,IF(AL73&gt;0,1,0)))</f>
        <v/>
      </c>
      <c r="AA73" s="2155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155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155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155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2159" t="str">
        <f t="shared" ref="AE73:AE87" si="25">IF(L73="","",VLOOKUP(I73,product_list,8,FALSE))</f>
        <v/>
      </c>
      <c r="AF73" s="2160" t="str">
        <f>IF(ISNA(MATCH(MID(AE73,1,3)*1,UomConversion!$D$8:$D$500,0)),"",IF(AJ73&lt;&gt;"",AJ73,""))</f>
        <v/>
      </c>
      <c r="AG73" s="2160" t="str">
        <f>IF(AND(AH73&gt;0,COUNTIFS(UomConversion!$D$8:$D$500,MID(AE73,1,3)*1,UomConversion!$J$8:$J$500,1)&gt;1),TEXT(AH73,"000")&amp;"."&amp;VLOOKUP(AH73,uom_list,5,FALSE),"")</f>
        <v/>
      </c>
      <c r="AH73" s="2155" t="str">
        <f t="shared" ref="AH73:AH87" si="26">IF(AND(L73&lt;&gt;"",AK73&gt;0),AK73,"")</f>
        <v/>
      </c>
      <c r="AI73" s="2155" t="str">
        <f t="shared" ref="AI73:AI87" si="27">IF(L73="","",IF(V73&gt;0,W73/V73,""))</f>
        <v/>
      </c>
      <c r="AJ73" s="2155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155" t="str" cm="1">
        <f t="array" ref="AK73">IF(L73="","",Slookup(MID(AE73,1,3)*1,UomConversion!$D$8:$J$500,2,UomConversion!$I$8:$I$500,1,UomConversion!$J$8:$J$500,1))</f>
        <v/>
      </c>
      <c r="AL73" s="2155" t="str">
        <f t="shared" ref="AL73:AL87" si="29">IF(L73="","",IF(MID(N73,1,3)*1 = 1,AN73, IF(MID(N73,1,3)*1 = 2,AO73,0)))</f>
        <v/>
      </c>
      <c r="AM73" s="2155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155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155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1470"/>
    </row>
    <row r="74" spans="1:42" ht="27" hidden="1" customHeight="1">
      <c r="A74" s="1439"/>
      <c r="B74" s="1694"/>
      <c r="C74" s="1466"/>
      <c r="D74" s="1466"/>
      <c r="E74" s="1466"/>
      <c r="F74" s="1715"/>
      <c r="G74" s="1457"/>
      <c r="H74" s="1586"/>
      <c r="I74" s="2139" t="str">
        <f t="shared" si="21"/>
        <v/>
      </c>
      <c r="J74" s="2155" t="str">
        <f t="shared" si="16"/>
        <v/>
      </c>
      <c r="K74" s="2156" t="str">
        <f t="shared" si="19"/>
        <v/>
      </c>
      <c r="L74" s="1700"/>
      <c r="M74" s="1701"/>
      <c r="N74" s="1702"/>
      <c r="O74" s="1702"/>
      <c r="P74" s="2157" t="str">
        <f t="shared" si="20"/>
        <v/>
      </c>
      <c r="Q74" s="2157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703"/>
      <c r="S74" s="1702"/>
      <c r="T74" s="1702"/>
      <c r="U74" s="1700"/>
      <c r="V74" s="2155" t="str" cm="1">
        <f t="array" ref="V74">IF(L74="","",IF(M74=AE74,1,Slookup(MID(AE74,1,3)*1,UomConversion!$D$8:$J$500,5,UomConversion!$E$8:$E$500,MID(M74,1,3)*1,UomConversion!$J$8:$J$500,1)))</f>
        <v/>
      </c>
      <c r="W74" s="2155" t="str">
        <f t="shared" si="22"/>
        <v/>
      </c>
      <c r="X74" s="2158" t="str">
        <f t="shared" si="23"/>
        <v/>
      </c>
      <c r="Y74" s="2158" t="str">
        <f t="shared" si="24"/>
        <v/>
      </c>
      <c r="Z74" s="2155" t="str">
        <f>IF(I74="","",IF(ISNA(MATCH(I74,IF(MID(N74,1,3)*1=1,'[1]1_inventory_totals'!$C$8:$C$10000,IF(MID(N74,1,3)*1=2,'[1]2_inventory_totals'!$C$8:$C$10000,"")),0)),0,IF(AL74&gt;0,1,0)))</f>
        <v/>
      </c>
      <c r="AA74" s="2155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155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155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155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2159" t="str">
        <f t="shared" si="25"/>
        <v/>
      </c>
      <c r="AF74" s="2160" t="str">
        <f>IF(ISNA(MATCH(MID(AE74,1,3)*1,UomConversion!$D$8:$D$500,0)),"",IF(AJ74&lt;&gt;"",AJ74,""))</f>
        <v/>
      </c>
      <c r="AG74" s="2160" t="str">
        <f>IF(AND(AH74&gt;0,COUNTIFS(UomConversion!$D$8:$D$500,MID(AE74,1,3)*1,UomConversion!$J$8:$J$500,1)&gt;1),TEXT(AH74,"000")&amp;"."&amp;VLOOKUP(AH74,uom_list,5,FALSE),"")</f>
        <v/>
      </c>
      <c r="AH74" s="2155" t="str">
        <f t="shared" si="26"/>
        <v/>
      </c>
      <c r="AI74" s="2155" t="str">
        <f t="shared" si="27"/>
        <v/>
      </c>
      <c r="AJ74" s="2155" t="str">
        <f t="shared" si="28"/>
        <v/>
      </c>
      <c r="AK74" s="2155" t="str" cm="1">
        <f t="array" ref="AK74">IF(L74="","",Slookup(MID(AE74,1,3)*1,UomConversion!$D$8:$J$500,2,UomConversion!$I$8:$I$500,1,UomConversion!$J$8:$J$500,1))</f>
        <v/>
      </c>
      <c r="AL74" s="2155" t="str">
        <f t="shared" si="29"/>
        <v/>
      </c>
      <c r="AM74" s="2155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155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155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1470"/>
    </row>
    <row r="75" spans="1:42" ht="27" hidden="1" customHeight="1">
      <c r="A75" s="1439"/>
      <c r="B75" s="1694"/>
      <c r="C75" s="1466"/>
      <c r="D75" s="1466"/>
      <c r="E75" s="1466"/>
      <c r="F75" s="1715"/>
      <c r="G75" s="1457"/>
      <c r="H75" s="1586"/>
      <c r="I75" s="2139" t="str">
        <f t="shared" si="21"/>
        <v/>
      </c>
      <c r="J75" s="2155" t="str">
        <f t="shared" si="16"/>
        <v/>
      </c>
      <c r="K75" s="2156" t="str">
        <f t="shared" si="19"/>
        <v/>
      </c>
      <c r="L75" s="1700"/>
      <c r="M75" s="1701"/>
      <c r="N75" s="1702"/>
      <c r="O75" s="1702"/>
      <c r="P75" s="2157" t="str">
        <f t="shared" si="20"/>
        <v/>
      </c>
      <c r="Q75" s="2157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703"/>
      <c r="S75" s="1702"/>
      <c r="T75" s="1702"/>
      <c r="U75" s="1700"/>
      <c r="V75" s="2155" t="str" cm="1">
        <f t="array" ref="V75">IF(L75="","",IF(M75=AE75,1,Slookup(MID(AE75,1,3)*1,UomConversion!$D$8:$J$500,5,UomConversion!$E$8:$E$500,MID(M75,1,3)*1,UomConversion!$J$8:$J$500,1)))</f>
        <v/>
      </c>
      <c r="W75" s="2155" t="str">
        <f t="shared" si="22"/>
        <v/>
      </c>
      <c r="X75" s="2158" t="str">
        <f t="shared" si="23"/>
        <v/>
      </c>
      <c r="Y75" s="2158" t="str">
        <f t="shared" si="24"/>
        <v/>
      </c>
      <c r="Z75" s="2155" t="str">
        <f>IF(I75="","",IF(ISNA(MATCH(I75,IF(MID(N75,1,3)*1=1,'[1]1_inventory_totals'!$C$8:$C$10000,IF(MID(N75,1,3)*1=2,'[1]2_inventory_totals'!$C$8:$C$10000,"")),0)),0,IF(AL75&gt;0,1,0)))</f>
        <v/>
      </c>
      <c r="AA75" s="2155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155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155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155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2159" t="str">
        <f t="shared" si="25"/>
        <v/>
      </c>
      <c r="AF75" s="2160" t="str">
        <f>IF(ISNA(MATCH(MID(AE75,1,3)*1,UomConversion!$D$8:$D$500,0)),"",IF(AJ75&lt;&gt;"",AJ75,""))</f>
        <v/>
      </c>
      <c r="AG75" s="2160" t="str">
        <f>IF(AND(AH75&gt;0,COUNTIFS(UomConversion!$D$8:$D$500,MID(AE75,1,3)*1,UomConversion!$J$8:$J$500,1)&gt;1),TEXT(AH75,"000")&amp;"."&amp;VLOOKUP(AH75,uom_list,5,FALSE),"")</f>
        <v/>
      </c>
      <c r="AH75" s="2155" t="str">
        <f t="shared" si="26"/>
        <v/>
      </c>
      <c r="AI75" s="2155" t="str">
        <f t="shared" si="27"/>
        <v/>
      </c>
      <c r="AJ75" s="2155" t="str">
        <f t="shared" si="28"/>
        <v/>
      </c>
      <c r="AK75" s="2155" t="str" cm="1">
        <f t="array" ref="AK75">IF(L75="","",Slookup(MID(AE75,1,3)*1,UomConversion!$D$8:$J$500,2,UomConversion!$I$8:$I$500,1,UomConversion!$J$8:$J$500,1))</f>
        <v/>
      </c>
      <c r="AL75" s="2155" t="str">
        <f t="shared" si="29"/>
        <v/>
      </c>
      <c r="AM75" s="2155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155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155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1470"/>
    </row>
    <row r="76" spans="1:42" ht="27" hidden="1" customHeight="1">
      <c r="A76" s="1439"/>
      <c r="B76" s="1694"/>
      <c r="C76" s="1466"/>
      <c r="D76" s="1466"/>
      <c r="E76" s="1466"/>
      <c r="F76" s="1715"/>
      <c r="G76" s="1457"/>
      <c r="H76" s="1586"/>
      <c r="I76" s="2139" t="str">
        <f t="shared" si="21"/>
        <v/>
      </c>
      <c r="J76" s="2155" t="str">
        <f t="shared" si="16"/>
        <v/>
      </c>
      <c r="K76" s="2156" t="str">
        <f t="shared" si="19"/>
        <v/>
      </c>
      <c r="L76" s="1700"/>
      <c r="M76" s="1701"/>
      <c r="N76" s="1702"/>
      <c r="O76" s="1702"/>
      <c r="P76" s="2157" t="str">
        <f t="shared" si="20"/>
        <v/>
      </c>
      <c r="Q76" s="2157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703"/>
      <c r="S76" s="1702"/>
      <c r="T76" s="1702"/>
      <c r="U76" s="1700"/>
      <c r="V76" s="2155" t="str" cm="1">
        <f t="array" ref="V76">IF(L76="","",IF(M76=AE76,1,Slookup(MID(AE76,1,3)*1,UomConversion!$D$8:$J$500,5,UomConversion!$E$8:$E$500,MID(M76,1,3)*1,UomConversion!$J$8:$J$500,1)))</f>
        <v/>
      </c>
      <c r="W76" s="2155" t="str">
        <f t="shared" si="22"/>
        <v/>
      </c>
      <c r="X76" s="2158" t="str">
        <f t="shared" si="23"/>
        <v/>
      </c>
      <c r="Y76" s="2158" t="str">
        <f t="shared" si="24"/>
        <v/>
      </c>
      <c r="Z76" s="2155" t="str">
        <f>IF(I76="","",IF(ISNA(MATCH(I76,IF(MID(N76,1,3)*1=1,'[1]1_inventory_totals'!$C$8:$C$10000,IF(MID(N76,1,3)*1=2,'[1]2_inventory_totals'!$C$8:$C$10000,"")),0)),0,IF(AL76&gt;0,1,0)))</f>
        <v/>
      </c>
      <c r="AA76" s="2155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155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155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155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2159" t="str">
        <f t="shared" si="25"/>
        <v/>
      </c>
      <c r="AF76" s="2160" t="str">
        <f>IF(ISNA(MATCH(MID(AE76,1,3)*1,UomConversion!$D$8:$D$500,0)),"",IF(AJ76&lt;&gt;"",AJ76,""))</f>
        <v/>
      </c>
      <c r="AG76" s="2160" t="str">
        <f>IF(AND(AH76&gt;0,COUNTIFS(UomConversion!$D$8:$D$500,MID(AE76,1,3)*1,UomConversion!$J$8:$J$500,1)&gt;1),TEXT(AH76,"000")&amp;"."&amp;VLOOKUP(AH76,uom_list,5,FALSE),"")</f>
        <v/>
      </c>
      <c r="AH76" s="2155" t="str">
        <f t="shared" si="26"/>
        <v/>
      </c>
      <c r="AI76" s="2155" t="str">
        <f t="shared" si="27"/>
        <v/>
      </c>
      <c r="AJ76" s="2155" t="str">
        <f t="shared" si="28"/>
        <v/>
      </c>
      <c r="AK76" s="2155" t="str" cm="1">
        <f t="array" ref="AK76">IF(L76="","",Slookup(MID(AE76,1,3)*1,UomConversion!$D$8:$J$500,2,UomConversion!$I$8:$I$500,1,UomConversion!$J$8:$J$500,1))</f>
        <v/>
      </c>
      <c r="AL76" s="2155" t="str">
        <f t="shared" si="29"/>
        <v/>
      </c>
      <c r="AM76" s="2155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155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155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1470"/>
    </row>
    <row r="77" spans="1:42" ht="27" hidden="1" customHeight="1">
      <c r="A77" s="1439"/>
      <c r="B77" s="1694"/>
      <c r="C77" s="1466"/>
      <c r="D77" s="1466"/>
      <c r="E77" s="1466"/>
      <c r="F77" s="1715"/>
      <c r="G77" s="1457"/>
      <c r="H77" s="1586"/>
      <c r="I77" s="2139" t="str">
        <f t="shared" si="21"/>
        <v/>
      </c>
      <c r="J77" s="2155" t="str">
        <f t="shared" si="16"/>
        <v/>
      </c>
      <c r="K77" s="2156" t="str">
        <f t="shared" si="19"/>
        <v/>
      </c>
      <c r="L77" s="1700"/>
      <c r="M77" s="1701"/>
      <c r="N77" s="1702"/>
      <c r="O77" s="1702"/>
      <c r="P77" s="2157" t="str">
        <f t="shared" si="20"/>
        <v/>
      </c>
      <c r="Q77" s="2157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703"/>
      <c r="S77" s="1702"/>
      <c r="T77" s="1702"/>
      <c r="U77" s="1700"/>
      <c r="V77" s="2155" t="str" cm="1">
        <f t="array" ref="V77">IF(L77="","",IF(M77=AE77,1,Slookup(MID(AE77,1,3)*1,UomConversion!$D$8:$J$500,5,UomConversion!$E$8:$E$500,MID(M77,1,3)*1,UomConversion!$J$8:$J$500,1)))</f>
        <v/>
      </c>
      <c r="W77" s="2155" t="str">
        <f t="shared" si="22"/>
        <v/>
      </c>
      <c r="X77" s="2158" t="str">
        <f t="shared" si="23"/>
        <v/>
      </c>
      <c r="Y77" s="2158" t="str">
        <f t="shared" si="24"/>
        <v/>
      </c>
      <c r="Z77" s="2155" t="str">
        <f>IF(I77="","",IF(ISNA(MATCH(I77,IF(MID(N77,1,3)*1=1,'[1]1_inventory_totals'!$C$8:$C$10000,IF(MID(N77,1,3)*1=2,'[1]2_inventory_totals'!$C$8:$C$10000,"")),0)),0,IF(AL77&gt;0,1,0)))</f>
        <v/>
      </c>
      <c r="AA77" s="2155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155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155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155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2159" t="str">
        <f t="shared" si="25"/>
        <v/>
      </c>
      <c r="AF77" s="2160" t="str">
        <f>IF(ISNA(MATCH(MID(AE77,1,3)*1,UomConversion!$D$8:$D$500,0)),"",IF(AJ77&lt;&gt;"",AJ77,""))</f>
        <v/>
      </c>
      <c r="AG77" s="2160" t="str">
        <f>IF(AND(AH77&gt;0,COUNTIFS(UomConversion!$D$8:$D$500,MID(AE77,1,3)*1,UomConversion!$J$8:$J$500,1)&gt;1),TEXT(AH77,"000")&amp;"."&amp;VLOOKUP(AH77,uom_list,5,FALSE),"")</f>
        <v/>
      </c>
      <c r="AH77" s="2155" t="str">
        <f t="shared" si="26"/>
        <v/>
      </c>
      <c r="AI77" s="2155" t="str">
        <f t="shared" si="27"/>
        <v/>
      </c>
      <c r="AJ77" s="2155" t="str">
        <f t="shared" si="28"/>
        <v/>
      </c>
      <c r="AK77" s="2155" t="str" cm="1">
        <f t="array" ref="AK77">IF(L77="","",Slookup(MID(AE77,1,3)*1,UomConversion!$D$8:$J$500,2,UomConversion!$I$8:$I$500,1,UomConversion!$J$8:$J$500,1))</f>
        <v/>
      </c>
      <c r="AL77" s="2155" t="str">
        <f t="shared" si="29"/>
        <v/>
      </c>
      <c r="AM77" s="2155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155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155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1470"/>
    </row>
    <row r="78" spans="1:42" ht="27" hidden="1" customHeight="1">
      <c r="A78" s="1439"/>
      <c r="B78" s="1694"/>
      <c r="C78" s="1466"/>
      <c r="D78" s="1466"/>
      <c r="E78" s="1466"/>
      <c r="F78" s="1715"/>
      <c r="G78" s="1457"/>
      <c r="H78" s="1586"/>
      <c r="I78" s="2139" t="str">
        <f t="shared" si="21"/>
        <v/>
      </c>
      <c r="J78" s="2155" t="str">
        <f t="shared" si="16"/>
        <v/>
      </c>
      <c r="K78" s="2156" t="str">
        <f t="shared" si="19"/>
        <v/>
      </c>
      <c r="L78" s="1700"/>
      <c r="M78" s="1701"/>
      <c r="N78" s="1702"/>
      <c r="O78" s="1702"/>
      <c r="P78" s="2157" t="str">
        <f t="shared" si="20"/>
        <v/>
      </c>
      <c r="Q78" s="2157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703"/>
      <c r="S78" s="1702"/>
      <c r="T78" s="1702"/>
      <c r="U78" s="1700"/>
      <c r="V78" s="2155" t="str" cm="1">
        <f t="array" ref="V78">IF(L78="","",IF(M78=AE78,1,Slookup(MID(AE78,1,3)*1,UomConversion!$D$8:$J$500,5,UomConversion!$E$8:$E$500,MID(M78,1,3)*1,UomConversion!$J$8:$J$500,1)))</f>
        <v/>
      </c>
      <c r="W78" s="2155" t="str">
        <f t="shared" si="22"/>
        <v/>
      </c>
      <c r="X78" s="2158" t="str">
        <f t="shared" si="23"/>
        <v/>
      </c>
      <c r="Y78" s="2158" t="str">
        <f t="shared" si="24"/>
        <v/>
      </c>
      <c r="Z78" s="2155" t="str">
        <f>IF(I78="","",IF(ISNA(MATCH(I78,IF(MID(N78,1,3)*1=1,'[1]1_inventory_totals'!$C$8:$C$10000,IF(MID(N78,1,3)*1=2,'[1]2_inventory_totals'!$C$8:$C$10000,"")),0)),0,IF(AL78&gt;0,1,0)))</f>
        <v/>
      </c>
      <c r="AA78" s="2155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155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155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155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2159" t="str">
        <f t="shared" si="25"/>
        <v/>
      </c>
      <c r="AF78" s="2160" t="str">
        <f>IF(ISNA(MATCH(MID(AE78,1,3)*1,UomConversion!$D$8:$D$500,0)),"",IF(AJ78&lt;&gt;"",AJ78,""))</f>
        <v/>
      </c>
      <c r="AG78" s="2160" t="str">
        <f>IF(AND(AH78&gt;0,COUNTIFS(UomConversion!$D$8:$D$500,MID(AE78,1,3)*1,UomConversion!$J$8:$J$500,1)&gt;1),TEXT(AH78,"000")&amp;"."&amp;VLOOKUP(AH78,uom_list,5,FALSE),"")</f>
        <v/>
      </c>
      <c r="AH78" s="2155" t="str">
        <f t="shared" si="26"/>
        <v/>
      </c>
      <c r="AI78" s="2155" t="str">
        <f t="shared" si="27"/>
        <v/>
      </c>
      <c r="AJ78" s="2155" t="str">
        <f t="shared" si="28"/>
        <v/>
      </c>
      <c r="AK78" s="2155" t="str" cm="1">
        <f t="array" ref="AK78">IF(L78="","",Slookup(MID(AE78,1,3)*1,UomConversion!$D$8:$J$500,2,UomConversion!$I$8:$I$500,1,UomConversion!$J$8:$J$500,1))</f>
        <v/>
      </c>
      <c r="AL78" s="2155" t="str">
        <f t="shared" si="29"/>
        <v/>
      </c>
      <c r="AM78" s="2155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155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155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1470"/>
    </row>
    <row r="79" spans="1:42" ht="27" hidden="1" customHeight="1">
      <c r="A79" s="1439"/>
      <c r="B79" s="1694"/>
      <c r="C79" s="1466"/>
      <c r="D79" s="1466"/>
      <c r="E79" s="1466"/>
      <c r="F79" s="1715"/>
      <c r="G79" s="1457"/>
      <c r="H79" s="1586"/>
      <c r="I79" s="2139" t="str">
        <f t="shared" si="21"/>
        <v/>
      </c>
      <c r="J79" s="2155" t="str">
        <f t="shared" si="16"/>
        <v/>
      </c>
      <c r="K79" s="2156" t="str">
        <f t="shared" si="19"/>
        <v/>
      </c>
      <c r="L79" s="1700"/>
      <c r="M79" s="1701"/>
      <c r="N79" s="1702"/>
      <c r="O79" s="1702"/>
      <c r="P79" s="2157" t="str">
        <f t="shared" si="20"/>
        <v/>
      </c>
      <c r="Q79" s="2157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703"/>
      <c r="S79" s="1702"/>
      <c r="T79" s="1702"/>
      <c r="U79" s="1700"/>
      <c r="V79" s="2155" t="str" cm="1">
        <f t="array" ref="V79">IF(L79="","",IF(M79=AE79,1,Slookup(MID(AE79,1,3)*1,UomConversion!$D$8:$J$500,5,UomConversion!$E$8:$E$500,MID(M79,1,3)*1,UomConversion!$J$8:$J$500,1)))</f>
        <v/>
      </c>
      <c r="W79" s="2155" t="str">
        <f t="shared" si="22"/>
        <v/>
      </c>
      <c r="X79" s="2158" t="str">
        <f t="shared" si="23"/>
        <v/>
      </c>
      <c r="Y79" s="2158" t="str">
        <f t="shared" si="24"/>
        <v/>
      </c>
      <c r="Z79" s="2155" t="str">
        <f>IF(I79="","",IF(ISNA(MATCH(I79,IF(MID(N79,1,3)*1=1,'[1]1_inventory_totals'!$C$8:$C$10000,IF(MID(N79,1,3)*1=2,'[1]2_inventory_totals'!$C$8:$C$10000,"")),0)),0,IF(AL79&gt;0,1,0)))</f>
        <v/>
      </c>
      <c r="AA79" s="2155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155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155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155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2159" t="str">
        <f t="shared" si="25"/>
        <v/>
      </c>
      <c r="AF79" s="2160" t="str">
        <f>IF(ISNA(MATCH(MID(AE79,1,3)*1,UomConversion!$D$8:$D$500,0)),"",IF(AJ79&lt;&gt;"",AJ79,""))</f>
        <v/>
      </c>
      <c r="AG79" s="2160" t="str">
        <f>IF(AND(AH79&gt;0,COUNTIFS(UomConversion!$D$8:$D$500,MID(AE79,1,3)*1,UomConversion!$J$8:$J$500,1)&gt;1),TEXT(AH79,"000")&amp;"."&amp;VLOOKUP(AH79,uom_list,5,FALSE),"")</f>
        <v/>
      </c>
      <c r="AH79" s="2155" t="str">
        <f t="shared" si="26"/>
        <v/>
      </c>
      <c r="AI79" s="2155" t="str">
        <f t="shared" si="27"/>
        <v/>
      </c>
      <c r="AJ79" s="2155" t="str">
        <f t="shared" si="28"/>
        <v/>
      </c>
      <c r="AK79" s="2155" t="str" cm="1">
        <f t="array" ref="AK79">IF(L79="","",Slookup(MID(AE79,1,3)*1,UomConversion!$D$8:$J$500,2,UomConversion!$I$8:$I$500,1,UomConversion!$J$8:$J$500,1))</f>
        <v/>
      </c>
      <c r="AL79" s="2155" t="str">
        <f t="shared" si="29"/>
        <v/>
      </c>
      <c r="AM79" s="2155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155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155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1470"/>
    </row>
    <row r="80" spans="1:42" ht="27" hidden="1" customHeight="1">
      <c r="A80" s="1439"/>
      <c r="B80" s="1694"/>
      <c r="C80" s="1466"/>
      <c r="D80" s="1466"/>
      <c r="E80" s="1466"/>
      <c r="F80" s="1715"/>
      <c r="G80" s="1457"/>
      <c r="H80" s="1586"/>
      <c r="I80" s="2139" t="str">
        <f t="shared" si="21"/>
        <v/>
      </c>
      <c r="J80" s="2155" t="str">
        <f t="shared" si="16"/>
        <v/>
      </c>
      <c r="K80" s="2156" t="str">
        <f t="shared" si="19"/>
        <v/>
      </c>
      <c r="L80" s="1700"/>
      <c r="M80" s="1701"/>
      <c r="N80" s="1702"/>
      <c r="O80" s="1702"/>
      <c r="P80" s="2157" t="str">
        <f t="shared" si="20"/>
        <v/>
      </c>
      <c r="Q80" s="2157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703"/>
      <c r="S80" s="1702"/>
      <c r="T80" s="1702"/>
      <c r="U80" s="1700"/>
      <c r="V80" s="2155" t="str" cm="1">
        <f t="array" ref="V80">IF(L80="","",IF(M80=AE80,1,Slookup(MID(AE80,1,3)*1,UomConversion!$D$8:$J$500,5,UomConversion!$E$8:$E$500,MID(M80,1,3)*1,UomConversion!$J$8:$J$500,1)))</f>
        <v/>
      </c>
      <c r="W80" s="2155" t="str">
        <f t="shared" si="22"/>
        <v/>
      </c>
      <c r="X80" s="2158" t="str">
        <f t="shared" si="23"/>
        <v/>
      </c>
      <c r="Y80" s="2158" t="str">
        <f t="shared" si="24"/>
        <v/>
      </c>
      <c r="Z80" s="2155" t="str">
        <f>IF(I80="","",IF(ISNA(MATCH(I80,IF(MID(N80,1,3)*1=1,'[1]1_inventory_totals'!$C$8:$C$10000,IF(MID(N80,1,3)*1=2,'[1]2_inventory_totals'!$C$8:$C$10000,"")),0)),0,IF(AL80&gt;0,1,0)))</f>
        <v/>
      </c>
      <c r="AA80" s="2155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155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155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155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2159" t="str">
        <f t="shared" si="25"/>
        <v/>
      </c>
      <c r="AF80" s="2160" t="str">
        <f>IF(ISNA(MATCH(MID(AE80,1,3)*1,UomConversion!$D$8:$D$500,0)),"",IF(AJ80&lt;&gt;"",AJ80,""))</f>
        <v/>
      </c>
      <c r="AG80" s="2160" t="str">
        <f>IF(AND(AH80&gt;0,COUNTIFS(UomConversion!$D$8:$D$500,MID(AE80,1,3)*1,UomConversion!$J$8:$J$500,1)&gt;1),TEXT(AH80,"000")&amp;"."&amp;VLOOKUP(AH80,uom_list,5,FALSE),"")</f>
        <v/>
      </c>
      <c r="AH80" s="2155" t="str">
        <f t="shared" si="26"/>
        <v/>
      </c>
      <c r="AI80" s="2155" t="str">
        <f t="shared" si="27"/>
        <v/>
      </c>
      <c r="AJ80" s="2155" t="str">
        <f t="shared" si="28"/>
        <v/>
      </c>
      <c r="AK80" s="2155" t="str" cm="1">
        <f t="array" ref="AK80">IF(L80="","",Slookup(MID(AE80,1,3)*1,UomConversion!$D$8:$J$500,2,UomConversion!$I$8:$I$500,1,UomConversion!$J$8:$J$500,1))</f>
        <v/>
      </c>
      <c r="AL80" s="2155" t="str">
        <f t="shared" si="29"/>
        <v/>
      </c>
      <c r="AM80" s="2155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155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155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1470"/>
    </row>
    <row r="81" spans="1:42" ht="27" hidden="1" customHeight="1">
      <c r="A81" s="1439"/>
      <c r="B81" s="1694"/>
      <c r="C81" s="1466"/>
      <c r="D81" s="1466"/>
      <c r="E81" s="1466"/>
      <c r="F81" s="1715"/>
      <c r="G81" s="1457"/>
      <c r="H81" s="1586"/>
      <c r="I81" s="2139" t="str">
        <f t="shared" si="21"/>
        <v/>
      </c>
      <c r="J81" s="2155" t="str">
        <f t="shared" si="16"/>
        <v/>
      </c>
      <c r="K81" s="2156" t="str">
        <f t="shared" si="19"/>
        <v/>
      </c>
      <c r="L81" s="1700"/>
      <c r="M81" s="1701"/>
      <c r="N81" s="1702"/>
      <c r="O81" s="1702"/>
      <c r="P81" s="2157" t="str">
        <f t="shared" si="20"/>
        <v/>
      </c>
      <c r="Q81" s="2157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703"/>
      <c r="S81" s="1702"/>
      <c r="T81" s="1702"/>
      <c r="U81" s="1700"/>
      <c r="V81" s="2155" t="str" cm="1">
        <f t="array" ref="V81">IF(L81="","",IF(M81=AE81,1,Slookup(MID(AE81,1,3)*1,UomConversion!$D$8:$J$500,5,UomConversion!$E$8:$E$500,MID(M81,1,3)*1,UomConversion!$J$8:$J$500,1)))</f>
        <v/>
      </c>
      <c r="W81" s="2155" t="str">
        <f t="shared" si="22"/>
        <v/>
      </c>
      <c r="X81" s="2158" t="str">
        <f t="shared" si="23"/>
        <v/>
      </c>
      <c r="Y81" s="2158" t="str">
        <f t="shared" si="24"/>
        <v/>
      </c>
      <c r="Z81" s="2155" t="str">
        <f>IF(I81="","",IF(ISNA(MATCH(I81,IF(MID(N81,1,3)*1=1,'[1]1_inventory_totals'!$C$8:$C$10000,IF(MID(N81,1,3)*1=2,'[1]2_inventory_totals'!$C$8:$C$10000,"")),0)),0,IF(AL81&gt;0,1,0)))</f>
        <v/>
      </c>
      <c r="AA81" s="2155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155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155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155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2159" t="str">
        <f t="shared" si="25"/>
        <v/>
      </c>
      <c r="AF81" s="2160" t="str">
        <f>IF(ISNA(MATCH(MID(AE81,1,3)*1,UomConversion!$D$8:$D$500,0)),"",IF(AJ81&lt;&gt;"",AJ81,""))</f>
        <v/>
      </c>
      <c r="AG81" s="2160" t="str">
        <f>IF(AND(AH81&gt;0,COUNTIFS(UomConversion!$D$8:$D$500,MID(AE81,1,3)*1,UomConversion!$J$8:$J$500,1)&gt;1),TEXT(AH81,"000")&amp;"."&amp;VLOOKUP(AH81,uom_list,5,FALSE),"")</f>
        <v/>
      </c>
      <c r="AH81" s="2155" t="str">
        <f t="shared" si="26"/>
        <v/>
      </c>
      <c r="AI81" s="2155" t="str">
        <f t="shared" si="27"/>
        <v/>
      </c>
      <c r="AJ81" s="2155" t="str">
        <f t="shared" si="28"/>
        <v/>
      </c>
      <c r="AK81" s="2155" t="str" cm="1">
        <f t="array" ref="AK81">IF(L81="","",Slookup(MID(AE81,1,3)*1,UomConversion!$D$8:$J$500,2,UomConversion!$I$8:$I$500,1,UomConversion!$J$8:$J$500,1))</f>
        <v/>
      </c>
      <c r="AL81" s="2155" t="str">
        <f t="shared" si="29"/>
        <v/>
      </c>
      <c r="AM81" s="2155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155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155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1470"/>
    </row>
    <row r="82" spans="1:42" ht="27" hidden="1" customHeight="1">
      <c r="A82" s="1439"/>
      <c r="B82" s="1694"/>
      <c r="C82" s="1466"/>
      <c r="D82" s="1466"/>
      <c r="E82" s="1466"/>
      <c r="F82" s="1715"/>
      <c r="G82" s="1457"/>
      <c r="H82" s="1586"/>
      <c r="I82" s="2139" t="str">
        <f t="shared" si="21"/>
        <v/>
      </c>
      <c r="J82" s="2155" t="str">
        <f t="shared" si="16"/>
        <v/>
      </c>
      <c r="K82" s="2156" t="str">
        <f t="shared" si="19"/>
        <v/>
      </c>
      <c r="L82" s="1700"/>
      <c r="M82" s="1701"/>
      <c r="N82" s="1702"/>
      <c r="O82" s="1702"/>
      <c r="P82" s="2157" t="str">
        <f t="shared" si="20"/>
        <v/>
      </c>
      <c r="Q82" s="2157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703"/>
      <c r="S82" s="1702"/>
      <c r="T82" s="1702"/>
      <c r="U82" s="1700"/>
      <c r="V82" s="2155" t="str" cm="1">
        <f t="array" ref="V82">IF(L82="","",IF(M82=AE82,1,Slookup(MID(AE82,1,3)*1,UomConversion!$D$8:$J$500,5,UomConversion!$E$8:$E$500,MID(M82,1,3)*1,UomConversion!$J$8:$J$500,1)))</f>
        <v/>
      </c>
      <c r="W82" s="2155" t="str">
        <f t="shared" si="22"/>
        <v/>
      </c>
      <c r="X82" s="2158" t="str">
        <f t="shared" si="23"/>
        <v/>
      </c>
      <c r="Y82" s="2158" t="str">
        <f t="shared" si="24"/>
        <v/>
      </c>
      <c r="Z82" s="2155" t="str">
        <f>IF(I82="","",IF(ISNA(MATCH(I82,IF(MID(N82,1,3)*1=1,'[1]1_inventory_totals'!$C$8:$C$10000,IF(MID(N82,1,3)*1=2,'[1]2_inventory_totals'!$C$8:$C$10000,"")),0)),0,IF(AL82&gt;0,1,0)))</f>
        <v/>
      </c>
      <c r="AA82" s="2155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155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155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155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2159" t="str">
        <f t="shared" si="25"/>
        <v/>
      </c>
      <c r="AF82" s="2160" t="str">
        <f>IF(ISNA(MATCH(MID(AE82,1,3)*1,UomConversion!$D$8:$D$500,0)),"",IF(AJ82&lt;&gt;"",AJ82,""))</f>
        <v/>
      </c>
      <c r="AG82" s="2160" t="str">
        <f>IF(AND(AH82&gt;0,COUNTIFS(UomConversion!$D$8:$D$500,MID(AE82,1,3)*1,UomConversion!$J$8:$J$500,1)&gt;1),TEXT(AH82,"000")&amp;"."&amp;VLOOKUP(AH82,uom_list,5,FALSE),"")</f>
        <v/>
      </c>
      <c r="AH82" s="2155" t="str">
        <f t="shared" si="26"/>
        <v/>
      </c>
      <c r="AI82" s="2155" t="str">
        <f t="shared" si="27"/>
        <v/>
      </c>
      <c r="AJ82" s="2155" t="str">
        <f t="shared" si="28"/>
        <v/>
      </c>
      <c r="AK82" s="2155" t="str" cm="1">
        <f t="array" ref="AK82">IF(L82="","",Slookup(MID(AE82,1,3)*1,UomConversion!$D$8:$J$500,2,UomConversion!$I$8:$I$500,1,UomConversion!$J$8:$J$500,1))</f>
        <v/>
      </c>
      <c r="AL82" s="2155" t="str">
        <f t="shared" si="29"/>
        <v/>
      </c>
      <c r="AM82" s="2155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155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155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1470"/>
    </row>
    <row r="83" spans="1:42" ht="27" hidden="1" customHeight="1">
      <c r="A83" s="1439"/>
      <c r="B83" s="1694"/>
      <c r="C83" s="1466"/>
      <c r="D83" s="1466"/>
      <c r="E83" s="1466"/>
      <c r="F83" s="1715"/>
      <c r="G83" s="1457"/>
      <c r="H83" s="1586"/>
      <c r="I83" s="2139" t="str">
        <f t="shared" si="21"/>
        <v/>
      </c>
      <c r="J83" s="2155" t="str">
        <f t="shared" si="16"/>
        <v/>
      </c>
      <c r="K83" s="2156" t="str">
        <f t="shared" si="19"/>
        <v/>
      </c>
      <c r="L83" s="1700"/>
      <c r="M83" s="1701"/>
      <c r="N83" s="1702"/>
      <c r="O83" s="1702"/>
      <c r="P83" s="2157" t="str">
        <f t="shared" si="20"/>
        <v/>
      </c>
      <c r="Q83" s="2157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703"/>
      <c r="S83" s="1702"/>
      <c r="T83" s="1702"/>
      <c r="U83" s="1700"/>
      <c r="V83" s="2155" t="str" cm="1">
        <f t="array" ref="V83">IF(L83="","",IF(M83=AE83,1,Slookup(MID(AE83,1,3)*1,UomConversion!$D$8:$J$500,5,UomConversion!$E$8:$E$500,MID(M83,1,3)*1,UomConversion!$J$8:$J$500,1)))</f>
        <v/>
      </c>
      <c r="W83" s="2155" t="str">
        <f t="shared" si="22"/>
        <v/>
      </c>
      <c r="X83" s="2158" t="str">
        <f t="shared" si="23"/>
        <v/>
      </c>
      <c r="Y83" s="2158" t="str">
        <f t="shared" si="24"/>
        <v/>
      </c>
      <c r="Z83" s="2155" t="str">
        <f>IF(I83="","",IF(ISNA(MATCH(I83,IF(MID(N83,1,3)*1=1,'[1]1_inventory_totals'!$C$8:$C$10000,IF(MID(N83,1,3)*1=2,'[1]2_inventory_totals'!$C$8:$C$10000,"")),0)),0,IF(AL83&gt;0,1,0)))</f>
        <v/>
      </c>
      <c r="AA83" s="2155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155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155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155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2159" t="str">
        <f t="shared" si="25"/>
        <v/>
      </c>
      <c r="AF83" s="2160" t="str">
        <f>IF(ISNA(MATCH(MID(AE83,1,3)*1,UomConversion!$D$8:$D$500,0)),"",IF(AJ83&lt;&gt;"",AJ83,""))</f>
        <v/>
      </c>
      <c r="AG83" s="2160" t="str">
        <f>IF(AND(AH83&gt;0,COUNTIFS(UomConversion!$D$8:$D$500,MID(AE83,1,3)*1,UomConversion!$J$8:$J$500,1)&gt;1),TEXT(AH83,"000")&amp;"."&amp;VLOOKUP(AH83,uom_list,5,FALSE),"")</f>
        <v/>
      </c>
      <c r="AH83" s="2155" t="str">
        <f t="shared" si="26"/>
        <v/>
      </c>
      <c r="AI83" s="2155" t="str">
        <f t="shared" si="27"/>
        <v/>
      </c>
      <c r="AJ83" s="2155" t="str">
        <f t="shared" si="28"/>
        <v/>
      </c>
      <c r="AK83" s="2155" t="str" cm="1">
        <f t="array" ref="AK83">IF(L83="","",Slookup(MID(AE83,1,3)*1,UomConversion!$D$8:$J$500,2,UomConversion!$I$8:$I$500,1,UomConversion!$J$8:$J$500,1))</f>
        <v/>
      </c>
      <c r="AL83" s="2155" t="str">
        <f t="shared" si="29"/>
        <v/>
      </c>
      <c r="AM83" s="2155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155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155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1470"/>
    </row>
    <row r="84" spans="1:42" ht="27" hidden="1" customHeight="1">
      <c r="A84" s="1439"/>
      <c r="B84" s="1694"/>
      <c r="C84" s="1466"/>
      <c r="D84" s="1466"/>
      <c r="E84" s="1466"/>
      <c r="F84" s="1715"/>
      <c r="G84" s="1457"/>
      <c r="H84" s="1586"/>
      <c r="I84" s="2139" t="str">
        <f t="shared" si="21"/>
        <v/>
      </c>
      <c r="J84" s="2155" t="str">
        <f t="shared" si="16"/>
        <v/>
      </c>
      <c r="K84" s="2156" t="str">
        <f t="shared" si="19"/>
        <v/>
      </c>
      <c r="L84" s="1700"/>
      <c r="M84" s="1701"/>
      <c r="N84" s="1702"/>
      <c r="O84" s="1702"/>
      <c r="P84" s="2157" t="str">
        <f t="shared" si="20"/>
        <v/>
      </c>
      <c r="Q84" s="2157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703"/>
      <c r="S84" s="1702"/>
      <c r="T84" s="1702"/>
      <c r="U84" s="1700"/>
      <c r="V84" s="2155" t="str" cm="1">
        <f t="array" ref="V84">IF(L84="","",IF(M84=AE84,1,Slookup(MID(AE84,1,3)*1,UomConversion!$D$8:$J$500,5,UomConversion!$E$8:$E$500,MID(M84,1,3)*1,UomConversion!$J$8:$J$500,1)))</f>
        <v/>
      </c>
      <c r="W84" s="2155" t="str">
        <f t="shared" si="22"/>
        <v/>
      </c>
      <c r="X84" s="2158" t="str">
        <f t="shared" si="23"/>
        <v/>
      </c>
      <c r="Y84" s="2158" t="str">
        <f t="shared" si="24"/>
        <v/>
      </c>
      <c r="Z84" s="2155" t="str">
        <f>IF(I84="","",IF(ISNA(MATCH(I84,IF(MID(N84,1,3)*1=1,'[1]1_inventory_totals'!$C$8:$C$10000,IF(MID(N84,1,3)*1=2,'[1]2_inventory_totals'!$C$8:$C$10000,"")),0)),0,IF(AL84&gt;0,1,0)))</f>
        <v/>
      </c>
      <c r="AA84" s="2155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155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155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155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2159" t="str">
        <f t="shared" si="25"/>
        <v/>
      </c>
      <c r="AF84" s="2160" t="str">
        <f>IF(ISNA(MATCH(MID(AE84,1,3)*1,UomConversion!$D$8:$D$500,0)),"",IF(AJ84&lt;&gt;"",AJ84,""))</f>
        <v/>
      </c>
      <c r="AG84" s="2160" t="str">
        <f>IF(AND(AH84&gt;0,COUNTIFS(UomConversion!$D$8:$D$500,MID(AE84,1,3)*1,UomConversion!$J$8:$J$500,1)&gt;1),TEXT(AH84,"000")&amp;"."&amp;VLOOKUP(AH84,uom_list,5,FALSE),"")</f>
        <v/>
      </c>
      <c r="AH84" s="2155" t="str">
        <f t="shared" si="26"/>
        <v/>
      </c>
      <c r="AI84" s="2155" t="str">
        <f t="shared" si="27"/>
        <v/>
      </c>
      <c r="AJ84" s="2155" t="str">
        <f t="shared" si="28"/>
        <v/>
      </c>
      <c r="AK84" s="2155" t="str" cm="1">
        <f t="array" ref="AK84">IF(L84="","",Slookup(MID(AE84,1,3)*1,UomConversion!$D$8:$J$500,2,UomConversion!$I$8:$I$500,1,UomConversion!$J$8:$J$500,1))</f>
        <v/>
      </c>
      <c r="AL84" s="2155" t="str">
        <f t="shared" si="29"/>
        <v/>
      </c>
      <c r="AM84" s="2155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155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155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1470"/>
    </row>
    <row r="85" spans="1:42" ht="27" hidden="1" customHeight="1">
      <c r="A85" s="1439"/>
      <c r="B85" s="1694"/>
      <c r="C85" s="1466"/>
      <c r="D85" s="1466"/>
      <c r="E85" s="1466"/>
      <c r="F85" s="1715"/>
      <c r="G85" s="1457"/>
      <c r="H85" s="1586"/>
      <c r="I85" s="2139" t="str">
        <f t="shared" si="21"/>
        <v/>
      </c>
      <c r="J85" s="2155" t="str">
        <f t="shared" si="16"/>
        <v/>
      </c>
      <c r="K85" s="2156" t="str">
        <f t="shared" si="19"/>
        <v/>
      </c>
      <c r="L85" s="1700"/>
      <c r="M85" s="1701"/>
      <c r="N85" s="1702"/>
      <c r="O85" s="1702"/>
      <c r="P85" s="2157" t="str">
        <f t="shared" si="20"/>
        <v/>
      </c>
      <c r="Q85" s="2157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703"/>
      <c r="S85" s="1702"/>
      <c r="T85" s="1702"/>
      <c r="U85" s="1700"/>
      <c r="V85" s="2155" t="str" cm="1">
        <f t="array" ref="V85">IF(L85="","",IF(M85=AE85,1,Slookup(MID(AE85,1,3)*1,UomConversion!$D$8:$J$500,5,UomConversion!$E$8:$E$500,MID(M85,1,3)*1,UomConversion!$J$8:$J$500,1)))</f>
        <v/>
      </c>
      <c r="W85" s="2155" t="str">
        <f t="shared" si="22"/>
        <v/>
      </c>
      <c r="X85" s="2158" t="str">
        <f t="shared" si="23"/>
        <v/>
      </c>
      <c r="Y85" s="2158" t="str">
        <f t="shared" si="24"/>
        <v/>
      </c>
      <c r="Z85" s="2155" t="str">
        <f>IF(I85="","",IF(ISNA(MATCH(I85,IF(MID(N85,1,3)*1=1,'[1]1_inventory_totals'!$C$8:$C$10000,IF(MID(N85,1,3)*1=2,'[1]2_inventory_totals'!$C$8:$C$10000,"")),0)),0,IF(AL85&gt;0,1,0)))</f>
        <v/>
      </c>
      <c r="AA85" s="2155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155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155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155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2159" t="str">
        <f t="shared" si="25"/>
        <v/>
      </c>
      <c r="AF85" s="2160" t="str">
        <f>IF(ISNA(MATCH(MID(AE85,1,3)*1,UomConversion!$D$8:$D$500,0)),"",IF(AJ85&lt;&gt;"",AJ85,""))</f>
        <v/>
      </c>
      <c r="AG85" s="2160" t="str">
        <f>IF(AND(AH85&gt;0,COUNTIFS(UomConversion!$D$8:$D$500,MID(AE85,1,3)*1,UomConversion!$J$8:$J$500,1)&gt;1),TEXT(AH85,"000")&amp;"."&amp;VLOOKUP(AH85,uom_list,5,FALSE),"")</f>
        <v/>
      </c>
      <c r="AH85" s="2155" t="str">
        <f t="shared" si="26"/>
        <v/>
      </c>
      <c r="AI85" s="2155" t="str">
        <f t="shared" si="27"/>
        <v/>
      </c>
      <c r="AJ85" s="2155" t="str">
        <f t="shared" si="28"/>
        <v/>
      </c>
      <c r="AK85" s="2155" t="str" cm="1">
        <f t="array" ref="AK85">IF(L85="","",Slookup(MID(AE85,1,3)*1,UomConversion!$D$8:$J$500,2,UomConversion!$I$8:$I$500,1,UomConversion!$J$8:$J$500,1))</f>
        <v/>
      </c>
      <c r="AL85" s="2155" t="str">
        <f t="shared" si="29"/>
        <v/>
      </c>
      <c r="AM85" s="2155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155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155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1470"/>
    </row>
    <row r="86" spans="1:42" ht="27" hidden="1" customHeight="1">
      <c r="A86" s="1439"/>
      <c r="B86" s="1694"/>
      <c r="C86" s="1466"/>
      <c r="D86" s="1466"/>
      <c r="E86" s="1466"/>
      <c r="F86" s="1715"/>
      <c r="G86" s="1457"/>
      <c r="H86" s="1586"/>
      <c r="I86" s="2139" t="str">
        <f t="shared" si="21"/>
        <v/>
      </c>
      <c r="J86" s="2155" t="str">
        <f t="shared" si="16"/>
        <v/>
      </c>
      <c r="K86" s="2156" t="str">
        <f t="shared" si="19"/>
        <v/>
      </c>
      <c r="L86" s="1700"/>
      <c r="M86" s="1701"/>
      <c r="N86" s="1702"/>
      <c r="O86" s="1702"/>
      <c r="P86" s="2157" t="str">
        <f t="shared" si="20"/>
        <v/>
      </c>
      <c r="Q86" s="2157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703"/>
      <c r="S86" s="1702"/>
      <c r="T86" s="1702"/>
      <c r="U86" s="1700"/>
      <c r="V86" s="2155" t="str" cm="1">
        <f t="array" ref="V86">IF(L86="","",IF(M86=AE86,1,Slookup(MID(AE86,1,3)*1,UomConversion!$D$8:$J$500,5,UomConversion!$E$8:$E$500,MID(M86,1,3)*1,UomConversion!$J$8:$J$500,1)))</f>
        <v/>
      </c>
      <c r="W86" s="2155" t="str">
        <f t="shared" si="22"/>
        <v/>
      </c>
      <c r="X86" s="2158" t="str">
        <f t="shared" si="23"/>
        <v/>
      </c>
      <c r="Y86" s="2158" t="str">
        <f t="shared" si="24"/>
        <v/>
      </c>
      <c r="Z86" s="2155" t="str">
        <f>IF(I86="","",IF(ISNA(MATCH(I86,IF(MID(N86,1,3)*1=1,'[1]1_inventory_totals'!$C$8:$C$10000,IF(MID(N86,1,3)*1=2,'[1]2_inventory_totals'!$C$8:$C$10000,"")),0)),0,IF(AL86&gt;0,1,0)))</f>
        <v/>
      </c>
      <c r="AA86" s="2155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155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155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155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2159" t="str">
        <f t="shared" si="25"/>
        <v/>
      </c>
      <c r="AF86" s="2160" t="str">
        <f>IF(ISNA(MATCH(MID(AE86,1,3)*1,UomConversion!$D$8:$D$500,0)),"",IF(AJ86&lt;&gt;"",AJ86,""))</f>
        <v/>
      </c>
      <c r="AG86" s="2160" t="str">
        <f>IF(AND(AH86&gt;0,COUNTIFS(UomConversion!$D$8:$D$500,MID(AE86,1,3)*1,UomConversion!$J$8:$J$500,1)&gt;1),TEXT(AH86,"000")&amp;"."&amp;VLOOKUP(AH86,uom_list,5,FALSE),"")</f>
        <v/>
      </c>
      <c r="AH86" s="2155" t="str">
        <f t="shared" si="26"/>
        <v/>
      </c>
      <c r="AI86" s="2155" t="str">
        <f t="shared" si="27"/>
        <v/>
      </c>
      <c r="AJ86" s="2155" t="str">
        <f t="shared" si="28"/>
        <v/>
      </c>
      <c r="AK86" s="2155" t="str" cm="1">
        <f t="array" ref="AK86">IF(L86="","",Slookup(MID(AE86,1,3)*1,UomConversion!$D$8:$J$500,2,UomConversion!$I$8:$I$500,1,UomConversion!$J$8:$J$500,1))</f>
        <v/>
      </c>
      <c r="AL86" s="2155" t="str">
        <f t="shared" si="29"/>
        <v/>
      </c>
      <c r="AM86" s="2155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155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155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1470"/>
    </row>
    <row r="87" spans="1:42" ht="27" hidden="1" customHeight="1">
      <c r="A87" s="1439"/>
      <c r="B87" s="1694"/>
      <c r="C87" s="1466"/>
      <c r="D87" s="1466"/>
      <c r="E87" s="1466"/>
      <c r="F87" s="1715"/>
      <c r="G87" s="1457"/>
      <c r="I87" s="2139" t="str">
        <f t="shared" si="21"/>
        <v/>
      </c>
      <c r="J87" s="2155" t="str">
        <f t="shared" si="16"/>
        <v/>
      </c>
      <c r="K87" s="2156" t="str">
        <f t="shared" si="19"/>
        <v/>
      </c>
      <c r="L87" s="1700"/>
      <c r="M87" s="1701"/>
      <c r="N87" s="1702"/>
      <c r="O87" s="1702"/>
      <c r="P87" s="2157" t="str">
        <f t="shared" si="20"/>
        <v/>
      </c>
      <c r="Q87" s="2157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703"/>
      <c r="S87" s="1702"/>
      <c r="T87" s="1702"/>
      <c r="U87" s="1700"/>
      <c r="V87" s="2155" t="str" cm="1">
        <f t="array" ref="V87">IF(L87="","",IF(M87=AE87,1,Slookup(MID(AE87,1,3)*1,UomConversion!$D$8:$J$500,5,UomConversion!$E$8:$E$500,MID(M87,1,3)*1,UomConversion!$J$8:$J$500,1)))</f>
        <v/>
      </c>
      <c r="W87" s="2155" t="str">
        <f t="shared" si="22"/>
        <v/>
      </c>
      <c r="X87" s="2158" t="str">
        <f t="shared" si="23"/>
        <v/>
      </c>
      <c r="Y87" s="2158" t="str">
        <f t="shared" si="24"/>
        <v/>
      </c>
      <c r="Z87" s="2155" t="str">
        <f>IF(I87="","",IF(ISNA(MATCH(I87,IF(MID(N87,1,3)*1=1,'[1]1_inventory_totals'!$C$8:$C$10000,IF(MID(N87,1,3)*1=2,'[1]2_inventory_totals'!$C$8:$C$10000,"")),0)),0,IF(AL87&gt;0,1,0)))</f>
        <v/>
      </c>
      <c r="AA87" s="2155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155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155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155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2159" t="str">
        <f t="shared" si="25"/>
        <v/>
      </c>
      <c r="AF87" s="2160" t="str">
        <f>IF(ISNA(MATCH(MID(AE87,1,3)*1,UomConversion!$D$8:$D$500,0)),"",IF(AJ87&lt;&gt;"",AJ87,""))</f>
        <v/>
      </c>
      <c r="AG87" s="2160" t="str">
        <f>IF(AND(AH87&gt;0,COUNTIFS(UomConversion!$D$8:$D$500,MID(AE87,1,3)*1,UomConversion!$J$8:$J$500,1)&gt;1),TEXT(AH87,"000")&amp;"."&amp;VLOOKUP(AH87,uom_list,5,FALSE),"")</f>
        <v/>
      </c>
      <c r="AH87" s="2155" t="str">
        <f t="shared" si="26"/>
        <v/>
      </c>
      <c r="AI87" s="2155" t="str">
        <f t="shared" si="27"/>
        <v/>
      </c>
      <c r="AJ87" s="2155" t="str">
        <f t="shared" si="28"/>
        <v/>
      </c>
      <c r="AK87" s="2155" t="str" cm="1">
        <f t="array" ref="AK87">IF(L87="","",Slookup(MID(AE87,1,3)*1,UomConversion!$D$8:$J$500,2,UomConversion!$I$8:$I$500,1,UomConversion!$J$8:$J$500,1))</f>
        <v/>
      </c>
      <c r="AL87" s="2155" t="str">
        <f t="shared" si="29"/>
        <v/>
      </c>
      <c r="AM87" s="2155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155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155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1470"/>
    </row>
    <row r="88" spans="1:42" ht="27" customHeight="1">
      <c r="A88" s="1439"/>
      <c r="B88" s="1716"/>
      <c r="C88" s="1717"/>
      <c r="D88" s="1717"/>
      <c r="E88" s="1717"/>
      <c r="F88" s="1718"/>
      <c r="G88" s="1457"/>
      <c r="I88" s="1503"/>
      <c r="J88" s="1469"/>
      <c r="K88" s="1469"/>
      <c r="L88" s="1719"/>
      <c r="M88" s="1720"/>
      <c r="N88" s="1720"/>
      <c r="O88" s="1721" t="s">
        <v>1930</v>
      </c>
      <c r="P88" s="2153">
        <f>SUM(P8:P87)</f>
        <v>0</v>
      </c>
      <c r="Q88" s="1720" t="s">
        <v>151</v>
      </c>
      <c r="R88" s="1720"/>
      <c r="S88" s="1720"/>
      <c r="T88" s="1720"/>
      <c r="U88" s="1631"/>
      <c r="X88" s="1722"/>
      <c r="Y88" s="1722"/>
      <c r="AP88" s="1470"/>
    </row>
    <row r="89" spans="1:42" ht="27" customHeight="1">
      <c r="A89" s="1439"/>
      <c r="B89" s="1694"/>
      <c r="C89" s="1440"/>
      <c r="D89" s="1440"/>
      <c r="E89" s="1440"/>
      <c r="F89" s="1715"/>
      <c r="G89" s="1457"/>
      <c r="L89" s="1723"/>
      <c r="M89" s="1487"/>
      <c r="N89" s="1487"/>
      <c r="O89" s="1487"/>
      <c r="P89" s="1487"/>
      <c r="Q89" s="1487"/>
      <c r="R89" s="1487"/>
      <c r="S89" s="1487"/>
      <c r="T89" s="1487"/>
      <c r="U89" s="1487"/>
      <c r="AP89" s="1470"/>
    </row>
    <row r="90" spans="1:42" ht="27" customHeight="1">
      <c r="B90" s="1694"/>
      <c r="C90" s="1490"/>
      <c r="D90" s="1490"/>
      <c r="E90" s="1490"/>
      <c r="F90" s="1715"/>
      <c r="G90" s="1457"/>
      <c r="J90" s="1469"/>
      <c r="K90" s="1469"/>
      <c r="L90" s="1724"/>
      <c r="AP90" s="1470"/>
    </row>
    <row r="91" spans="1:42" ht="27" customHeight="1">
      <c r="B91" s="1725"/>
      <c r="C91" s="1726"/>
      <c r="D91" s="1727"/>
      <c r="E91" s="1728"/>
      <c r="F91" s="1729"/>
      <c r="K91" s="1495"/>
      <c r="M91" s="1496"/>
      <c r="N91" s="1496"/>
      <c r="O91" s="1496"/>
      <c r="P91" s="1496"/>
      <c r="Q91" s="1496"/>
      <c r="R91" s="1496"/>
      <c r="S91" s="1496"/>
      <c r="T91" s="1496"/>
      <c r="U91" s="1496"/>
    </row>
    <row r="92" spans="1:42" ht="24.95" customHeight="1">
      <c r="J92" s="1499"/>
      <c r="K92" s="1499"/>
      <c r="L92" s="1499"/>
      <c r="M92" s="1449"/>
      <c r="N92" s="1449"/>
      <c r="O92" s="1449"/>
      <c r="P92" s="1449"/>
      <c r="Q92" s="1449"/>
      <c r="R92" s="1449"/>
      <c r="S92" s="1449"/>
      <c r="T92" s="1449"/>
      <c r="U92" s="1449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1497"/>
    </row>
    <row r="112" spans="43:62" ht="7.5" customHeight="1">
      <c r="AR112" s="1607"/>
      <c r="BJ112" s="1608"/>
    </row>
    <row r="113" spans="43:75" ht="24.95" customHeight="1">
      <c r="AQ113" s="1730" t="s">
        <v>1609</v>
      </c>
      <c r="BI113" s="1731"/>
    </row>
    <row r="114" spans="43:75" ht="24.95" customHeight="1">
      <c r="AQ114" s="1611" t="s">
        <v>237</v>
      </c>
      <c r="AR114" s="1612"/>
      <c r="AS114" s="1612" t="s">
        <v>1603</v>
      </c>
      <c r="AT114" s="1613" t="str">
        <f>VLOOKUP(1,company_list,2,FALSE)</f>
        <v>គោកស្នួល ខនស្រ្តាក់សិន មេធៀរៀល</v>
      </c>
      <c r="AU114" s="1614"/>
      <c r="AV114" s="1614"/>
      <c r="AW114" s="1614"/>
      <c r="BI114" s="1732"/>
      <c r="BK114" s="1616"/>
      <c r="BL114" s="1616"/>
      <c r="BM114" s="1616"/>
      <c r="BN114" s="1616"/>
      <c r="BO114" s="1617"/>
    </row>
    <row r="115" spans="43:75" ht="24.95" customHeight="1">
      <c r="AQ115" s="1618" t="s">
        <v>123</v>
      </c>
      <c r="AR115" s="1619"/>
      <c r="AS115" s="1619" t="s">
        <v>1603</v>
      </c>
      <c r="AT115" s="1620" t="e">
        <f>IF(C13="","",VLOOKUP(MID(C13,1,2),branch_list,4,FALSE))</f>
        <v>#N/A</v>
      </c>
      <c r="AU115" s="1621"/>
      <c r="AV115" s="1621"/>
      <c r="AW115" s="1621"/>
      <c r="BI115" s="1820"/>
      <c r="BJ115" s="1820"/>
      <c r="BK115" s="1820"/>
      <c r="BL115" s="1820"/>
      <c r="BM115" s="1820"/>
      <c r="BN115" s="1616"/>
      <c r="BO115" s="1617"/>
    </row>
    <row r="116" spans="43:75" ht="24.95" customHeight="1">
      <c r="AQ116" s="1618" t="s">
        <v>121</v>
      </c>
      <c r="AR116" s="1619"/>
      <c r="AS116" s="1619" t="s">
        <v>1603</v>
      </c>
      <c r="AT116" s="1620" t="e">
        <f>IF(C13="","",VLOOKUP(MID(C13,1,2),branch_list,11,FALSE))</f>
        <v>#N/A</v>
      </c>
      <c r="AU116" s="1621"/>
      <c r="AV116" s="1621"/>
      <c r="AW116" s="1621"/>
      <c r="AY116" s="1821" t="e">
        <f>IF(quote_service_type="","",MID(quote_service_type,5,100))</f>
        <v>#NAME?</v>
      </c>
      <c r="AZ116" s="1821"/>
      <c r="BA116" s="1821"/>
      <c r="BB116" s="1821"/>
      <c r="BC116" s="1821"/>
      <c r="BD116" s="1622"/>
      <c r="BE116" s="1808"/>
      <c r="BI116" s="1820"/>
      <c r="BJ116" s="1820"/>
      <c r="BK116" s="1820"/>
      <c r="BL116" s="1820"/>
      <c r="BM116" s="1820"/>
      <c r="BN116" s="1616"/>
      <c r="BO116" s="1617"/>
    </row>
    <row r="117" spans="43:75" ht="24.95" customHeight="1">
      <c r="AQ117" s="1730"/>
      <c r="AR117" s="1607"/>
      <c r="AY117" s="1821"/>
      <c r="AZ117" s="1821"/>
      <c r="BA117" s="1821"/>
      <c r="BB117" s="1821"/>
      <c r="BC117" s="1821"/>
      <c r="BD117" s="1622"/>
      <c r="BE117" s="1808"/>
      <c r="BI117" s="1733"/>
      <c r="BJ117" s="1608"/>
      <c r="BQ117" s="1810" t="e">
        <f>IF(quote_service_type="","",MID(quote_service_type,5,100))</f>
        <v>#NAME?</v>
      </c>
      <c r="BR117" s="1810"/>
      <c r="BS117" s="1810"/>
      <c r="BT117" s="1810"/>
      <c r="BU117" s="1810"/>
      <c r="BW117" s="1808"/>
    </row>
    <row r="118" spans="43:75" ht="24.95" customHeight="1">
      <c r="AV118" s="1624"/>
      <c r="AW118" s="1624"/>
      <c r="AY118" s="1821"/>
      <c r="AZ118" s="1821"/>
      <c r="BA118" s="1821"/>
      <c r="BB118" s="1821"/>
      <c r="BC118" s="1821"/>
      <c r="BD118" s="1622"/>
      <c r="BE118" s="1808"/>
      <c r="BN118" s="1624"/>
      <c r="BO118" s="1624"/>
      <c r="BQ118" s="1810"/>
      <c r="BR118" s="1810"/>
      <c r="BS118" s="1810"/>
      <c r="BT118" s="1810"/>
      <c r="BU118" s="1810"/>
      <c r="BW118" s="1808"/>
    </row>
    <row r="119" spans="43:75" ht="24.95" customHeight="1">
      <c r="AQ119" s="1809" t="s">
        <v>237</v>
      </c>
      <c r="AR119" s="1809"/>
      <c r="AS119" s="1626" t="s">
        <v>1603</v>
      </c>
      <c r="AT119" s="1627" t="e">
        <f>IF(#REF!="","",VLOOKUP(MID(#REF!,1,4),customer_list,4,FALSE))</f>
        <v>#REF!</v>
      </c>
      <c r="AU119" s="1624"/>
      <c r="AV119" s="1628"/>
      <c r="AW119" s="1628"/>
      <c r="BA119" s="1629"/>
      <c r="BB119" s="1630"/>
      <c r="BC119" s="1629"/>
      <c r="BD119" s="1630"/>
      <c r="BI119" s="1809" t="s">
        <v>237</v>
      </c>
      <c r="BJ119" s="1809"/>
      <c r="BK119" s="1472" t="s">
        <v>1603</v>
      </c>
      <c r="BL119" s="1627" t="e">
        <f>IF(#REF!="","",VLOOKUP(MID(#REF!,1,4),customer_list,4,FALSE))</f>
        <v>#REF!</v>
      </c>
      <c r="BM119" s="1624"/>
      <c r="BN119" s="1628"/>
      <c r="BO119" s="1628"/>
      <c r="BW119" s="1808"/>
    </row>
    <row r="120" spans="43:75" ht="24.95" customHeight="1">
      <c r="AQ120" s="1809" t="s">
        <v>123</v>
      </c>
      <c r="AR120" s="1809"/>
      <c r="AS120" s="1626" t="s">
        <v>1603</v>
      </c>
      <c r="AT120" s="1631" t="e">
        <f>IF(#REF!="","",VLOOKUP(MID(#REF!,1,4),customer_list,8,FALSE))</f>
        <v>#REF!</v>
      </c>
      <c r="AU120" s="1628"/>
      <c r="AV120" s="1628"/>
      <c r="AW120" s="1628"/>
      <c r="BA120" s="1625"/>
      <c r="BB120" s="1625" t="s">
        <v>82</v>
      </c>
      <c r="BC120" s="1472" t="s">
        <v>1603</v>
      </c>
      <c r="BD120" s="1632"/>
      <c r="BE120" s="1633">
        <f>IF(C9="","",C9)</f>
        <v>46216</v>
      </c>
      <c r="BF120" s="1633"/>
      <c r="BI120" s="1809" t="s">
        <v>123</v>
      </c>
      <c r="BJ120" s="1809"/>
      <c r="BK120" s="1472" t="s">
        <v>1603</v>
      </c>
      <c r="BL120" s="1631" t="e">
        <f>IF(#REF!="","",VLOOKUP(MID(#REF!,1,4),customer_list,8,FALSE))</f>
        <v>#REF!</v>
      </c>
      <c r="BM120" s="1628"/>
      <c r="BN120" s="1628"/>
      <c r="BO120" s="1628"/>
      <c r="BS120" s="1625"/>
      <c r="BT120" s="1634"/>
      <c r="BU120" s="1635" t="s">
        <v>1627</v>
      </c>
      <c r="BV120" s="1632"/>
      <c r="BW120" s="1633">
        <f>IF(C9="","",C9)</f>
        <v>46216</v>
      </c>
    </row>
    <row r="121" spans="43:75" ht="24.95" customHeight="1">
      <c r="AQ121" s="1809" t="s">
        <v>121</v>
      </c>
      <c r="AR121" s="1809"/>
      <c r="AS121" s="1626" t="s">
        <v>1603</v>
      </c>
      <c r="AT121" s="1628" t="e">
        <f>IF(#REF!="","",VLOOKUP(MID(#REF!,1,4),customer_list,6,FALSE))</f>
        <v>#REF!</v>
      </c>
      <c r="AU121" s="1628"/>
      <c r="BA121" s="1625"/>
      <c r="BB121" s="1625" t="s">
        <v>176</v>
      </c>
      <c r="BC121" s="1472" t="s">
        <v>1603</v>
      </c>
      <c r="BD121" s="1734"/>
      <c r="BE121" s="1734" t="str">
        <f>IF(E9="","",E9)</f>
        <v>KSADJ26-0004</v>
      </c>
      <c r="BI121" s="1809" t="s">
        <v>121</v>
      </c>
      <c r="BJ121" s="1809"/>
      <c r="BK121" s="1472" t="s">
        <v>1603</v>
      </c>
      <c r="BL121" s="1628" t="e">
        <f>IF(#REF!="","",VLOOKUP(MID(#REF!,1,4),customer_list,6,FALSE))</f>
        <v>#REF!</v>
      </c>
      <c r="BM121" s="1628"/>
      <c r="BS121" s="1625"/>
      <c r="BT121" s="1634"/>
      <c r="BU121" s="1634" t="s">
        <v>1628</v>
      </c>
      <c r="BV121" s="1734"/>
      <c r="BW121" s="1734" t="str">
        <f>IF(E9="","",E9)</f>
        <v>KSADJ26-0004</v>
      </c>
    </row>
    <row r="122" spans="43:75" ht="12" customHeight="1"/>
    <row r="123" spans="43:75" ht="24.95" customHeight="1">
      <c r="AQ123" s="1735" t="s">
        <v>47</v>
      </c>
      <c r="AR123" s="1804" t="s">
        <v>176</v>
      </c>
      <c r="AS123" s="1805"/>
      <c r="AT123" s="1805"/>
      <c r="AU123" s="1804" t="s">
        <v>105</v>
      </c>
      <c r="AV123" s="1806"/>
      <c r="AW123" s="1737" t="s">
        <v>74</v>
      </c>
      <c r="AX123" s="1737" t="s">
        <v>74</v>
      </c>
      <c r="AY123" s="1737" t="s">
        <v>62</v>
      </c>
      <c r="AZ123" s="1804" t="s">
        <v>63</v>
      </c>
      <c r="BA123" s="1806"/>
      <c r="BB123" s="1804" t="s">
        <v>46</v>
      </c>
      <c r="BC123" s="1806"/>
      <c r="BD123" s="1804" t="s">
        <v>223</v>
      </c>
      <c r="BE123" s="1806"/>
      <c r="BF123" s="1738"/>
      <c r="BI123" s="1737" t="s">
        <v>47</v>
      </c>
      <c r="BJ123" s="1804" t="s">
        <v>176</v>
      </c>
      <c r="BK123" s="1805"/>
      <c r="BL123" s="1805"/>
      <c r="BM123" s="1804" t="s">
        <v>105</v>
      </c>
      <c r="BN123" s="1806"/>
      <c r="BO123" s="1737" t="s">
        <v>74</v>
      </c>
      <c r="BP123" s="1737" t="s">
        <v>74</v>
      </c>
      <c r="BQ123" s="1736" t="s">
        <v>62</v>
      </c>
      <c r="BR123" s="1804" t="s">
        <v>63</v>
      </c>
      <c r="BS123" s="1806"/>
      <c r="BT123" s="1804" t="s">
        <v>46</v>
      </c>
      <c r="BU123" s="1806"/>
      <c r="BV123" s="1804" t="s">
        <v>223</v>
      </c>
      <c r="BW123" s="1806"/>
    </row>
    <row r="124" spans="43:75" ht="24.95" customHeight="1">
      <c r="AQ124" s="1739" t="s">
        <v>9</v>
      </c>
      <c r="AR124" s="1802" t="s">
        <v>111</v>
      </c>
      <c r="AS124" s="1803"/>
      <c r="AT124" s="1803"/>
      <c r="AU124" s="1802" t="s">
        <v>289</v>
      </c>
      <c r="AV124" s="1807"/>
      <c r="AW124" s="1739" t="s">
        <v>76</v>
      </c>
      <c r="AX124" s="1739" t="s">
        <v>732</v>
      </c>
      <c r="AY124" s="1739" t="s">
        <v>14</v>
      </c>
      <c r="AZ124" s="1802" t="s">
        <v>77</v>
      </c>
      <c r="BA124" s="1807"/>
      <c r="BB124" s="1802" t="s">
        <v>95</v>
      </c>
      <c r="BC124" s="1807"/>
      <c r="BD124" s="1802" t="s">
        <v>1604</v>
      </c>
      <c r="BE124" s="1807"/>
      <c r="BF124" s="1741"/>
      <c r="BI124" s="1739" t="s">
        <v>9</v>
      </c>
      <c r="BJ124" s="1802" t="s">
        <v>111</v>
      </c>
      <c r="BK124" s="1803"/>
      <c r="BL124" s="1803"/>
      <c r="BM124" s="1802" t="s">
        <v>289</v>
      </c>
      <c r="BN124" s="1807"/>
      <c r="BO124" s="1739" t="s">
        <v>76</v>
      </c>
      <c r="BP124" s="1739" t="s">
        <v>732</v>
      </c>
      <c r="BQ124" s="1740" t="s">
        <v>14</v>
      </c>
      <c r="BR124" s="1802" t="s">
        <v>77</v>
      </c>
      <c r="BS124" s="1807"/>
      <c r="BT124" s="1802" t="s">
        <v>95</v>
      </c>
      <c r="BU124" s="1807"/>
      <c r="BV124" s="1802" t="s">
        <v>1604</v>
      </c>
      <c r="BW124" s="1807"/>
    </row>
    <row r="125" spans="43:75" ht="24.95" customHeight="1">
      <c r="AQ125" s="1642" t="str">
        <f>IF(L8="","",1)</f>
        <v/>
      </c>
      <c r="AR125" s="1643" t="str">
        <f t="shared" ref="AR125:AR156" si="30">IF(K8&lt;&gt;"",K8,"")</f>
        <v/>
      </c>
      <c r="AS125" s="1643"/>
      <c r="AT125" s="1644"/>
      <c r="AU125" s="1645" t="str">
        <f t="shared" ref="AU125:AU156" si="31">IF(L8&lt;&gt;"",MID(L8,7,200),"")</f>
        <v/>
      </c>
      <c r="AV125" s="1646"/>
      <c r="AW125" s="1647" t="e">
        <f>IF(#REF!&gt;0,#REF!,"")</f>
        <v>#REF!</v>
      </c>
      <c r="AX125" s="1647" t="e">
        <f>IF(#REF!&lt;&gt;"",#REF!,"")</f>
        <v>#REF!</v>
      </c>
      <c r="AY125" s="1648" t="str">
        <f t="shared" ref="AY125:AY156" si="32">IF(L8&lt;&gt;"",MID(M8,5,100),"")</f>
        <v/>
      </c>
      <c r="AZ125" s="1649" t="str">
        <f t="shared" ref="AZ125:AZ188" si="33">IF(AU125="","",quote_currency_symbol)</f>
        <v/>
      </c>
      <c r="BA125" s="1650" t="str">
        <f>IF(L8&lt;&gt;"",#REF!,"")</f>
        <v/>
      </c>
      <c r="BB125" s="1651" t="e">
        <f>IF(BC125=0,"",quote_currency_symbol)</f>
        <v>#NAME?</v>
      </c>
      <c r="BC125" s="1652" t="str">
        <f>IF(L8&lt;&gt;"",#REF!,"")</f>
        <v/>
      </c>
      <c r="BD125" s="1651" t="str">
        <f t="shared" ref="BD125:BD188" si="34">IF(AU125="","",quote_currency_symbol)</f>
        <v/>
      </c>
      <c r="BE125" s="1653" t="e">
        <f>IF(AND(AU125&lt;&gt;"",AW125&gt;0),(N(AW125))*BA125-BC125,"")</f>
        <v>#REF!</v>
      </c>
      <c r="BF125" s="1741"/>
      <c r="BI125" s="1643" t="str">
        <f>IF(L8="","",1)</f>
        <v/>
      </c>
      <c r="BJ125" s="1644" t="str">
        <f t="shared" ref="BJ125:BJ156" si="35">IF(L8&lt;&gt;"",K8,"")</f>
        <v/>
      </c>
      <c r="BK125" s="1644"/>
      <c r="BL125" s="1644"/>
      <c r="BM125" s="1645" t="str">
        <f t="shared" ref="BM125:BM156" si="36">IF(L8&lt;&gt;"",MID(L8,7,200),"")</f>
        <v/>
      </c>
      <c r="BN125" s="1646"/>
      <c r="BO125" s="1643" t="e">
        <f>IF(#REF!&gt;0,#REF!,"")</f>
        <v>#REF!</v>
      </c>
      <c r="BP125" s="1643" t="e">
        <f>IF(#REF!&lt;&gt;"",#REF!,"")</f>
        <v>#REF!</v>
      </c>
      <c r="BQ125" s="1648" t="str">
        <f t="shared" ref="BQ125:BQ156" si="37">IF(L8&lt;&gt;"",MID(M8,5,100),"")</f>
        <v/>
      </c>
      <c r="BR125" s="1649" t="str">
        <f t="shared" ref="BR125:BR188" si="38">IF(BM125="","",quote_currency_symbol)</f>
        <v/>
      </c>
      <c r="BS125" s="1654" t="str">
        <f>IF(L8&lt;&gt;"",#REF!,"")</f>
        <v/>
      </c>
      <c r="BT125" s="1655" t="str">
        <f t="shared" ref="BT125:BT188" si="39">IF(BM125="","",quote_currency_symbol)</f>
        <v/>
      </c>
      <c r="BU125" s="1655" t="str">
        <f>IF(L8&lt;&gt;"",#REF!,"")</f>
        <v/>
      </c>
      <c r="BV125" s="1656" t="str">
        <f t="shared" ref="BV125:BV188" si="40">IF(BM125="","",quote_currency_symbol)</f>
        <v/>
      </c>
      <c r="BW125" s="1655" t="e">
        <f>IF(AND(BM125&lt;&gt;"",BO125&gt;0),(N(BO125))*BS125-BU125,"")</f>
        <v>#REF!</v>
      </c>
    </row>
    <row r="126" spans="43:75" ht="24.95" customHeight="1">
      <c r="AQ126" s="1657" t="str">
        <f t="shared" ref="AQ126:AQ157" si="41">IF(L9="","",AQ125+1)</f>
        <v/>
      </c>
      <c r="AR126" s="1658" t="str">
        <f t="shared" si="30"/>
        <v/>
      </c>
      <c r="AS126" s="1658"/>
      <c r="AT126" s="1659"/>
      <c r="AU126" s="1645" t="str">
        <f t="shared" si="31"/>
        <v/>
      </c>
      <c r="AV126" s="1620"/>
      <c r="AW126" s="1619" t="e">
        <f>IF(#REF!&gt;0,#REF!,"")</f>
        <v>#REF!</v>
      </c>
      <c r="AX126" s="1619" t="e">
        <f>IF(#REF!&lt;&gt;"",#REF!,"")</f>
        <v>#REF!</v>
      </c>
      <c r="AY126" s="1648" t="str">
        <f t="shared" si="32"/>
        <v/>
      </c>
      <c r="AZ126" s="1660" t="str">
        <f t="shared" si="33"/>
        <v/>
      </c>
      <c r="BA126" s="1652" t="str">
        <f>IF(L9&lt;&gt;"",#REF!,"")</f>
        <v/>
      </c>
      <c r="BB126" s="1661" t="str">
        <f t="shared" ref="BB126:BB189" si="42">IF(AU126="","",quote_currency_symbol)</f>
        <v/>
      </c>
      <c r="BC126" s="1652" t="str">
        <f>IF(L9&lt;&gt;"",#REF!,"")</f>
        <v/>
      </c>
      <c r="BD126" s="1661" t="str">
        <f t="shared" si="34"/>
        <v/>
      </c>
      <c r="BE126" s="1653" t="e">
        <f t="shared" ref="BE126:BE189" si="43">IF(AND(AU126&lt;&gt;"",AW126&gt;0),(N(AW126))*BA126-BC126,"")</f>
        <v>#REF!</v>
      </c>
      <c r="BF126" s="1741"/>
      <c r="BI126" s="1658" t="str">
        <f t="shared" ref="BI126:BI157" si="44">IF(L9="","",BI125+1)</f>
        <v/>
      </c>
      <c r="BJ126" s="1659" t="str">
        <f t="shared" si="35"/>
        <v/>
      </c>
      <c r="BK126" s="1659"/>
      <c r="BL126" s="1659"/>
      <c r="BM126" s="1645" t="str">
        <f t="shared" si="36"/>
        <v/>
      </c>
      <c r="BN126" s="1620"/>
      <c r="BO126" s="1658" t="e">
        <f>IF(#REF!&gt;0,#REF!,"")</f>
        <v>#REF!</v>
      </c>
      <c r="BP126" s="1658" t="e">
        <f>IF(#REF!&lt;&gt;"",#REF!,"")</f>
        <v>#REF!</v>
      </c>
      <c r="BQ126" s="1648" t="str">
        <f t="shared" si="37"/>
        <v/>
      </c>
      <c r="BR126" s="1660" t="str">
        <f t="shared" si="38"/>
        <v/>
      </c>
      <c r="BS126" s="1662" t="str">
        <f>IF(L9&lt;&gt;"",#REF!,"")</f>
        <v/>
      </c>
      <c r="BT126" s="1663" t="str">
        <f t="shared" si="39"/>
        <v/>
      </c>
      <c r="BU126" s="1663" t="str">
        <f>IF(L9&lt;&gt;"",#REF!,"")</f>
        <v/>
      </c>
      <c r="BV126" s="1664" t="str">
        <f t="shared" si="40"/>
        <v/>
      </c>
      <c r="BW126" s="1655" t="e">
        <f t="shared" ref="BW126:BW189" si="45">IF(AND(BM126&lt;&gt;"",BO126&gt;0),(N(BO126))*BS126-BU126,"")</f>
        <v>#REF!</v>
      </c>
    </row>
    <row r="127" spans="43:75" ht="24.95" customHeight="1">
      <c r="AQ127" s="1657" t="str">
        <f t="shared" si="41"/>
        <v/>
      </c>
      <c r="AR127" s="1658" t="str">
        <f t="shared" si="30"/>
        <v/>
      </c>
      <c r="AS127" s="1658"/>
      <c r="AT127" s="1659"/>
      <c r="AU127" s="1645" t="str">
        <f t="shared" si="31"/>
        <v/>
      </c>
      <c r="AV127" s="1620"/>
      <c r="AW127" s="1619" t="e">
        <f>IF(#REF!&gt;0,#REF!,"")</f>
        <v>#REF!</v>
      </c>
      <c r="AX127" s="1619" t="e">
        <f>IF(#REF!&lt;&gt;"",#REF!,"")</f>
        <v>#REF!</v>
      </c>
      <c r="AY127" s="1648" t="str">
        <f t="shared" si="32"/>
        <v/>
      </c>
      <c r="AZ127" s="1660" t="str">
        <f t="shared" si="33"/>
        <v/>
      </c>
      <c r="BA127" s="1652" t="str">
        <f>IF(L10&lt;&gt;"",#REF!,"")</f>
        <v/>
      </c>
      <c r="BB127" s="1661" t="str">
        <f t="shared" si="42"/>
        <v/>
      </c>
      <c r="BC127" s="1652" t="str">
        <f>IF(L10&lt;&gt;"",#REF!,"")</f>
        <v/>
      </c>
      <c r="BD127" s="1661" t="str">
        <f t="shared" si="34"/>
        <v/>
      </c>
      <c r="BE127" s="1653" t="e">
        <f t="shared" si="43"/>
        <v>#REF!</v>
      </c>
      <c r="BF127" s="1741"/>
      <c r="BI127" s="1658" t="str">
        <f t="shared" si="44"/>
        <v/>
      </c>
      <c r="BJ127" s="1659" t="str">
        <f t="shared" si="35"/>
        <v/>
      </c>
      <c r="BK127" s="1659"/>
      <c r="BL127" s="1659"/>
      <c r="BM127" s="1645" t="str">
        <f t="shared" si="36"/>
        <v/>
      </c>
      <c r="BN127" s="1620"/>
      <c r="BO127" s="1658" t="e">
        <f>IF(#REF!&gt;0,#REF!,"")</f>
        <v>#REF!</v>
      </c>
      <c r="BP127" s="1658" t="e">
        <f>IF(#REF!&lt;&gt;"",#REF!,"")</f>
        <v>#REF!</v>
      </c>
      <c r="BQ127" s="1648" t="str">
        <f t="shared" si="37"/>
        <v/>
      </c>
      <c r="BR127" s="1660" t="str">
        <f t="shared" si="38"/>
        <v/>
      </c>
      <c r="BS127" s="1662" t="str">
        <f>IF(L10&lt;&gt;"",#REF!,"")</f>
        <v/>
      </c>
      <c r="BT127" s="1663" t="str">
        <f t="shared" si="39"/>
        <v/>
      </c>
      <c r="BU127" s="1663" t="str">
        <f>IF(L10&lt;&gt;"",#REF!,"")</f>
        <v/>
      </c>
      <c r="BV127" s="1664" t="str">
        <f t="shared" si="40"/>
        <v/>
      </c>
      <c r="BW127" s="1655" t="e">
        <f t="shared" si="45"/>
        <v>#REF!</v>
      </c>
    </row>
    <row r="128" spans="43:75" ht="24.95" customHeight="1">
      <c r="AQ128" s="1657" t="str">
        <f t="shared" si="41"/>
        <v/>
      </c>
      <c r="AR128" s="1658" t="str">
        <f t="shared" si="30"/>
        <v/>
      </c>
      <c r="AS128" s="1658"/>
      <c r="AT128" s="1659"/>
      <c r="AU128" s="1645" t="str">
        <f t="shared" si="31"/>
        <v/>
      </c>
      <c r="AV128" s="1620"/>
      <c r="AW128" s="1619" t="e">
        <f>IF(#REF!&gt;0,#REF!,"")</f>
        <v>#REF!</v>
      </c>
      <c r="AX128" s="1619" t="e">
        <f>IF(#REF!&lt;&gt;"",#REF!,"")</f>
        <v>#REF!</v>
      </c>
      <c r="AY128" s="1648" t="str">
        <f t="shared" si="32"/>
        <v/>
      </c>
      <c r="AZ128" s="1660" t="str">
        <f t="shared" si="33"/>
        <v/>
      </c>
      <c r="BA128" s="1652" t="str">
        <f>IF(L11&lt;&gt;"",#REF!,"")</f>
        <v/>
      </c>
      <c r="BB128" s="1661" t="str">
        <f t="shared" si="42"/>
        <v/>
      </c>
      <c r="BC128" s="1652" t="str">
        <f>IF(L11&lt;&gt;"",#REF!,"")</f>
        <v/>
      </c>
      <c r="BD128" s="1661" t="str">
        <f t="shared" si="34"/>
        <v/>
      </c>
      <c r="BE128" s="1653" t="e">
        <f t="shared" si="43"/>
        <v>#REF!</v>
      </c>
      <c r="BF128" s="1741"/>
      <c r="BI128" s="1658" t="str">
        <f t="shared" si="44"/>
        <v/>
      </c>
      <c r="BJ128" s="1659" t="str">
        <f t="shared" si="35"/>
        <v/>
      </c>
      <c r="BK128" s="1659"/>
      <c r="BL128" s="1659"/>
      <c r="BM128" s="1645" t="str">
        <f t="shared" si="36"/>
        <v/>
      </c>
      <c r="BN128" s="1620"/>
      <c r="BO128" s="1658" t="e">
        <f>IF(#REF!&gt;0,#REF!,"")</f>
        <v>#REF!</v>
      </c>
      <c r="BP128" s="1658" t="e">
        <f>IF(#REF!&lt;&gt;"",#REF!,"")</f>
        <v>#REF!</v>
      </c>
      <c r="BQ128" s="1648" t="str">
        <f t="shared" si="37"/>
        <v/>
      </c>
      <c r="BR128" s="1660" t="str">
        <f t="shared" si="38"/>
        <v/>
      </c>
      <c r="BS128" s="1662" t="str">
        <f>IF(L11&lt;&gt;"",#REF!,"")</f>
        <v/>
      </c>
      <c r="BT128" s="1663" t="str">
        <f t="shared" si="39"/>
        <v/>
      </c>
      <c r="BU128" s="1663" t="str">
        <f>IF(L11&lt;&gt;"",#REF!,"")</f>
        <v/>
      </c>
      <c r="BV128" s="1664" t="str">
        <f t="shared" si="40"/>
        <v/>
      </c>
      <c r="BW128" s="1655" t="e">
        <f t="shared" si="45"/>
        <v>#REF!</v>
      </c>
    </row>
    <row r="129" spans="43:75" ht="24.95" customHeight="1">
      <c r="AQ129" s="1657" t="str">
        <f t="shared" si="41"/>
        <v/>
      </c>
      <c r="AR129" s="1658" t="str">
        <f t="shared" si="30"/>
        <v/>
      </c>
      <c r="AS129" s="1658"/>
      <c r="AT129" s="1659"/>
      <c r="AU129" s="1645" t="str">
        <f t="shared" si="31"/>
        <v/>
      </c>
      <c r="AV129" s="1620"/>
      <c r="AW129" s="1619" t="e">
        <f>IF(#REF!&gt;0,#REF!,"")</f>
        <v>#REF!</v>
      </c>
      <c r="AX129" s="1619" t="e">
        <f>IF(#REF!&lt;&gt;"",#REF!,"")</f>
        <v>#REF!</v>
      </c>
      <c r="AY129" s="1648" t="str">
        <f t="shared" si="32"/>
        <v/>
      </c>
      <c r="AZ129" s="1660" t="str">
        <f t="shared" si="33"/>
        <v/>
      </c>
      <c r="BA129" s="1652" t="str">
        <f>IF(L12&lt;&gt;"",#REF!,"")</f>
        <v/>
      </c>
      <c r="BB129" s="1661" t="str">
        <f t="shared" si="42"/>
        <v/>
      </c>
      <c r="BC129" s="1652" t="str">
        <f>IF(L12&lt;&gt;"",#REF!,"")</f>
        <v/>
      </c>
      <c r="BD129" s="1661" t="str">
        <f t="shared" si="34"/>
        <v/>
      </c>
      <c r="BE129" s="1653" t="e">
        <f t="shared" si="43"/>
        <v>#REF!</v>
      </c>
      <c r="BF129" s="1741"/>
      <c r="BI129" s="1658" t="str">
        <f t="shared" si="44"/>
        <v/>
      </c>
      <c r="BJ129" s="1659" t="str">
        <f t="shared" si="35"/>
        <v/>
      </c>
      <c r="BK129" s="1659"/>
      <c r="BL129" s="1659"/>
      <c r="BM129" s="1645" t="str">
        <f t="shared" si="36"/>
        <v/>
      </c>
      <c r="BN129" s="1620"/>
      <c r="BO129" s="1658" t="e">
        <f>IF(#REF!&gt;0,#REF!,"")</f>
        <v>#REF!</v>
      </c>
      <c r="BP129" s="1658" t="e">
        <f>IF(#REF!&lt;&gt;"",#REF!,"")</f>
        <v>#REF!</v>
      </c>
      <c r="BQ129" s="1648" t="str">
        <f t="shared" si="37"/>
        <v/>
      </c>
      <c r="BR129" s="1660" t="str">
        <f t="shared" si="38"/>
        <v/>
      </c>
      <c r="BS129" s="1662" t="str">
        <f>IF(L12&lt;&gt;"",#REF!,"")</f>
        <v/>
      </c>
      <c r="BT129" s="1663" t="str">
        <f t="shared" si="39"/>
        <v/>
      </c>
      <c r="BU129" s="1663" t="str">
        <f>IF(L12&lt;&gt;"",#REF!,"")</f>
        <v/>
      </c>
      <c r="BV129" s="1664" t="str">
        <f t="shared" si="40"/>
        <v/>
      </c>
      <c r="BW129" s="1655" t="e">
        <f t="shared" si="45"/>
        <v>#REF!</v>
      </c>
    </row>
    <row r="130" spans="43:75" ht="24.95" customHeight="1">
      <c r="AQ130" s="1657" t="str">
        <f t="shared" si="41"/>
        <v/>
      </c>
      <c r="AR130" s="1658" t="str">
        <f t="shared" si="30"/>
        <v/>
      </c>
      <c r="AS130" s="1658"/>
      <c r="AT130" s="1659"/>
      <c r="AU130" s="1645" t="str">
        <f t="shared" si="31"/>
        <v/>
      </c>
      <c r="AV130" s="1620"/>
      <c r="AW130" s="1619" t="e">
        <f>IF(#REF!&gt;0,#REF!,"")</f>
        <v>#REF!</v>
      </c>
      <c r="AX130" s="1619" t="e">
        <f>IF(#REF!&lt;&gt;"",#REF!,"")</f>
        <v>#REF!</v>
      </c>
      <c r="AY130" s="1648" t="str">
        <f t="shared" si="32"/>
        <v/>
      </c>
      <c r="AZ130" s="1660" t="str">
        <f t="shared" si="33"/>
        <v/>
      </c>
      <c r="BA130" s="1652" t="str">
        <f>IF(L13&lt;&gt;"",#REF!,"")</f>
        <v/>
      </c>
      <c r="BB130" s="1661" t="str">
        <f t="shared" si="42"/>
        <v/>
      </c>
      <c r="BC130" s="1652" t="str">
        <f>IF(L13&lt;&gt;"",#REF!,"")</f>
        <v/>
      </c>
      <c r="BD130" s="1661" t="str">
        <f t="shared" si="34"/>
        <v/>
      </c>
      <c r="BE130" s="1653" t="e">
        <f t="shared" si="43"/>
        <v>#REF!</v>
      </c>
      <c r="BF130" s="1741"/>
      <c r="BI130" s="1658" t="str">
        <f t="shared" si="44"/>
        <v/>
      </c>
      <c r="BJ130" s="1659" t="str">
        <f t="shared" si="35"/>
        <v/>
      </c>
      <c r="BK130" s="1659"/>
      <c r="BL130" s="1659"/>
      <c r="BM130" s="1645" t="str">
        <f t="shared" si="36"/>
        <v/>
      </c>
      <c r="BN130" s="1620"/>
      <c r="BO130" s="1658" t="e">
        <f>IF(#REF!&gt;0,#REF!,"")</f>
        <v>#REF!</v>
      </c>
      <c r="BP130" s="1658" t="e">
        <f>IF(#REF!&lt;&gt;"",#REF!,"")</f>
        <v>#REF!</v>
      </c>
      <c r="BQ130" s="1648" t="str">
        <f t="shared" si="37"/>
        <v/>
      </c>
      <c r="BR130" s="1660" t="str">
        <f t="shared" si="38"/>
        <v/>
      </c>
      <c r="BS130" s="1662" t="str">
        <f>IF(L13&lt;&gt;"",#REF!,"")</f>
        <v/>
      </c>
      <c r="BT130" s="1663" t="str">
        <f t="shared" si="39"/>
        <v/>
      </c>
      <c r="BU130" s="1663" t="str">
        <f>IF(L13&lt;&gt;"",#REF!,"")</f>
        <v/>
      </c>
      <c r="BV130" s="1664" t="str">
        <f t="shared" si="40"/>
        <v/>
      </c>
      <c r="BW130" s="1655" t="e">
        <f t="shared" si="45"/>
        <v>#REF!</v>
      </c>
    </row>
    <row r="131" spans="43:75" ht="24.95" customHeight="1">
      <c r="AQ131" s="1657" t="str">
        <f t="shared" si="41"/>
        <v/>
      </c>
      <c r="AR131" s="1658" t="str">
        <f t="shared" si="30"/>
        <v/>
      </c>
      <c r="AS131" s="1658"/>
      <c r="AT131" s="1659"/>
      <c r="AU131" s="1645" t="str">
        <f t="shared" si="31"/>
        <v/>
      </c>
      <c r="AV131" s="1620"/>
      <c r="AW131" s="1619" t="e">
        <f>IF(#REF!&gt;0,#REF!,"")</f>
        <v>#REF!</v>
      </c>
      <c r="AX131" s="1619" t="e">
        <f>IF(#REF!&lt;&gt;"",#REF!,"")</f>
        <v>#REF!</v>
      </c>
      <c r="AY131" s="1648" t="str">
        <f t="shared" si="32"/>
        <v/>
      </c>
      <c r="AZ131" s="1660" t="str">
        <f t="shared" si="33"/>
        <v/>
      </c>
      <c r="BA131" s="1652" t="str">
        <f>IF(L14&lt;&gt;"",#REF!,"")</f>
        <v/>
      </c>
      <c r="BB131" s="1661" t="str">
        <f t="shared" si="42"/>
        <v/>
      </c>
      <c r="BC131" s="1652" t="str">
        <f>IF(L14&lt;&gt;"",#REF!,"")</f>
        <v/>
      </c>
      <c r="BD131" s="1661" t="str">
        <f t="shared" si="34"/>
        <v/>
      </c>
      <c r="BE131" s="1653" t="e">
        <f t="shared" si="43"/>
        <v>#REF!</v>
      </c>
      <c r="BF131" s="1741"/>
      <c r="BI131" s="1658" t="str">
        <f t="shared" si="44"/>
        <v/>
      </c>
      <c r="BJ131" s="1659" t="str">
        <f t="shared" si="35"/>
        <v/>
      </c>
      <c r="BK131" s="1659"/>
      <c r="BL131" s="1659"/>
      <c r="BM131" s="1645" t="str">
        <f t="shared" si="36"/>
        <v/>
      </c>
      <c r="BN131" s="1620"/>
      <c r="BO131" s="1658" t="e">
        <f>IF(#REF!&gt;0,#REF!,"")</f>
        <v>#REF!</v>
      </c>
      <c r="BP131" s="1658" t="e">
        <f>IF(#REF!&lt;&gt;"",#REF!,"")</f>
        <v>#REF!</v>
      </c>
      <c r="BQ131" s="1648" t="str">
        <f t="shared" si="37"/>
        <v/>
      </c>
      <c r="BR131" s="1660" t="str">
        <f t="shared" si="38"/>
        <v/>
      </c>
      <c r="BS131" s="1662" t="str">
        <f>IF(L14&lt;&gt;"",#REF!,"")</f>
        <v/>
      </c>
      <c r="BT131" s="1663" t="str">
        <f t="shared" si="39"/>
        <v/>
      </c>
      <c r="BU131" s="1663" t="str">
        <f>IF(L14&lt;&gt;"",#REF!,"")</f>
        <v/>
      </c>
      <c r="BV131" s="1664" t="str">
        <f t="shared" si="40"/>
        <v/>
      </c>
      <c r="BW131" s="1655" t="e">
        <f t="shared" si="45"/>
        <v>#REF!</v>
      </c>
    </row>
    <row r="132" spans="43:75" ht="24.95" customHeight="1">
      <c r="AQ132" s="1657" t="str">
        <f t="shared" si="41"/>
        <v/>
      </c>
      <c r="AR132" s="1658" t="str">
        <f t="shared" si="30"/>
        <v/>
      </c>
      <c r="AS132" s="1658"/>
      <c r="AT132" s="1659"/>
      <c r="AU132" s="1645" t="str">
        <f t="shared" si="31"/>
        <v/>
      </c>
      <c r="AV132" s="1620"/>
      <c r="AW132" s="1619" t="e">
        <f>IF(#REF!&gt;0,#REF!,"")</f>
        <v>#REF!</v>
      </c>
      <c r="AX132" s="1619" t="e">
        <f>IF(#REF!&lt;&gt;"",#REF!,"")</f>
        <v>#REF!</v>
      </c>
      <c r="AY132" s="1648" t="str">
        <f t="shared" si="32"/>
        <v/>
      </c>
      <c r="AZ132" s="1660" t="str">
        <f t="shared" si="33"/>
        <v/>
      </c>
      <c r="BA132" s="1652" t="str">
        <f>IF(L15&lt;&gt;"",#REF!,"")</f>
        <v/>
      </c>
      <c r="BB132" s="1661" t="str">
        <f t="shared" si="42"/>
        <v/>
      </c>
      <c r="BC132" s="1652" t="str">
        <f>IF(L15&lt;&gt;"",#REF!,"")</f>
        <v/>
      </c>
      <c r="BD132" s="1661" t="str">
        <f t="shared" si="34"/>
        <v/>
      </c>
      <c r="BE132" s="1653" t="e">
        <f t="shared" si="43"/>
        <v>#REF!</v>
      </c>
      <c r="BF132" s="1741"/>
      <c r="BI132" s="1658" t="str">
        <f t="shared" si="44"/>
        <v/>
      </c>
      <c r="BJ132" s="1659" t="str">
        <f t="shared" si="35"/>
        <v/>
      </c>
      <c r="BK132" s="1659"/>
      <c r="BL132" s="1659"/>
      <c r="BM132" s="1645" t="str">
        <f t="shared" si="36"/>
        <v/>
      </c>
      <c r="BN132" s="1620"/>
      <c r="BO132" s="1658" t="e">
        <f>IF(#REF!&gt;0,#REF!,"")</f>
        <v>#REF!</v>
      </c>
      <c r="BP132" s="1658" t="e">
        <f>IF(#REF!&lt;&gt;"",#REF!,"")</f>
        <v>#REF!</v>
      </c>
      <c r="BQ132" s="1648" t="str">
        <f t="shared" si="37"/>
        <v/>
      </c>
      <c r="BR132" s="1660" t="str">
        <f t="shared" si="38"/>
        <v/>
      </c>
      <c r="BS132" s="1662" t="str">
        <f>IF(L15&lt;&gt;"",#REF!,"")</f>
        <v/>
      </c>
      <c r="BT132" s="1663" t="str">
        <f t="shared" si="39"/>
        <v/>
      </c>
      <c r="BU132" s="1663" t="str">
        <f>IF(L15&lt;&gt;"",#REF!,"")</f>
        <v/>
      </c>
      <c r="BV132" s="1664" t="str">
        <f t="shared" si="40"/>
        <v/>
      </c>
      <c r="BW132" s="1655" t="e">
        <f t="shared" si="45"/>
        <v>#REF!</v>
      </c>
    </row>
    <row r="133" spans="43:75" ht="24.95" customHeight="1">
      <c r="AQ133" s="1657" t="str">
        <f t="shared" si="41"/>
        <v/>
      </c>
      <c r="AR133" s="1658" t="str">
        <f t="shared" si="30"/>
        <v/>
      </c>
      <c r="AS133" s="1658"/>
      <c r="AT133" s="1659"/>
      <c r="AU133" s="1645" t="str">
        <f t="shared" si="31"/>
        <v/>
      </c>
      <c r="AV133" s="1620"/>
      <c r="AW133" s="1619" t="e">
        <f>IF(#REF!&gt;0,#REF!,"")</f>
        <v>#REF!</v>
      </c>
      <c r="AX133" s="1619" t="e">
        <f>IF(#REF!&lt;&gt;"",#REF!,"")</f>
        <v>#REF!</v>
      </c>
      <c r="AY133" s="1648" t="str">
        <f t="shared" si="32"/>
        <v/>
      </c>
      <c r="AZ133" s="1660" t="str">
        <f t="shared" si="33"/>
        <v/>
      </c>
      <c r="BA133" s="1652" t="str">
        <f>IF(L16&lt;&gt;"",#REF!,"")</f>
        <v/>
      </c>
      <c r="BB133" s="1661" t="str">
        <f t="shared" si="42"/>
        <v/>
      </c>
      <c r="BC133" s="1652" t="str">
        <f>IF(L16&lt;&gt;"",#REF!,"")</f>
        <v/>
      </c>
      <c r="BD133" s="1661" t="str">
        <f t="shared" si="34"/>
        <v/>
      </c>
      <c r="BE133" s="1653" t="e">
        <f t="shared" si="43"/>
        <v>#REF!</v>
      </c>
      <c r="BF133" s="1741"/>
      <c r="BI133" s="1658" t="str">
        <f t="shared" si="44"/>
        <v/>
      </c>
      <c r="BJ133" s="1659" t="str">
        <f t="shared" si="35"/>
        <v/>
      </c>
      <c r="BK133" s="1659"/>
      <c r="BL133" s="1659"/>
      <c r="BM133" s="1645" t="str">
        <f t="shared" si="36"/>
        <v/>
      </c>
      <c r="BN133" s="1620"/>
      <c r="BO133" s="1658" t="e">
        <f>IF(#REF!&gt;0,#REF!,"")</f>
        <v>#REF!</v>
      </c>
      <c r="BP133" s="1658" t="e">
        <f>IF(#REF!&lt;&gt;"",#REF!,"")</f>
        <v>#REF!</v>
      </c>
      <c r="BQ133" s="1648" t="str">
        <f t="shared" si="37"/>
        <v/>
      </c>
      <c r="BR133" s="1660" t="str">
        <f t="shared" si="38"/>
        <v/>
      </c>
      <c r="BS133" s="1662" t="str">
        <f>IF(L16&lt;&gt;"",#REF!,"")</f>
        <v/>
      </c>
      <c r="BT133" s="1663" t="str">
        <f t="shared" si="39"/>
        <v/>
      </c>
      <c r="BU133" s="1663" t="str">
        <f>IF(L16&lt;&gt;"",#REF!,"")</f>
        <v/>
      </c>
      <c r="BV133" s="1664" t="str">
        <f t="shared" si="40"/>
        <v/>
      </c>
      <c r="BW133" s="1655" t="e">
        <f t="shared" si="45"/>
        <v>#REF!</v>
      </c>
    </row>
    <row r="134" spans="43:75" ht="24.95" customHeight="1">
      <c r="AQ134" s="1657" t="str">
        <f t="shared" si="41"/>
        <v/>
      </c>
      <c r="AR134" s="1658" t="str">
        <f t="shared" si="30"/>
        <v/>
      </c>
      <c r="AS134" s="1658"/>
      <c r="AT134" s="1659"/>
      <c r="AU134" s="1645" t="str">
        <f t="shared" si="31"/>
        <v/>
      </c>
      <c r="AV134" s="1620"/>
      <c r="AW134" s="1619" t="e">
        <f>IF(#REF!&gt;0,#REF!,"")</f>
        <v>#REF!</v>
      </c>
      <c r="AX134" s="1619" t="e">
        <f>IF(#REF!&lt;&gt;"",#REF!,"")</f>
        <v>#REF!</v>
      </c>
      <c r="AY134" s="1648" t="str">
        <f t="shared" si="32"/>
        <v/>
      </c>
      <c r="AZ134" s="1660" t="str">
        <f t="shared" si="33"/>
        <v/>
      </c>
      <c r="BA134" s="1652" t="str">
        <f>IF(L17&lt;&gt;"",#REF!,"")</f>
        <v/>
      </c>
      <c r="BB134" s="1661" t="str">
        <f t="shared" si="42"/>
        <v/>
      </c>
      <c r="BC134" s="1652" t="str">
        <f>IF(L17&lt;&gt;"",#REF!,"")</f>
        <v/>
      </c>
      <c r="BD134" s="1661" t="str">
        <f t="shared" si="34"/>
        <v/>
      </c>
      <c r="BE134" s="1653" t="e">
        <f t="shared" si="43"/>
        <v>#REF!</v>
      </c>
      <c r="BF134" s="1741"/>
      <c r="BI134" s="1658" t="str">
        <f t="shared" si="44"/>
        <v/>
      </c>
      <c r="BJ134" s="1659" t="str">
        <f t="shared" si="35"/>
        <v/>
      </c>
      <c r="BK134" s="1659"/>
      <c r="BL134" s="1659"/>
      <c r="BM134" s="1645" t="str">
        <f t="shared" si="36"/>
        <v/>
      </c>
      <c r="BN134" s="1620"/>
      <c r="BO134" s="1658" t="e">
        <f>IF(#REF!&gt;0,#REF!,"")</f>
        <v>#REF!</v>
      </c>
      <c r="BP134" s="1658" t="e">
        <f>IF(#REF!&lt;&gt;"",#REF!,"")</f>
        <v>#REF!</v>
      </c>
      <c r="BQ134" s="1648" t="str">
        <f t="shared" si="37"/>
        <v/>
      </c>
      <c r="BR134" s="1660" t="str">
        <f t="shared" si="38"/>
        <v/>
      </c>
      <c r="BS134" s="1662" t="str">
        <f>IF(L17&lt;&gt;"",#REF!,"")</f>
        <v/>
      </c>
      <c r="BT134" s="1663" t="str">
        <f t="shared" si="39"/>
        <v/>
      </c>
      <c r="BU134" s="1663" t="str">
        <f>IF(L17&lt;&gt;"",#REF!,"")</f>
        <v/>
      </c>
      <c r="BV134" s="1664" t="str">
        <f t="shared" si="40"/>
        <v/>
      </c>
      <c r="BW134" s="1655" t="e">
        <f t="shared" si="45"/>
        <v>#REF!</v>
      </c>
    </row>
    <row r="135" spans="43:75" ht="24.95" customHeight="1">
      <c r="AQ135" s="1657" t="str">
        <f t="shared" si="41"/>
        <v/>
      </c>
      <c r="AR135" s="1658" t="str">
        <f t="shared" si="30"/>
        <v/>
      </c>
      <c r="AS135" s="1658"/>
      <c r="AT135" s="1659"/>
      <c r="AU135" s="1645" t="str">
        <f t="shared" si="31"/>
        <v/>
      </c>
      <c r="AV135" s="1620"/>
      <c r="AW135" s="1619" t="e">
        <f>IF(#REF!&gt;0,#REF!,"")</f>
        <v>#REF!</v>
      </c>
      <c r="AX135" s="1619" t="e">
        <f>IF(#REF!&lt;&gt;"",#REF!,"")</f>
        <v>#REF!</v>
      </c>
      <c r="AY135" s="1648" t="str">
        <f t="shared" si="32"/>
        <v/>
      </c>
      <c r="AZ135" s="1660" t="str">
        <f t="shared" si="33"/>
        <v/>
      </c>
      <c r="BA135" s="1652" t="str">
        <f>IF(L18&lt;&gt;"",#REF!,"")</f>
        <v/>
      </c>
      <c r="BB135" s="1661" t="str">
        <f t="shared" si="42"/>
        <v/>
      </c>
      <c r="BC135" s="1652" t="str">
        <f>IF(L18&lt;&gt;"",#REF!,"")</f>
        <v/>
      </c>
      <c r="BD135" s="1661" t="str">
        <f t="shared" si="34"/>
        <v/>
      </c>
      <c r="BE135" s="1653" t="e">
        <f t="shared" si="43"/>
        <v>#REF!</v>
      </c>
      <c r="BF135" s="1741"/>
      <c r="BI135" s="1658" t="str">
        <f t="shared" si="44"/>
        <v/>
      </c>
      <c r="BJ135" s="1659" t="str">
        <f t="shared" si="35"/>
        <v/>
      </c>
      <c r="BK135" s="1659"/>
      <c r="BL135" s="1659"/>
      <c r="BM135" s="1645" t="str">
        <f t="shared" si="36"/>
        <v/>
      </c>
      <c r="BN135" s="1620"/>
      <c r="BO135" s="1658" t="e">
        <f>IF(#REF!&gt;0,#REF!,"")</f>
        <v>#REF!</v>
      </c>
      <c r="BP135" s="1658" t="e">
        <f>IF(#REF!&lt;&gt;"",#REF!,"")</f>
        <v>#REF!</v>
      </c>
      <c r="BQ135" s="1648" t="str">
        <f t="shared" si="37"/>
        <v/>
      </c>
      <c r="BR135" s="1660" t="str">
        <f t="shared" si="38"/>
        <v/>
      </c>
      <c r="BS135" s="1662" t="str">
        <f>IF(L18&lt;&gt;"",#REF!,"")</f>
        <v/>
      </c>
      <c r="BT135" s="1663" t="str">
        <f t="shared" si="39"/>
        <v/>
      </c>
      <c r="BU135" s="1663" t="str">
        <f>IF(L18&lt;&gt;"",#REF!,"")</f>
        <v/>
      </c>
      <c r="BV135" s="1664" t="str">
        <f t="shared" si="40"/>
        <v/>
      </c>
      <c r="BW135" s="1655" t="e">
        <f t="shared" si="45"/>
        <v>#REF!</v>
      </c>
    </row>
    <row r="136" spans="43:75" ht="24.95" customHeight="1">
      <c r="AQ136" s="1657" t="str">
        <f t="shared" si="41"/>
        <v/>
      </c>
      <c r="AR136" s="1658" t="str">
        <f t="shared" si="30"/>
        <v/>
      </c>
      <c r="AS136" s="1658"/>
      <c r="AT136" s="1659"/>
      <c r="AU136" s="1645" t="str">
        <f t="shared" si="31"/>
        <v/>
      </c>
      <c r="AV136" s="1620"/>
      <c r="AW136" s="1619" t="e">
        <f>IF(#REF!&gt;0,#REF!,"")</f>
        <v>#REF!</v>
      </c>
      <c r="AX136" s="1619" t="e">
        <f>IF(#REF!&lt;&gt;"",#REF!,"")</f>
        <v>#REF!</v>
      </c>
      <c r="AY136" s="1648" t="str">
        <f t="shared" si="32"/>
        <v/>
      </c>
      <c r="AZ136" s="1660" t="str">
        <f t="shared" si="33"/>
        <v/>
      </c>
      <c r="BA136" s="1652" t="str">
        <f>IF(L19&lt;&gt;"",#REF!,"")</f>
        <v/>
      </c>
      <c r="BB136" s="1661" t="str">
        <f t="shared" si="42"/>
        <v/>
      </c>
      <c r="BC136" s="1652" t="str">
        <f>IF(L19&lt;&gt;"",#REF!,"")</f>
        <v/>
      </c>
      <c r="BD136" s="1661" t="str">
        <f t="shared" si="34"/>
        <v/>
      </c>
      <c r="BE136" s="1653" t="e">
        <f t="shared" si="43"/>
        <v>#REF!</v>
      </c>
      <c r="BF136" s="1741"/>
      <c r="BI136" s="1658" t="str">
        <f t="shared" si="44"/>
        <v/>
      </c>
      <c r="BJ136" s="1659" t="str">
        <f t="shared" si="35"/>
        <v/>
      </c>
      <c r="BK136" s="1659"/>
      <c r="BL136" s="1659"/>
      <c r="BM136" s="1645" t="str">
        <f t="shared" si="36"/>
        <v/>
      </c>
      <c r="BN136" s="1620"/>
      <c r="BO136" s="1658" t="e">
        <f>IF(#REF!&gt;0,#REF!,"")</f>
        <v>#REF!</v>
      </c>
      <c r="BP136" s="1658" t="e">
        <f>IF(#REF!&lt;&gt;"",#REF!,"")</f>
        <v>#REF!</v>
      </c>
      <c r="BQ136" s="1648" t="str">
        <f t="shared" si="37"/>
        <v/>
      </c>
      <c r="BR136" s="1660" t="str">
        <f t="shared" si="38"/>
        <v/>
      </c>
      <c r="BS136" s="1662" t="str">
        <f>IF(L19&lt;&gt;"",#REF!,"")</f>
        <v/>
      </c>
      <c r="BT136" s="1663" t="str">
        <f t="shared" si="39"/>
        <v/>
      </c>
      <c r="BU136" s="1663" t="str">
        <f>IF(L19&lt;&gt;"",#REF!,"")</f>
        <v/>
      </c>
      <c r="BV136" s="1664" t="str">
        <f t="shared" si="40"/>
        <v/>
      </c>
      <c r="BW136" s="1655" t="e">
        <f t="shared" si="45"/>
        <v>#REF!</v>
      </c>
    </row>
    <row r="137" spans="43:75" ht="24.95" customHeight="1">
      <c r="AQ137" s="1657" t="str">
        <f t="shared" si="41"/>
        <v/>
      </c>
      <c r="AR137" s="1658" t="str">
        <f t="shared" si="30"/>
        <v/>
      </c>
      <c r="AS137" s="1658"/>
      <c r="AT137" s="1659"/>
      <c r="AU137" s="1645" t="str">
        <f t="shared" si="31"/>
        <v/>
      </c>
      <c r="AV137" s="1620"/>
      <c r="AW137" s="1619" t="e">
        <f>IF(#REF!&gt;0,#REF!,"")</f>
        <v>#REF!</v>
      </c>
      <c r="AX137" s="1619" t="e">
        <f>IF(#REF!&lt;&gt;"",#REF!,"")</f>
        <v>#REF!</v>
      </c>
      <c r="AY137" s="1648" t="str">
        <f t="shared" si="32"/>
        <v/>
      </c>
      <c r="AZ137" s="1660" t="str">
        <f t="shared" si="33"/>
        <v/>
      </c>
      <c r="BA137" s="1652" t="str">
        <f>IF(L20&lt;&gt;"",#REF!,"")</f>
        <v/>
      </c>
      <c r="BB137" s="1661" t="str">
        <f t="shared" si="42"/>
        <v/>
      </c>
      <c r="BC137" s="1652" t="str">
        <f>IF(L20&lt;&gt;"",#REF!,"")</f>
        <v/>
      </c>
      <c r="BD137" s="1661" t="str">
        <f t="shared" si="34"/>
        <v/>
      </c>
      <c r="BE137" s="1653" t="e">
        <f t="shared" si="43"/>
        <v>#REF!</v>
      </c>
      <c r="BF137" s="1741"/>
      <c r="BI137" s="1658" t="str">
        <f t="shared" si="44"/>
        <v/>
      </c>
      <c r="BJ137" s="1659" t="str">
        <f t="shared" si="35"/>
        <v/>
      </c>
      <c r="BK137" s="1659"/>
      <c r="BL137" s="1659"/>
      <c r="BM137" s="1645" t="str">
        <f t="shared" si="36"/>
        <v/>
      </c>
      <c r="BN137" s="1620"/>
      <c r="BO137" s="1658" t="e">
        <f>IF(#REF!&gt;0,#REF!,"")</f>
        <v>#REF!</v>
      </c>
      <c r="BP137" s="1658" t="e">
        <f>IF(#REF!&lt;&gt;"",#REF!,"")</f>
        <v>#REF!</v>
      </c>
      <c r="BQ137" s="1648" t="str">
        <f t="shared" si="37"/>
        <v/>
      </c>
      <c r="BR137" s="1660" t="str">
        <f t="shared" si="38"/>
        <v/>
      </c>
      <c r="BS137" s="1662" t="str">
        <f>IF(L20&lt;&gt;"",#REF!,"")</f>
        <v/>
      </c>
      <c r="BT137" s="1663" t="str">
        <f t="shared" si="39"/>
        <v/>
      </c>
      <c r="BU137" s="1663" t="str">
        <f>IF(L20&lt;&gt;"",#REF!,"")</f>
        <v/>
      </c>
      <c r="BV137" s="1664" t="str">
        <f t="shared" si="40"/>
        <v/>
      </c>
      <c r="BW137" s="1655" t="e">
        <f t="shared" si="45"/>
        <v>#REF!</v>
      </c>
    </row>
    <row r="138" spans="43:75" ht="24.95" customHeight="1">
      <c r="AQ138" s="1657" t="str">
        <f t="shared" si="41"/>
        <v/>
      </c>
      <c r="AR138" s="1658" t="str">
        <f t="shared" si="30"/>
        <v/>
      </c>
      <c r="AS138" s="1658"/>
      <c r="AT138" s="1659"/>
      <c r="AU138" s="1645" t="str">
        <f t="shared" si="31"/>
        <v/>
      </c>
      <c r="AV138" s="1620"/>
      <c r="AW138" s="1619" t="e">
        <f>IF(#REF!&gt;0,#REF!,"")</f>
        <v>#REF!</v>
      </c>
      <c r="AX138" s="1619" t="e">
        <f>IF(#REF!&lt;&gt;"",#REF!,"")</f>
        <v>#REF!</v>
      </c>
      <c r="AY138" s="1648" t="str">
        <f t="shared" si="32"/>
        <v/>
      </c>
      <c r="AZ138" s="1660" t="str">
        <f t="shared" si="33"/>
        <v/>
      </c>
      <c r="BA138" s="1652" t="str">
        <f>IF(L21&lt;&gt;"",#REF!,"")</f>
        <v/>
      </c>
      <c r="BB138" s="1661" t="str">
        <f t="shared" si="42"/>
        <v/>
      </c>
      <c r="BC138" s="1652" t="str">
        <f>IF(L21&lt;&gt;"",#REF!,"")</f>
        <v/>
      </c>
      <c r="BD138" s="1661" t="str">
        <f t="shared" si="34"/>
        <v/>
      </c>
      <c r="BE138" s="1653" t="e">
        <f t="shared" si="43"/>
        <v>#REF!</v>
      </c>
      <c r="BF138" s="1741"/>
      <c r="BI138" s="1658" t="str">
        <f t="shared" si="44"/>
        <v/>
      </c>
      <c r="BJ138" s="1659" t="str">
        <f t="shared" si="35"/>
        <v/>
      </c>
      <c r="BK138" s="1659"/>
      <c r="BL138" s="1659"/>
      <c r="BM138" s="1645" t="str">
        <f t="shared" si="36"/>
        <v/>
      </c>
      <c r="BN138" s="1620"/>
      <c r="BO138" s="1658" t="e">
        <f>IF(#REF!&gt;0,#REF!,"")</f>
        <v>#REF!</v>
      </c>
      <c r="BP138" s="1658" t="e">
        <f>IF(#REF!&lt;&gt;"",#REF!,"")</f>
        <v>#REF!</v>
      </c>
      <c r="BQ138" s="1648" t="str">
        <f t="shared" si="37"/>
        <v/>
      </c>
      <c r="BR138" s="1660" t="str">
        <f t="shared" si="38"/>
        <v/>
      </c>
      <c r="BS138" s="1662" t="str">
        <f>IF(L21&lt;&gt;"",#REF!,"")</f>
        <v/>
      </c>
      <c r="BT138" s="1663" t="str">
        <f t="shared" si="39"/>
        <v/>
      </c>
      <c r="BU138" s="1663" t="str">
        <f>IF(L21&lt;&gt;"",#REF!,"")</f>
        <v/>
      </c>
      <c r="BV138" s="1664" t="str">
        <f t="shared" si="40"/>
        <v/>
      </c>
      <c r="BW138" s="1655" t="e">
        <f t="shared" si="45"/>
        <v>#REF!</v>
      </c>
    </row>
    <row r="139" spans="43:75" ht="24.95" hidden="1" customHeight="1">
      <c r="AQ139" s="1657" t="str">
        <f t="shared" si="41"/>
        <v/>
      </c>
      <c r="AR139" s="1658" t="str">
        <f t="shared" si="30"/>
        <v/>
      </c>
      <c r="AS139" s="1658"/>
      <c r="AT139" s="1659"/>
      <c r="AU139" s="1645" t="str">
        <f t="shared" si="31"/>
        <v/>
      </c>
      <c r="AV139" s="1620"/>
      <c r="AW139" s="1619" t="e">
        <f>IF(#REF!&gt;0,#REF!,"")</f>
        <v>#REF!</v>
      </c>
      <c r="AX139" s="1619" t="e">
        <f>IF(#REF!&lt;&gt;"",#REF!,"")</f>
        <v>#REF!</v>
      </c>
      <c r="AY139" s="1648" t="str">
        <f t="shared" si="32"/>
        <v/>
      </c>
      <c r="AZ139" s="1660" t="str">
        <f t="shared" si="33"/>
        <v/>
      </c>
      <c r="BA139" s="1652" t="str">
        <f>IF(L22&lt;&gt;"",#REF!,"")</f>
        <v/>
      </c>
      <c r="BB139" s="1661" t="str">
        <f t="shared" si="42"/>
        <v/>
      </c>
      <c r="BC139" s="1652" t="str">
        <f>IF(L22&lt;&gt;"",#REF!,"")</f>
        <v/>
      </c>
      <c r="BD139" s="1661" t="str">
        <f t="shared" si="34"/>
        <v/>
      </c>
      <c r="BE139" s="1653" t="e">
        <f t="shared" si="43"/>
        <v>#REF!</v>
      </c>
      <c r="BF139" s="1741"/>
      <c r="BI139" s="1658" t="str">
        <f t="shared" si="44"/>
        <v/>
      </c>
      <c r="BJ139" s="1659" t="str">
        <f t="shared" si="35"/>
        <v/>
      </c>
      <c r="BK139" s="1659"/>
      <c r="BL139" s="1659"/>
      <c r="BM139" s="1645" t="str">
        <f t="shared" si="36"/>
        <v/>
      </c>
      <c r="BN139" s="1620"/>
      <c r="BO139" s="1658" t="e">
        <f>IF(#REF!&gt;0,#REF!,"")</f>
        <v>#REF!</v>
      </c>
      <c r="BP139" s="1658" t="e">
        <f>IF(#REF!&lt;&gt;"",#REF!,"")</f>
        <v>#REF!</v>
      </c>
      <c r="BQ139" s="1648" t="str">
        <f t="shared" si="37"/>
        <v/>
      </c>
      <c r="BR139" s="1660" t="str">
        <f t="shared" si="38"/>
        <v/>
      </c>
      <c r="BS139" s="1662" t="str">
        <f>IF(L22&lt;&gt;"",#REF!,"")</f>
        <v/>
      </c>
      <c r="BT139" s="1663" t="str">
        <f t="shared" si="39"/>
        <v/>
      </c>
      <c r="BU139" s="1663" t="str">
        <f>IF(L22&lt;&gt;"",#REF!,"")</f>
        <v/>
      </c>
      <c r="BV139" s="1664" t="str">
        <f t="shared" si="40"/>
        <v/>
      </c>
      <c r="BW139" s="1655" t="e">
        <f t="shared" si="45"/>
        <v>#REF!</v>
      </c>
    </row>
    <row r="140" spans="43:75" ht="24.95" hidden="1" customHeight="1">
      <c r="AQ140" s="1657" t="str">
        <f t="shared" si="41"/>
        <v/>
      </c>
      <c r="AR140" s="1657" t="str">
        <f t="shared" si="30"/>
        <v/>
      </c>
      <c r="AS140" s="1657"/>
      <c r="AT140" s="1665"/>
      <c r="AU140" s="1645" t="str">
        <f t="shared" si="31"/>
        <v/>
      </c>
      <c r="AV140" s="1666"/>
      <c r="AW140" s="1618" t="e">
        <f>IF(#REF!&gt;0,#REF!,"")</f>
        <v>#REF!</v>
      </c>
      <c r="AX140" s="1618" t="e">
        <f>IF(#REF!&lt;&gt;"",#REF!,"")</f>
        <v>#REF!</v>
      </c>
      <c r="AY140" s="1648" t="str">
        <f t="shared" si="32"/>
        <v/>
      </c>
      <c r="AZ140" s="1667" t="str">
        <f t="shared" si="33"/>
        <v/>
      </c>
      <c r="BA140" s="1668" t="str">
        <f>IF(L23&lt;&gt;"",#REF!,"")</f>
        <v/>
      </c>
      <c r="BB140" s="1669" t="str">
        <f t="shared" si="42"/>
        <v/>
      </c>
      <c r="BC140" s="1668" t="str">
        <f>IF(L23&lt;&gt;"",#REF!,"")</f>
        <v/>
      </c>
      <c r="BD140" s="1669" t="str">
        <f t="shared" si="34"/>
        <v/>
      </c>
      <c r="BE140" s="1653" t="e">
        <f t="shared" si="43"/>
        <v>#REF!</v>
      </c>
      <c r="BF140" s="1741"/>
      <c r="BI140" s="1658" t="str">
        <f t="shared" si="44"/>
        <v/>
      </c>
      <c r="BJ140" s="1659" t="str">
        <f t="shared" si="35"/>
        <v/>
      </c>
      <c r="BK140" s="1659"/>
      <c r="BL140" s="1659"/>
      <c r="BM140" s="1645" t="str">
        <f t="shared" si="36"/>
        <v/>
      </c>
      <c r="BN140" s="1620"/>
      <c r="BO140" s="1658" t="e">
        <f>IF(#REF!&gt;0,#REF!,"")</f>
        <v>#REF!</v>
      </c>
      <c r="BP140" s="1658" t="e">
        <f>IF(#REF!&lt;&gt;"",#REF!,"")</f>
        <v>#REF!</v>
      </c>
      <c r="BQ140" s="1648" t="str">
        <f t="shared" si="37"/>
        <v/>
      </c>
      <c r="BR140" s="1660" t="str">
        <f t="shared" si="38"/>
        <v/>
      </c>
      <c r="BS140" s="1662" t="str">
        <f>IF(L23&lt;&gt;"",#REF!,"")</f>
        <v/>
      </c>
      <c r="BT140" s="1663" t="str">
        <f t="shared" si="39"/>
        <v/>
      </c>
      <c r="BU140" s="1663" t="str">
        <f>IF(L23&lt;&gt;"",#REF!,"")</f>
        <v/>
      </c>
      <c r="BV140" s="1664" t="str">
        <f t="shared" si="40"/>
        <v/>
      </c>
      <c r="BW140" s="1655" t="e">
        <f t="shared" si="45"/>
        <v>#REF!</v>
      </c>
    </row>
    <row r="141" spans="43:75" ht="24.95" hidden="1" customHeight="1">
      <c r="AQ141" s="1657" t="str">
        <f t="shared" si="41"/>
        <v/>
      </c>
      <c r="AR141" s="1657" t="str">
        <f t="shared" si="30"/>
        <v/>
      </c>
      <c r="AS141" s="1657"/>
      <c r="AT141" s="1665"/>
      <c r="AU141" s="1645" t="str">
        <f t="shared" si="31"/>
        <v/>
      </c>
      <c r="AV141" s="1666"/>
      <c r="AW141" s="1618" t="e">
        <f>IF(#REF!&gt;0,#REF!,"")</f>
        <v>#REF!</v>
      </c>
      <c r="AX141" s="1618" t="e">
        <f>IF(#REF!&lt;&gt;"",#REF!,"")</f>
        <v>#REF!</v>
      </c>
      <c r="AY141" s="1648" t="str">
        <f t="shared" si="32"/>
        <v/>
      </c>
      <c r="AZ141" s="1667" t="str">
        <f t="shared" si="33"/>
        <v/>
      </c>
      <c r="BA141" s="1668" t="str">
        <f>IF(L24&lt;&gt;"",#REF!,"")</f>
        <v/>
      </c>
      <c r="BB141" s="1669" t="str">
        <f t="shared" si="42"/>
        <v/>
      </c>
      <c r="BC141" s="1668" t="str">
        <f>IF(L24&lt;&gt;"",#REF!,"")</f>
        <v/>
      </c>
      <c r="BD141" s="1669" t="str">
        <f t="shared" si="34"/>
        <v/>
      </c>
      <c r="BE141" s="1653" t="e">
        <f t="shared" si="43"/>
        <v>#REF!</v>
      </c>
      <c r="BF141" s="1741"/>
      <c r="BI141" s="1658" t="str">
        <f t="shared" si="44"/>
        <v/>
      </c>
      <c r="BJ141" s="1659" t="str">
        <f t="shared" si="35"/>
        <v/>
      </c>
      <c r="BK141" s="1659"/>
      <c r="BL141" s="1659"/>
      <c r="BM141" s="1645" t="str">
        <f t="shared" si="36"/>
        <v/>
      </c>
      <c r="BN141" s="1620"/>
      <c r="BO141" s="1658" t="e">
        <f>IF(#REF!&gt;0,#REF!,"")</f>
        <v>#REF!</v>
      </c>
      <c r="BP141" s="1658" t="e">
        <f>IF(#REF!&lt;&gt;"",#REF!,"")</f>
        <v>#REF!</v>
      </c>
      <c r="BQ141" s="1648" t="str">
        <f t="shared" si="37"/>
        <v/>
      </c>
      <c r="BR141" s="1660" t="str">
        <f t="shared" si="38"/>
        <v/>
      </c>
      <c r="BS141" s="1662" t="str">
        <f>IF(L24&lt;&gt;"",#REF!,"")</f>
        <v/>
      </c>
      <c r="BT141" s="1663" t="str">
        <f t="shared" si="39"/>
        <v/>
      </c>
      <c r="BU141" s="1663" t="str">
        <f>IF(L24&lt;&gt;"",#REF!,"")</f>
        <v/>
      </c>
      <c r="BV141" s="1664" t="str">
        <f t="shared" si="40"/>
        <v/>
      </c>
      <c r="BW141" s="1655" t="e">
        <f t="shared" si="45"/>
        <v>#REF!</v>
      </c>
    </row>
    <row r="142" spans="43:75" ht="24.95" hidden="1" customHeight="1">
      <c r="AQ142" s="1657" t="str">
        <f t="shared" si="41"/>
        <v/>
      </c>
      <c r="AR142" s="1657" t="str">
        <f t="shared" si="30"/>
        <v/>
      </c>
      <c r="AS142" s="1657"/>
      <c r="AT142" s="1665"/>
      <c r="AU142" s="1645" t="str">
        <f t="shared" si="31"/>
        <v/>
      </c>
      <c r="AV142" s="1666"/>
      <c r="AW142" s="1618" t="e">
        <f>IF(#REF!&gt;0,#REF!,"")</f>
        <v>#REF!</v>
      </c>
      <c r="AX142" s="1618" t="e">
        <f>IF(#REF!&lt;&gt;"",#REF!,"")</f>
        <v>#REF!</v>
      </c>
      <c r="AY142" s="1648" t="str">
        <f t="shared" si="32"/>
        <v/>
      </c>
      <c r="AZ142" s="1667" t="str">
        <f t="shared" si="33"/>
        <v/>
      </c>
      <c r="BA142" s="1668" t="str">
        <f>IF(L25&lt;&gt;"",#REF!,"")</f>
        <v/>
      </c>
      <c r="BB142" s="1669" t="str">
        <f t="shared" si="42"/>
        <v/>
      </c>
      <c r="BC142" s="1668" t="str">
        <f>IF(L25&lt;&gt;"",#REF!,"")</f>
        <v/>
      </c>
      <c r="BD142" s="1669" t="str">
        <f t="shared" si="34"/>
        <v/>
      </c>
      <c r="BE142" s="1653" t="e">
        <f t="shared" si="43"/>
        <v>#REF!</v>
      </c>
      <c r="BF142" s="1741"/>
      <c r="BI142" s="1658" t="str">
        <f t="shared" si="44"/>
        <v/>
      </c>
      <c r="BJ142" s="1659" t="str">
        <f t="shared" si="35"/>
        <v/>
      </c>
      <c r="BK142" s="1659"/>
      <c r="BL142" s="1659"/>
      <c r="BM142" s="1645" t="str">
        <f t="shared" si="36"/>
        <v/>
      </c>
      <c r="BN142" s="1620"/>
      <c r="BO142" s="1658" t="e">
        <f>IF(#REF!&gt;0,#REF!,"")</f>
        <v>#REF!</v>
      </c>
      <c r="BP142" s="1658" t="e">
        <f>IF(#REF!&lt;&gt;"",#REF!,"")</f>
        <v>#REF!</v>
      </c>
      <c r="BQ142" s="1648" t="str">
        <f t="shared" si="37"/>
        <v/>
      </c>
      <c r="BR142" s="1660" t="str">
        <f t="shared" si="38"/>
        <v/>
      </c>
      <c r="BS142" s="1662" t="str">
        <f>IF(L25&lt;&gt;"",#REF!,"")</f>
        <v/>
      </c>
      <c r="BT142" s="1663" t="str">
        <f t="shared" si="39"/>
        <v/>
      </c>
      <c r="BU142" s="1663" t="str">
        <f>IF(L25&lt;&gt;"",#REF!,"")</f>
        <v/>
      </c>
      <c r="BV142" s="1664" t="str">
        <f t="shared" si="40"/>
        <v/>
      </c>
      <c r="BW142" s="1655" t="e">
        <f t="shared" si="45"/>
        <v>#REF!</v>
      </c>
    </row>
    <row r="143" spans="43:75" ht="24.95" hidden="1" customHeight="1">
      <c r="AQ143" s="1657" t="str">
        <f t="shared" si="41"/>
        <v/>
      </c>
      <c r="AR143" s="1657" t="str">
        <f t="shared" si="30"/>
        <v/>
      </c>
      <c r="AS143" s="1657"/>
      <c r="AT143" s="1665"/>
      <c r="AU143" s="1645" t="str">
        <f t="shared" si="31"/>
        <v/>
      </c>
      <c r="AV143" s="1666"/>
      <c r="AW143" s="1618" t="e">
        <f>IF(#REF!&gt;0,#REF!,"")</f>
        <v>#REF!</v>
      </c>
      <c r="AX143" s="1618" t="e">
        <f>IF(#REF!&lt;&gt;"",#REF!,"")</f>
        <v>#REF!</v>
      </c>
      <c r="AY143" s="1648" t="str">
        <f t="shared" si="32"/>
        <v/>
      </c>
      <c r="AZ143" s="1667" t="str">
        <f t="shared" si="33"/>
        <v/>
      </c>
      <c r="BA143" s="1668" t="str">
        <f>IF(L26&lt;&gt;"",#REF!,"")</f>
        <v/>
      </c>
      <c r="BB143" s="1669" t="str">
        <f t="shared" si="42"/>
        <v/>
      </c>
      <c r="BC143" s="1668" t="str">
        <f>IF(L26&lt;&gt;"",#REF!,"")</f>
        <v/>
      </c>
      <c r="BD143" s="1669" t="str">
        <f t="shared" si="34"/>
        <v/>
      </c>
      <c r="BE143" s="1653" t="e">
        <f t="shared" si="43"/>
        <v>#REF!</v>
      </c>
      <c r="BF143" s="1741"/>
      <c r="BI143" s="1658" t="str">
        <f t="shared" si="44"/>
        <v/>
      </c>
      <c r="BJ143" s="1659" t="str">
        <f t="shared" si="35"/>
        <v/>
      </c>
      <c r="BK143" s="1659"/>
      <c r="BL143" s="1659"/>
      <c r="BM143" s="1645" t="str">
        <f t="shared" si="36"/>
        <v/>
      </c>
      <c r="BN143" s="1620"/>
      <c r="BO143" s="1658" t="e">
        <f>IF(#REF!&gt;0,#REF!,"")</f>
        <v>#REF!</v>
      </c>
      <c r="BP143" s="1658" t="e">
        <f>IF(#REF!&lt;&gt;"",#REF!,"")</f>
        <v>#REF!</v>
      </c>
      <c r="BQ143" s="1648" t="str">
        <f t="shared" si="37"/>
        <v/>
      </c>
      <c r="BR143" s="1660" t="str">
        <f t="shared" si="38"/>
        <v/>
      </c>
      <c r="BS143" s="1662" t="str">
        <f>IF(L26&lt;&gt;"",#REF!,"")</f>
        <v/>
      </c>
      <c r="BT143" s="1663" t="str">
        <f t="shared" si="39"/>
        <v/>
      </c>
      <c r="BU143" s="1663" t="str">
        <f>IF(L26&lt;&gt;"",#REF!,"")</f>
        <v/>
      </c>
      <c r="BV143" s="1664" t="str">
        <f t="shared" si="40"/>
        <v/>
      </c>
      <c r="BW143" s="1655" t="e">
        <f t="shared" si="45"/>
        <v>#REF!</v>
      </c>
    </row>
    <row r="144" spans="43:75" ht="24.95" hidden="1" customHeight="1">
      <c r="AQ144" s="1657" t="str">
        <f t="shared" si="41"/>
        <v/>
      </c>
      <c r="AR144" s="1657" t="str">
        <f t="shared" si="30"/>
        <v/>
      </c>
      <c r="AS144" s="1657"/>
      <c r="AT144" s="1665"/>
      <c r="AU144" s="1645" t="str">
        <f t="shared" si="31"/>
        <v/>
      </c>
      <c r="AV144" s="1666"/>
      <c r="AW144" s="1618" t="e">
        <f>IF(#REF!&gt;0,#REF!,"")</f>
        <v>#REF!</v>
      </c>
      <c r="AX144" s="1618" t="e">
        <f>IF(#REF!&lt;&gt;"",#REF!,"")</f>
        <v>#REF!</v>
      </c>
      <c r="AY144" s="1648" t="str">
        <f t="shared" si="32"/>
        <v/>
      </c>
      <c r="AZ144" s="1667" t="str">
        <f t="shared" si="33"/>
        <v/>
      </c>
      <c r="BA144" s="1668" t="str">
        <f>IF(L27&lt;&gt;"",#REF!,"")</f>
        <v/>
      </c>
      <c r="BB144" s="1669" t="str">
        <f t="shared" si="42"/>
        <v/>
      </c>
      <c r="BC144" s="1668" t="str">
        <f>IF(L27&lt;&gt;"",#REF!,"")</f>
        <v/>
      </c>
      <c r="BD144" s="1669" t="str">
        <f t="shared" si="34"/>
        <v/>
      </c>
      <c r="BE144" s="1653" t="e">
        <f t="shared" si="43"/>
        <v>#REF!</v>
      </c>
      <c r="BF144" s="1741"/>
      <c r="BI144" s="1658" t="str">
        <f t="shared" si="44"/>
        <v/>
      </c>
      <c r="BJ144" s="1659" t="str">
        <f t="shared" si="35"/>
        <v/>
      </c>
      <c r="BK144" s="1659"/>
      <c r="BL144" s="1659"/>
      <c r="BM144" s="1645" t="str">
        <f t="shared" si="36"/>
        <v/>
      </c>
      <c r="BN144" s="1620"/>
      <c r="BO144" s="1658" t="e">
        <f>IF(#REF!&gt;0,#REF!,"")</f>
        <v>#REF!</v>
      </c>
      <c r="BP144" s="1658" t="e">
        <f>IF(#REF!&lt;&gt;"",#REF!,"")</f>
        <v>#REF!</v>
      </c>
      <c r="BQ144" s="1648" t="str">
        <f t="shared" si="37"/>
        <v/>
      </c>
      <c r="BR144" s="1660" t="str">
        <f t="shared" si="38"/>
        <v/>
      </c>
      <c r="BS144" s="1662" t="str">
        <f>IF(L27&lt;&gt;"",#REF!,"")</f>
        <v/>
      </c>
      <c r="BT144" s="1663" t="str">
        <f t="shared" si="39"/>
        <v/>
      </c>
      <c r="BU144" s="1663" t="str">
        <f>IF(L27&lt;&gt;"",#REF!,"")</f>
        <v/>
      </c>
      <c r="BV144" s="1664" t="str">
        <f t="shared" si="40"/>
        <v/>
      </c>
      <c r="BW144" s="1655" t="e">
        <f t="shared" si="45"/>
        <v>#REF!</v>
      </c>
    </row>
    <row r="145" spans="43:75" ht="24.95" hidden="1" customHeight="1">
      <c r="AQ145" s="1657" t="str">
        <f t="shared" si="41"/>
        <v/>
      </c>
      <c r="AR145" s="1657" t="str">
        <f t="shared" si="30"/>
        <v/>
      </c>
      <c r="AS145" s="1657"/>
      <c r="AT145" s="1665"/>
      <c r="AU145" s="1645" t="str">
        <f t="shared" si="31"/>
        <v/>
      </c>
      <c r="AV145" s="1666"/>
      <c r="AW145" s="1618" t="e">
        <f>IF(#REF!&gt;0,#REF!,"")</f>
        <v>#REF!</v>
      </c>
      <c r="AX145" s="1618" t="e">
        <f>IF(#REF!&lt;&gt;"",#REF!,"")</f>
        <v>#REF!</v>
      </c>
      <c r="AY145" s="1648" t="str">
        <f t="shared" si="32"/>
        <v/>
      </c>
      <c r="AZ145" s="1667" t="str">
        <f t="shared" si="33"/>
        <v/>
      </c>
      <c r="BA145" s="1668" t="str">
        <f>IF(L28&lt;&gt;"",#REF!,"")</f>
        <v/>
      </c>
      <c r="BB145" s="1669" t="str">
        <f t="shared" si="42"/>
        <v/>
      </c>
      <c r="BC145" s="1668" t="str">
        <f>IF(L28&lt;&gt;"",#REF!,"")</f>
        <v/>
      </c>
      <c r="BD145" s="1669" t="str">
        <f t="shared" si="34"/>
        <v/>
      </c>
      <c r="BE145" s="1653" t="e">
        <f t="shared" si="43"/>
        <v>#REF!</v>
      </c>
      <c r="BF145" s="1741"/>
      <c r="BI145" s="1658" t="str">
        <f t="shared" si="44"/>
        <v/>
      </c>
      <c r="BJ145" s="1659" t="str">
        <f t="shared" si="35"/>
        <v/>
      </c>
      <c r="BK145" s="1659"/>
      <c r="BL145" s="1659"/>
      <c r="BM145" s="1645" t="str">
        <f t="shared" si="36"/>
        <v/>
      </c>
      <c r="BN145" s="1620"/>
      <c r="BO145" s="1658" t="e">
        <f>IF(#REF!&gt;0,#REF!,"")</f>
        <v>#REF!</v>
      </c>
      <c r="BP145" s="1658" t="e">
        <f>IF(#REF!&lt;&gt;"",#REF!,"")</f>
        <v>#REF!</v>
      </c>
      <c r="BQ145" s="1648" t="str">
        <f t="shared" si="37"/>
        <v/>
      </c>
      <c r="BR145" s="1660" t="str">
        <f t="shared" si="38"/>
        <v/>
      </c>
      <c r="BS145" s="1662" t="str">
        <f>IF(L28&lt;&gt;"",#REF!,"")</f>
        <v/>
      </c>
      <c r="BT145" s="1663" t="str">
        <f t="shared" si="39"/>
        <v/>
      </c>
      <c r="BU145" s="1663" t="str">
        <f>IF(L28&lt;&gt;"",#REF!,"")</f>
        <v/>
      </c>
      <c r="BV145" s="1664" t="str">
        <f t="shared" si="40"/>
        <v/>
      </c>
      <c r="BW145" s="1655" t="e">
        <f t="shared" si="45"/>
        <v>#REF!</v>
      </c>
    </row>
    <row r="146" spans="43:75" ht="24.95" hidden="1" customHeight="1">
      <c r="AQ146" s="1657" t="str">
        <f t="shared" si="41"/>
        <v/>
      </c>
      <c r="AR146" s="1657" t="str">
        <f t="shared" si="30"/>
        <v/>
      </c>
      <c r="AS146" s="1657"/>
      <c r="AT146" s="1665"/>
      <c r="AU146" s="1645" t="str">
        <f t="shared" si="31"/>
        <v/>
      </c>
      <c r="AV146" s="1666"/>
      <c r="AW146" s="1618" t="e">
        <f>IF(#REF!&gt;0,#REF!,"")</f>
        <v>#REF!</v>
      </c>
      <c r="AX146" s="1618" t="e">
        <f>IF(#REF!&lt;&gt;"",#REF!,"")</f>
        <v>#REF!</v>
      </c>
      <c r="AY146" s="1648" t="str">
        <f t="shared" si="32"/>
        <v/>
      </c>
      <c r="AZ146" s="1667" t="str">
        <f t="shared" si="33"/>
        <v/>
      </c>
      <c r="BA146" s="1668" t="str">
        <f>IF(L29&lt;&gt;"",#REF!,"")</f>
        <v/>
      </c>
      <c r="BB146" s="1669" t="str">
        <f t="shared" si="42"/>
        <v/>
      </c>
      <c r="BC146" s="1668" t="str">
        <f>IF(L29&lt;&gt;"",#REF!,"")</f>
        <v/>
      </c>
      <c r="BD146" s="1669" t="str">
        <f t="shared" si="34"/>
        <v/>
      </c>
      <c r="BE146" s="1653" t="e">
        <f t="shared" si="43"/>
        <v>#REF!</v>
      </c>
      <c r="BF146" s="1741"/>
      <c r="BI146" s="1658" t="str">
        <f t="shared" si="44"/>
        <v/>
      </c>
      <c r="BJ146" s="1659" t="str">
        <f t="shared" si="35"/>
        <v/>
      </c>
      <c r="BK146" s="1659"/>
      <c r="BL146" s="1659"/>
      <c r="BM146" s="1645" t="str">
        <f t="shared" si="36"/>
        <v/>
      </c>
      <c r="BN146" s="1620"/>
      <c r="BO146" s="1658" t="e">
        <f>IF(#REF!&gt;0,#REF!,"")</f>
        <v>#REF!</v>
      </c>
      <c r="BP146" s="1658" t="e">
        <f>IF(#REF!&lt;&gt;"",#REF!,"")</f>
        <v>#REF!</v>
      </c>
      <c r="BQ146" s="1648" t="str">
        <f t="shared" si="37"/>
        <v/>
      </c>
      <c r="BR146" s="1660" t="str">
        <f t="shared" si="38"/>
        <v/>
      </c>
      <c r="BS146" s="1662" t="str">
        <f>IF(L29&lt;&gt;"",#REF!,"")</f>
        <v/>
      </c>
      <c r="BT146" s="1663" t="str">
        <f t="shared" si="39"/>
        <v/>
      </c>
      <c r="BU146" s="1663" t="str">
        <f>IF(L29&lt;&gt;"",#REF!,"")</f>
        <v/>
      </c>
      <c r="BV146" s="1664" t="str">
        <f t="shared" si="40"/>
        <v/>
      </c>
      <c r="BW146" s="1655" t="e">
        <f t="shared" si="45"/>
        <v>#REF!</v>
      </c>
    </row>
    <row r="147" spans="43:75" ht="24.95" hidden="1" customHeight="1">
      <c r="AQ147" s="1657" t="str">
        <f t="shared" si="41"/>
        <v/>
      </c>
      <c r="AR147" s="1657" t="str">
        <f t="shared" si="30"/>
        <v/>
      </c>
      <c r="AS147" s="1657"/>
      <c r="AT147" s="1665"/>
      <c r="AU147" s="1645" t="str">
        <f t="shared" si="31"/>
        <v/>
      </c>
      <c r="AV147" s="1666"/>
      <c r="AW147" s="1618" t="e">
        <f>IF(#REF!&gt;0,#REF!,"")</f>
        <v>#REF!</v>
      </c>
      <c r="AX147" s="1618" t="e">
        <f>IF(#REF!&lt;&gt;"",#REF!,"")</f>
        <v>#REF!</v>
      </c>
      <c r="AY147" s="1648" t="str">
        <f t="shared" si="32"/>
        <v/>
      </c>
      <c r="AZ147" s="1667" t="str">
        <f t="shared" si="33"/>
        <v/>
      </c>
      <c r="BA147" s="1668" t="str">
        <f>IF(L30&lt;&gt;"",#REF!,"")</f>
        <v/>
      </c>
      <c r="BB147" s="1669" t="str">
        <f t="shared" si="42"/>
        <v/>
      </c>
      <c r="BC147" s="1668" t="str">
        <f>IF(L30&lt;&gt;"",#REF!,"")</f>
        <v/>
      </c>
      <c r="BD147" s="1669" t="str">
        <f t="shared" si="34"/>
        <v/>
      </c>
      <c r="BE147" s="1653" t="e">
        <f t="shared" si="43"/>
        <v>#REF!</v>
      </c>
      <c r="BF147" s="1741"/>
      <c r="BI147" s="1658" t="str">
        <f t="shared" si="44"/>
        <v/>
      </c>
      <c r="BJ147" s="1659" t="str">
        <f t="shared" si="35"/>
        <v/>
      </c>
      <c r="BK147" s="1659"/>
      <c r="BL147" s="1659"/>
      <c r="BM147" s="1645" t="str">
        <f t="shared" si="36"/>
        <v/>
      </c>
      <c r="BN147" s="1620"/>
      <c r="BO147" s="1658" t="e">
        <f>IF(#REF!&gt;0,#REF!,"")</f>
        <v>#REF!</v>
      </c>
      <c r="BP147" s="1658" t="e">
        <f>IF(#REF!&lt;&gt;"",#REF!,"")</f>
        <v>#REF!</v>
      </c>
      <c r="BQ147" s="1648" t="str">
        <f t="shared" si="37"/>
        <v/>
      </c>
      <c r="BR147" s="1660" t="str">
        <f t="shared" si="38"/>
        <v/>
      </c>
      <c r="BS147" s="1662" t="str">
        <f>IF(L30&lt;&gt;"",#REF!,"")</f>
        <v/>
      </c>
      <c r="BT147" s="1663" t="str">
        <f t="shared" si="39"/>
        <v/>
      </c>
      <c r="BU147" s="1663" t="str">
        <f>IF(L30&lt;&gt;"",#REF!,"")</f>
        <v/>
      </c>
      <c r="BV147" s="1664" t="str">
        <f t="shared" si="40"/>
        <v/>
      </c>
      <c r="BW147" s="1655" t="e">
        <f t="shared" si="45"/>
        <v>#REF!</v>
      </c>
    </row>
    <row r="148" spans="43:75" ht="24.95" hidden="1" customHeight="1">
      <c r="AQ148" s="1657" t="str">
        <f t="shared" si="41"/>
        <v/>
      </c>
      <c r="AR148" s="1657" t="str">
        <f t="shared" si="30"/>
        <v/>
      </c>
      <c r="AS148" s="1657"/>
      <c r="AT148" s="1665"/>
      <c r="AU148" s="1645" t="str">
        <f t="shared" si="31"/>
        <v/>
      </c>
      <c r="AV148" s="1666"/>
      <c r="AW148" s="1618" t="e">
        <f>IF(#REF!&gt;0,#REF!,"")</f>
        <v>#REF!</v>
      </c>
      <c r="AX148" s="1618" t="e">
        <f>IF(#REF!&lt;&gt;"",#REF!,"")</f>
        <v>#REF!</v>
      </c>
      <c r="AY148" s="1648" t="str">
        <f t="shared" si="32"/>
        <v/>
      </c>
      <c r="AZ148" s="1667" t="str">
        <f t="shared" si="33"/>
        <v/>
      </c>
      <c r="BA148" s="1668" t="str">
        <f>IF(L31&lt;&gt;"",#REF!,"")</f>
        <v/>
      </c>
      <c r="BB148" s="1669" t="str">
        <f t="shared" si="42"/>
        <v/>
      </c>
      <c r="BC148" s="1668" t="str">
        <f>IF(L31&lt;&gt;"",#REF!,"")</f>
        <v/>
      </c>
      <c r="BD148" s="1669" t="str">
        <f t="shared" si="34"/>
        <v/>
      </c>
      <c r="BE148" s="1653" t="e">
        <f t="shared" si="43"/>
        <v>#REF!</v>
      </c>
      <c r="BF148" s="1741"/>
      <c r="BI148" s="1658" t="str">
        <f t="shared" si="44"/>
        <v/>
      </c>
      <c r="BJ148" s="1659" t="str">
        <f t="shared" si="35"/>
        <v/>
      </c>
      <c r="BK148" s="1659"/>
      <c r="BL148" s="1659"/>
      <c r="BM148" s="1645" t="str">
        <f t="shared" si="36"/>
        <v/>
      </c>
      <c r="BN148" s="1620"/>
      <c r="BO148" s="1658" t="e">
        <f>IF(#REF!&gt;0,#REF!,"")</f>
        <v>#REF!</v>
      </c>
      <c r="BP148" s="1658" t="e">
        <f>IF(#REF!&lt;&gt;"",#REF!,"")</f>
        <v>#REF!</v>
      </c>
      <c r="BQ148" s="1648" t="str">
        <f t="shared" si="37"/>
        <v/>
      </c>
      <c r="BR148" s="1660" t="str">
        <f t="shared" si="38"/>
        <v/>
      </c>
      <c r="BS148" s="1662" t="str">
        <f>IF(L31&lt;&gt;"",#REF!,"")</f>
        <v/>
      </c>
      <c r="BT148" s="1663" t="str">
        <f t="shared" si="39"/>
        <v/>
      </c>
      <c r="BU148" s="1663" t="str">
        <f>IF(L31&lt;&gt;"",#REF!,"")</f>
        <v/>
      </c>
      <c r="BV148" s="1664" t="str">
        <f t="shared" si="40"/>
        <v/>
      </c>
      <c r="BW148" s="1655" t="e">
        <f t="shared" si="45"/>
        <v>#REF!</v>
      </c>
    </row>
    <row r="149" spans="43:75" ht="24.95" hidden="1" customHeight="1">
      <c r="AQ149" s="1657" t="str">
        <f t="shared" si="41"/>
        <v/>
      </c>
      <c r="AR149" s="1657" t="str">
        <f t="shared" si="30"/>
        <v/>
      </c>
      <c r="AS149" s="1657"/>
      <c r="AT149" s="1665"/>
      <c r="AU149" s="1645" t="str">
        <f t="shared" si="31"/>
        <v/>
      </c>
      <c r="AV149" s="1666"/>
      <c r="AW149" s="1618" t="e">
        <f>IF(#REF!&gt;0,#REF!,"")</f>
        <v>#REF!</v>
      </c>
      <c r="AX149" s="1618" t="e">
        <f>IF(#REF!&lt;&gt;"",#REF!,"")</f>
        <v>#REF!</v>
      </c>
      <c r="AY149" s="1648" t="str">
        <f t="shared" si="32"/>
        <v/>
      </c>
      <c r="AZ149" s="1667" t="str">
        <f t="shared" si="33"/>
        <v/>
      </c>
      <c r="BA149" s="1668" t="str">
        <f>IF(L32&lt;&gt;"",#REF!,"")</f>
        <v/>
      </c>
      <c r="BB149" s="1669" t="str">
        <f t="shared" si="42"/>
        <v/>
      </c>
      <c r="BC149" s="1668" t="str">
        <f>IF(L32&lt;&gt;"",#REF!,"")</f>
        <v/>
      </c>
      <c r="BD149" s="1669" t="str">
        <f t="shared" si="34"/>
        <v/>
      </c>
      <c r="BE149" s="1653" t="e">
        <f t="shared" si="43"/>
        <v>#REF!</v>
      </c>
      <c r="BF149" s="1741"/>
      <c r="BI149" s="1658" t="str">
        <f t="shared" si="44"/>
        <v/>
      </c>
      <c r="BJ149" s="1659" t="str">
        <f t="shared" si="35"/>
        <v/>
      </c>
      <c r="BK149" s="1659"/>
      <c r="BL149" s="1659"/>
      <c r="BM149" s="1645" t="str">
        <f t="shared" si="36"/>
        <v/>
      </c>
      <c r="BN149" s="1620"/>
      <c r="BO149" s="1658" t="e">
        <f>IF(#REF!&gt;0,#REF!,"")</f>
        <v>#REF!</v>
      </c>
      <c r="BP149" s="1658" t="e">
        <f>IF(#REF!&lt;&gt;"",#REF!,"")</f>
        <v>#REF!</v>
      </c>
      <c r="BQ149" s="1648" t="str">
        <f t="shared" si="37"/>
        <v/>
      </c>
      <c r="BR149" s="1660" t="str">
        <f t="shared" si="38"/>
        <v/>
      </c>
      <c r="BS149" s="1662" t="str">
        <f>IF(L32&lt;&gt;"",#REF!,"")</f>
        <v/>
      </c>
      <c r="BT149" s="1663" t="str">
        <f t="shared" si="39"/>
        <v/>
      </c>
      <c r="BU149" s="1663" t="str">
        <f>IF(L32&lt;&gt;"",#REF!,"")</f>
        <v/>
      </c>
      <c r="BV149" s="1664" t="str">
        <f t="shared" si="40"/>
        <v/>
      </c>
      <c r="BW149" s="1655" t="e">
        <f t="shared" si="45"/>
        <v>#REF!</v>
      </c>
    </row>
    <row r="150" spans="43:75" ht="24.95" hidden="1" customHeight="1">
      <c r="AQ150" s="1657" t="str">
        <f t="shared" si="41"/>
        <v/>
      </c>
      <c r="AR150" s="1657" t="str">
        <f t="shared" si="30"/>
        <v/>
      </c>
      <c r="AS150" s="1657"/>
      <c r="AT150" s="1665"/>
      <c r="AU150" s="1645" t="str">
        <f t="shared" si="31"/>
        <v/>
      </c>
      <c r="AV150" s="1666"/>
      <c r="AW150" s="1618" t="e">
        <f>IF(#REF!&gt;0,#REF!,"")</f>
        <v>#REF!</v>
      </c>
      <c r="AX150" s="1618" t="e">
        <f>IF(#REF!&lt;&gt;"",#REF!,"")</f>
        <v>#REF!</v>
      </c>
      <c r="AY150" s="1648" t="str">
        <f t="shared" si="32"/>
        <v/>
      </c>
      <c r="AZ150" s="1667" t="str">
        <f t="shared" si="33"/>
        <v/>
      </c>
      <c r="BA150" s="1668" t="str">
        <f>IF(L33&lt;&gt;"",#REF!,"")</f>
        <v/>
      </c>
      <c r="BB150" s="1669" t="str">
        <f t="shared" si="42"/>
        <v/>
      </c>
      <c r="BC150" s="1668" t="str">
        <f>IF(L33&lt;&gt;"",#REF!,"")</f>
        <v/>
      </c>
      <c r="BD150" s="1669" t="str">
        <f t="shared" si="34"/>
        <v/>
      </c>
      <c r="BE150" s="1653" t="e">
        <f t="shared" si="43"/>
        <v>#REF!</v>
      </c>
      <c r="BF150" s="1741"/>
      <c r="BI150" s="1658" t="str">
        <f t="shared" si="44"/>
        <v/>
      </c>
      <c r="BJ150" s="1659" t="str">
        <f t="shared" si="35"/>
        <v/>
      </c>
      <c r="BK150" s="1659"/>
      <c r="BL150" s="1659"/>
      <c r="BM150" s="1645" t="str">
        <f t="shared" si="36"/>
        <v/>
      </c>
      <c r="BN150" s="1620"/>
      <c r="BO150" s="1658" t="e">
        <f>IF(#REF!&gt;0,#REF!,"")</f>
        <v>#REF!</v>
      </c>
      <c r="BP150" s="1658" t="e">
        <f>IF(#REF!&lt;&gt;"",#REF!,"")</f>
        <v>#REF!</v>
      </c>
      <c r="BQ150" s="1648" t="str">
        <f t="shared" si="37"/>
        <v/>
      </c>
      <c r="BR150" s="1660" t="str">
        <f t="shared" si="38"/>
        <v/>
      </c>
      <c r="BS150" s="1662" t="str">
        <f>IF(L33&lt;&gt;"",#REF!,"")</f>
        <v/>
      </c>
      <c r="BT150" s="1663" t="str">
        <f t="shared" si="39"/>
        <v/>
      </c>
      <c r="BU150" s="1663" t="str">
        <f>IF(L33&lt;&gt;"",#REF!,"")</f>
        <v/>
      </c>
      <c r="BV150" s="1664" t="str">
        <f t="shared" si="40"/>
        <v/>
      </c>
      <c r="BW150" s="1655" t="e">
        <f t="shared" si="45"/>
        <v>#REF!</v>
      </c>
    </row>
    <row r="151" spans="43:75" ht="24.95" hidden="1" customHeight="1">
      <c r="AQ151" s="1657" t="str">
        <f t="shared" si="41"/>
        <v/>
      </c>
      <c r="AR151" s="1657" t="str">
        <f t="shared" si="30"/>
        <v/>
      </c>
      <c r="AS151" s="1657"/>
      <c r="AT151" s="1665"/>
      <c r="AU151" s="1645" t="str">
        <f t="shared" si="31"/>
        <v/>
      </c>
      <c r="AV151" s="1666"/>
      <c r="AW151" s="1618" t="e">
        <f>IF(#REF!&gt;0,#REF!,"")</f>
        <v>#REF!</v>
      </c>
      <c r="AX151" s="1618" t="e">
        <f>IF(#REF!&lt;&gt;"",#REF!,"")</f>
        <v>#REF!</v>
      </c>
      <c r="AY151" s="1648" t="str">
        <f t="shared" si="32"/>
        <v/>
      </c>
      <c r="AZ151" s="1667" t="str">
        <f t="shared" si="33"/>
        <v/>
      </c>
      <c r="BA151" s="1668" t="str">
        <f>IF(L34&lt;&gt;"",#REF!,"")</f>
        <v/>
      </c>
      <c r="BB151" s="1669" t="str">
        <f t="shared" si="42"/>
        <v/>
      </c>
      <c r="BC151" s="1668" t="str">
        <f>IF(L34&lt;&gt;"",#REF!,"")</f>
        <v/>
      </c>
      <c r="BD151" s="1669" t="str">
        <f t="shared" si="34"/>
        <v/>
      </c>
      <c r="BE151" s="1653" t="e">
        <f t="shared" si="43"/>
        <v>#REF!</v>
      </c>
      <c r="BF151" s="1741"/>
      <c r="BI151" s="1658" t="str">
        <f t="shared" si="44"/>
        <v/>
      </c>
      <c r="BJ151" s="1659" t="str">
        <f t="shared" si="35"/>
        <v/>
      </c>
      <c r="BK151" s="1659"/>
      <c r="BL151" s="1659"/>
      <c r="BM151" s="1645" t="str">
        <f t="shared" si="36"/>
        <v/>
      </c>
      <c r="BN151" s="1620"/>
      <c r="BO151" s="1658" t="e">
        <f>IF(#REF!&gt;0,#REF!,"")</f>
        <v>#REF!</v>
      </c>
      <c r="BP151" s="1658" t="e">
        <f>IF(#REF!&lt;&gt;"",#REF!,"")</f>
        <v>#REF!</v>
      </c>
      <c r="BQ151" s="1648" t="str">
        <f t="shared" si="37"/>
        <v/>
      </c>
      <c r="BR151" s="1660" t="str">
        <f t="shared" si="38"/>
        <v/>
      </c>
      <c r="BS151" s="1662" t="str">
        <f>IF(L34&lt;&gt;"",#REF!,"")</f>
        <v/>
      </c>
      <c r="BT151" s="1663" t="str">
        <f t="shared" si="39"/>
        <v/>
      </c>
      <c r="BU151" s="1663" t="str">
        <f>IF(L34&lt;&gt;"",#REF!,"")</f>
        <v/>
      </c>
      <c r="BV151" s="1664" t="str">
        <f t="shared" si="40"/>
        <v/>
      </c>
      <c r="BW151" s="1655" t="e">
        <f t="shared" si="45"/>
        <v>#REF!</v>
      </c>
    </row>
    <row r="152" spans="43:75" ht="24.95" hidden="1" customHeight="1">
      <c r="AQ152" s="1657" t="str">
        <f t="shared" si="41"/>
        <v/>
      </c>
      <c r="AR152" s="1657" t="str">
        <f t="shared" si="30"/>
        <v/>
      </c>
      <c r="AS152" s="1657"/>
      <c r="AT152" s="1665"/>
      <c r="AU152" s="1645" t="str">
        <f t="shared" si="31"/>
        <v/>
      </c>
      <c r="AV152" s="1666"/>
      <c r="AW152" s="1618" t="e">
        <f>IF(#REF!&gt;0,#REF!,"")</f>
        <v>#REF!</v>
      </c>
      <c r="AX152" s="1618" t="e">
        <f>IF(#REF!&lt;&gt;"",#REF!,"")</f>
        <v>#REF!</v>
      </c>
      <c r="AY152" s="1648" t="str">
        <f t="shared" si="32"/>
        <v/>
      </c>
      <c r="AZ152" s="1667" t="str">
        <f t="shared" si="33"/>
        <v/>
      </c>
      <c r="BA152" s="1668" t="str">
        <f>IF(L35&lt;&gt;"",#REF!,"")</f>
        <v/>
      </c>
      <c r="BB152" s="1669" t="str">
        <f t="shared" si="42"/>
        <v/>
      </c>
      <c r="BC152" s="1668" t="str">
        <f>IF(L35&lt;&gt;"",#REF!,"")</f>
        <v/>
      </c>
      <c r="BD152" s="1669" t="str">
        <f t="shared" si="34"/>
        <v/>
      </c>
      <c r="BE152" s="1653" t="e">
        <f t="shared" si="43"/>
        <v>#REF!</v>
      </c>
      <c r="BF152" s="1741"/>
      <c r="BI152" s="1658" t="str">
        <f t="shared" si="44"/>
        <v/>
      </c>
      <c r="BJ152" s="1659" t="str">
        <f t="shared" si="35"/>
        <v/>
      </c>
      <c r="BK152" s="1659"/>
      <c r="BL152" s="1659"/>
      <c r="BM152" s="1645" t="str">
        <f t="shared" si="36"/>
        <v/>
      </c>
      <c r="BN152" s="1620"/>
      <c r="BO152" s="1658" t="e">
        <f>IF(#REF!&gt;0,#REF!,"")</f>
        <v>#REF!</v>
      </c>
      <c r="BP152" s="1658" t="e">
        <f>IF(#REF!&lt;&gt;"",#REF!,"")</f>
        <v>#REF!</v>
      </c>
      <c r="BQ152" s="1648" t="str">
        <f t="shared" si="37"/>
        <v/>
      </c>
      <c r="BR152" s="1660" t="str">
        <f t="shared" si="38"/>
        <v/>
      </c>
      <c r="BS152" s="1662" t="str">
        <f>IF(L35&lt;&gt;"",#REF!,"")</f>
        <v/>
      </c>
      <c r="BT152" s="1663" t="str">
        <f t="shared" si="39"/>
        <v/>
      </c>
      <c r="BU152" s="1663" t="str">
        <f>IF(L35&lt;&gt;"",#REF!,"")</f>
        <v/>
      </c>
      <c r="BV152" s="1664" t="str">
        <f t="shared" si="40"/>
        <v/>
      </c>
      <c r="BW152" s="1655" t="e">
        <f t="shared" si="45"/>
        <v>#REF!</v>
      </c>
    </row>
    <row r="153" spans="43:75" ht="24.95" hidden="1" customHeight="1">
      <c r="AQ153" s="1657" t="str">
        <f t="shared" si="41"/>
        <v/>
      </c>
      <c r="AR153" s="1657" t="str">
        <f t="shared" si="30"/>
        <v/>
      </c>
      <c r="AS153" s="1657"/>
      <c r="AT153" s="1665"/>
      <c r="AU153" s="1645" t="str">
        <f t="shared" si="31"/>
        <v/>
      </c>
      <c r="AV153" s="1666"/>
      <c r="AW153" s="1618" t="e">
        <f>IF(#REF!&gt;0,#REF!,"")</f>
        <v>#REF!</v>
      </c>
      <c r="AX153" s="1618" t="e">
        <f>IF(#REF!&lt;&gt;"",#REF!,"")</f>
        <v>#REF!</v>
      </c>
      <c r="AY153" s="1648" t="str">
        <f t="shared" si="32"/>
        <v/>
      </c>
      <c r="AZ153" s="1667" t="str">
        <f t="shared" si="33"/>
        <v/>
      </c>
      <c r="BA153" s="1668" t="str">
        <f>IF(L36&lt;&gt;"",#REF!,"")</f>
        <v/>
      </c>
      <c r="BB153" s="1669" t="str">
        <f t="shared" si="42"/>
        <v/>
      </c>
      <c r="BC153" s="1668" t="str">
        <f>IF(L36&lt;&gt;"",#REF!,"")</f>
        <v/>
      </c>
      <c r="BD153" s="1669" t="str">
        <f t="shared" si="34"/>
        <v/>
      </c>
      <c r="BE153" s="1653" t="e">
        <f t="shared" si="43"/>
        <v>#REF!</v>
      </c>
      <c r="BF153" s="1741"/>
      <c r="BI153" s="1658" t="str">
        <f t="shared" si="44"/>
        <v/>
      </c>
      <c r="BJ153" s="1659" t="str">
        <f t="shared" si="35"/>
        <v/>
      </c>
      <c r="BK153" s="1659"/>
      <c r="BL153" s="1659"/>
      <c r="BM153" s="1645" t="str">
        <f t="shared" si="36"/>
        <v/>
      </c>
      <c r="BN153" s="1620"/>
      <c r="BO153" s="1658" t="e">
        <f>IF(#REF!&gt;0,#REF!,"")</f>
        <v>#REF!</v>
      </c>
      <c r="BP153" s="1658" t="e">
        <f>IF(#REF!&lt;&gt;"",#REF!,"")</f>
        <v>#REF!</v>
      </c>
      <c r="BQ153" s="1648" t="str">
        <f t="shared" si="37"/>
        <v/>
      </c>
      <c r="BR153" s="1660" t="str">
        <f t="shared" si="38"/>
        <v/>
      </c>
      <c r="BS153" s="1662" t="str">
        <f>IF(L36&lt;&gt;"",#REF!,"")</f>
        <v/>
      </c>
      <c r="BT153" s="1663" t="str">
        <f t="shared" si="39"/>
        <v/>
      </c>
      <c r="BU153" s="1663" t="str">
        <f>IF(L36&lt;&gt;"",#REF!,"")</f>
        <v/>
      </c>
      <c r="BV153" s="1664" t="str">
        <f t="shared" si="40"/>
        <v/>
      </c>
      <c r="BW153" s="1655" t="e">
        <f t="shared" si="45"/>
        <v>#REF!</v>
      </c>
    </row>
    <row r="154" spans="43:75" ht="24.95" hidden="1" customHeight="1">
      <c r="AQ154" s="1657" t="str">
        <f t="shared" si="41"/>
        <v/>
      </c>
      <c r="AR154" s="1657" t="str">
        <f t="shared" si="30"/>
        <v/>
      </c>
      <c r="AS154" s="1657"/>
      <c r="AT154" s="1665"/>
      <c r="AU154" s="1645" t="str">
        <f t="shared" si="31"/>
        <v/>
      </c>
      <c r="AV154" s="1666"/>
      <c r="AW154" s="1618" t="e">
        <f>IF(#REF!&gt;0,#REF!,"")</f>
        <v>#REF!</v>
      </c>
      <c r="AX154" s="1618" t="e">
        <f>IF(#REF!&lt;&gt;"",#REF!,"")</f>
        <v>#REF!</v>
      </c>
      <c r="AY154" s="1648" t="str">
        <f t="shared" si="32"/>
        <v/>
      </c>
      <c r="AZ154" s="1667" t="str">
        <f t="shared" si="33"/>
        <v/>
      </c>
      <c r="BA154" s="1668" t="str">
        <f>IF(L37&lt;&gt;"",#REF!,"")</f>
        <v/>
      </c>
      <c r="BB154" s="1669" t="str">
        <f t="shared" si="42"/>
        <v/>
      </c>
      <c r="BC154" s="1668" t="str">
        <f>IF(L37&lt;&gt;"",#REF!,"")</f>
        <v/>
      </c>
      <c r="BD154" s="1669" t="str">
        <f t="shared" si="34"/>
        <v/>
      </c>
      <c r="BE154" s="1653" t="e">
        <f t="shared" si="43"/>
        <v>#REF!</v>
      </c>
      <c r="BF154" s="1741"/>
      <c r="BI154" s="1658" t="str">
        <f t="shared" si="44"/>
        <v/>
      </c>
      <c r="BJ154" s="1659" t="str">
        <f t="shared" si="35"/>
        <v/>
      </c>
      <c r="BK154" s="1659"/>
      <c r="BL154" s="1659"/>
      <c r="BM154" s="1645" t="str">
        <f t="shared" si="36"/>
        <v/>
      </c>
      <c r="BN154" s="1620"/>
      <c r="BO154" s="1658" t="e">
        <f>IF(#REF!&gt;0,#REF!,"")</f>
        <v>#REF!</v>
      </c>
      <c r="BP154" s="1658" t="e">
        <f>IF(#REF!&lt;&gt;"",#REF!,"")</f>
        <v>#REF!</v>
      </c>
      <c r="BQ154" s="1648" t="str">
        <f t="shared" si="37"/>
        <v/>
      </c>
      <c r="BR154" s="1660" t="str">
        <f t="shared" si="38"/>
        <v/>
      </c>
      <c r="BS154" s="1662" t="str">
        <f>IF(L37&lt;&gt;"",#REF!,"")</f>
        <v/>
      </c>
      <c r="BT154" s="1663" t="str">
        <f t="shared" si="39"/>
        <v/>
      </c>
      <c r="BU154" s="1663" t="str">
        <f>IF(L37&lt;&gt;"",#REF!,"")</f>
        <v/>
      </c>
      <c r="BV154" s="1664" t="str">
        <f t="shared" si="40"/>
        <v/>
      </c>
      <c r="BW154" s="1655" t="e">
        <f t="shared" si="45"/>
        <v>#REF!</v>
      </c>
    </row>
    <row r="155" spans="43:75" ht="24.95" hidden="1" customHeight="1">
      <c r="AQ155" s="1657" t="str">
        <f t="shared" si="41"/>
        <v/>
      </c>
      <c r="AR155" s="1657" t="str">
        <f t="shared" si="30"/>
        <v/>
      </c>
      <c r="AS155" s="1657"/>
      <c r="AT155" s="1665"/>
      <c r="AU155" s="1645" t="str">
        <f t="shared" si="31"/>
        <v/>
      </c>
      <c r="AV155" s="1666"/>
      <c r="AW155" s="1618" t="e">
        <f>IF(#REF!&gt;0,#REF!,"")</f>
        <v>#REF!</v>
      </c>
      <c r="AX155" s="1618" t="e">
        <f>IF(#REF!&lt;&gt;"",#REF!,"")</f>
        <v>#REF!</v>
      </c>
      <c r="AY155" s="1648" t="str">
        <f t="shared" si="32"/>
        <v/>
      </c>
      <c r="AZ155" s="1667" t="str">
        <f t="shared" si="33"/>
        <v/>
      </c>
      <c r="BA155" s="1668" t="str">
        <f>IF(L38&lt;&gt;"",#REF!,"")</f>
        <v/>
      </c>
      <c r="BB155" s="1669" t="str">
        <f t="shared" si="42"/>
        <v/>
      </c>
      <c r="BC155" s="1668" t="str">
        <f>IF(L38&lt;&gt;"",#REF!,"")</f>
        <v/>
      </c>
      <c r="BD155" s="1669" t="str">
        <f t="shared" si="34"/>
        <v/>
      </c>
      <c r="BE155" s="1653" t="e">
        <f t="shared" si="43"/>
        <v>#REF!</v>
      </c>
      <c r="BF155" s="1741"/>
      <c r="BI155" s="1658" t="str">
        <f t="shared" si="44"/>
        <v/>
      </c>
      <c r="BJ155" s="1659" t="str">
        <f t="shared" si="35"/>
        <v/>
      </c>
      <c r="BK155" s="1659"/>
      <c r="BL155" s="1659"/>
      <c r="BM155" s="1645" t="str">
        <f t="shared" si="36"/>
        <v/>
      </c>
      <c r="BN155" s="1620"/>
      <c r="BO155" s="1658" t="e">
        <f>IF(#REF!&gt;0,#REF!,"")</f>
        <v>#REF!</v>
      </c>
      <c r="BP155" s="1658" t="e">
        <f>IF(#REF!&lt;&gt;"",#REF!,"")</f>
        <v>#REF!</v>
      </c>
      <c r="BQ155" s="1648" t="str">
        <f t="shared" si="37"/>
        <v/>
      </c>
      <c r="BR155" s="1660" t="str">
        <f t="shared" si="38"/>
        <v/>
      </c>
      <c r="BS155" s="1662" t="str">
        <f>IF(L38&lt;&gt;"",#REF!,"")</f>
        <v/>
      </c>
      <c r="BT155" s="1663" t="str">
        <f t="shared" si="39"/>
        <v/>
      </c>
      <c r="BU155" s="1663" t="str">
        <f>IF(L38&lt;&gt;"",#REF!,"")</f>
        <v/>
      </c>
      <c r="BV155" s="1664" t="str">
        <f t="shared" si="40"/>
        <v/>
      </c>
      <c r="BW155" s="1655" t="e">
        <f t="shared" si="45"/>
        <v>#REF!</v>
      </c>
    </row>
    <row r="156" spans="43:75" ht="24.95" hidden="1" customHeight="1">
      <c r="AQ156" s="1657" t="str">
        <f t="shared" si="41"/>
        <v/>
      </c>
      <c r="AR156" s="1657" t="str">
        <f t="shared" si="30"/>
        <v/>
      </c>
      <c r="AS156" s="1657"/>
      <c r="AT156" s="1665"/>
      <c r="AU156" s="1645" t="str">
        <f t="shared" si="31"/>
        <v/>
      </c>
      <c r="AV156" s="1666"/>
      <c r="AW156" s="1618" t="e">
        <f>IF(#REF!&gt;0,#REF!,"")</f>
        <v>#REF!</v>
      </c>
      <c r="AX156" s="1618" t="e">
        <f>IF(#REF!&lt;&gt;"",#REF!,"")</f>
        <v>#REF!</v>
      </c>
      <c r="AY156" s="1648" t="str">
        <f t="shared" si="32"/>
        <v/>
      </c>
      <c r="AZ156" s="1667" t="str">
        <f t="shared" si="33"/>
        <v/>
      </c>
      <c r="BA156" s="1668" t="str">
        <f>IF(L39&lt;&gt;"",#REF!,"")</f>
        <v/>
      </c>
      <c r="BB156" s="1669" t="str">
        <f t="shared" si="42"/>
        <v/>
      </c>
      <c r="BC156" s="1668" t="str">
        <f>IF(L39&lt;&gt;"",#REF!,"")</f>
        <v/>
      </c>
      <c r="BD156" s="1669" t="str">
        <f t="shared" si="34"/>
        <v/>
      </c>
      <c r="BE156" s="1653" t="e">
        <f t="shared" si="43"/>
        <v>#REF!</v>
      </c>
      <c r="BF156" s="1741"/>
      <c r="BI156" s="1658" t="str">
        <f t="shared" si="44"/>
        <v/>
      </c>
      <c r="BJ156" s="1659" t="str">
        <f t="shared" si="35"/>
        <v/>
      </c>
      <c r="BK156" s="1659"/>
      <c r="BL156" s="1659"/>
      <c r="BM156" s="1645" t="str">
        <f t="shared" si="36"/>
        <v/>
      </c>
      <c r="BN156" s="1620"/>
      <c r="BO156" s="1658" t="e">
        <f>IF(#REF!&gt;0,#REF!,"")</f>
        <v>#REF!</v>
      </c>
      <c r="BP156" s="1658" t="e">
        <f>IF(#REF!&lt;&gt;"",#REF!,"")</f>
        <v>#REF!</v>
      </c>
      <c r="BQ156" s="1648" t="str">
        <f t="shared" si="37"/>
        <v/>
      </c>
      <c r="BR156" s="1660" t="str">
        <f t="shared" si="38"/>
        <v/>
      </c>
      <c r="BS156" s="1662" t="str">
        <f>IF(L39&lt;&gt;"",#REF!,"")</f>
        <v/>
      </c>
      <c r="BT156" s="1663" t="str">
        <f t="shared" si="39"/>
        <v/>
      </c>
      <c r="BU156" s="1663" t="str">
        <f>IF(L39&lt;&gt;"",#REF!,"")</f>
        <v/>
      </c>
      <c r="BV156" s="1664" t="str">
        <f t="shared" si="40"/>
        <v/>
      </c>
      <c r="BW156" s="1655" t="e">
        <f t="shared" si="45"/>
        <v>#REF!</v>
      </c>
    </row>
    <row r="157" spans="43:75" ht="24.95" hidden="1" customHeight="1">
      <c r="AQ157" s="1657" t="str">
        <f t="shared" si="41"/>
        <v/>
      </c>
      <c r="AR157" s="1657" t="str">
        <f t="shared" ref="AR157:AR188" si="46">IF(K40&lt;&gt;"",K40,"")</f>
        <v/>
      </c>
      <c r="AS157" s="1657"/>
      <c r="AT157" s="1665"/>
      <c r="AU157" s="1645" t="str">
        <f t="shared" ref="AU157:AU188" si="47">IF(L40&lt;&gt;"",MID(L40,7,200),"")</f>
        <v/>
      </c>
      <c r="AV157" s="1666"/>
      <c r="AW157" s="1618" t="e">
        <f>IF(#REF!&gt;0,#REF!,"")</f>
        <v>#REF!</v>
      </c>
      <c r="AX157" s="1618" t="e">
        <f>IF(#REF!&lt;&gt;"",#REF!,"")</f>
        <v>#REF!</v>
      </c>
      <c r="AY157" s="1648" t="str">
        <f t="shared" ref="AY157:AY188" si="48">IF(L40&lt;&gt;"",MID(M40,5,100),"")</f>
        <v/>
      </c>
      <c r="AZ157" s="1667" t="str">
        <f t="shared" si="33"/>
        <v/>
      </c>
      <c r="BA157" s="1668" t="str">
        <f>IF(L40&lt;&gt;"",#REF!,"")</f>
        <v/>
      </c>
      <c r="BB157" s="1669" t="str">
        <f t="shared" si="42"/>
        <v/>
      </c>
      <c r="BC157" s="1668" t="str">
        <f>IF(L40&lt;&gt;"",#REF!,"")</f>
        <v/>
      </c>
      <c r="BD157" s="1669" t="str">
        <f t="shared" si="34"/>
        <v/>
      </c>
      <c r="BE157" s="1653" t="e">
        <f t="shared" si="43"/>
        <v>#REF!</v>
      </c>
      <c r="BI157" s="1658" t="str">
        <f t="shared" si="44"/>
        <v/>
      </c>
      <c r="BJ157" s="1659" t="str">
        <f t="shared" ref="BJ157:BJ188" si="49">IF(L40&lt;&gt;"",K40,"")</f>
        <v/>
      </c>
      <c r="BK157" s="1659"/>
      <c r="BL157" s="1659"/>
      <c r="BM157" s="1645" t="str">
        <f t="shared" ref="BM157:BM188" si="50">IF(L40&lt;&gt;"",MID(L40,7,200),"")</f>
        <v/>
      </c>
      <c r="BN157" s="1620"/>
      <c r="BO157" s="1658" t="e">
        <f>IF(#REF!&gt;0,#REF!,"")</f>
        <v>#REF!</v>
      </c>
      <c r="BP157" s="1658" t="e">
        <f>IF(#REF!&lt;&gt;"",#REF!,"")</f>
        <v>#REF!</v>
      </c>
      <c r="BQ157" s="1648" t="str">
        <f t="shared" ref="BQ157:BQ188" si="51">IF(L40&lt;&gt;"",MID(M40,5,100),"")</f>
        <v/>
      </c>
      <c r="BR157" s="1660" t="str">
        <f t="shared" si="38"/>
        <v/>
      </c>
      <c r="BS157" s="1662" t="str">
        <f>IF(L40&lt;&gt;"",#REF!,"")</f>
        <v/>
      </c>
      <c r="BT157" s="1663" t="str">
        <f t="shared" si="39"/>
        <v/>
      </c>
      <c r="BU157" s="1663" t="str">
        <f>IF(L40&lt;&gt;"",#REF!,"")</f>
        <v/>
      </c>
      <c r="BV157" s="1664" t="str">
        <f t="shared" si="40"/>
        <v/>
      </c>
      <c r="BW157" s="1655" t="e">
        <f t="shared" si="45"/>
        <v>#REF!</v>
      </c>
    </row>
    <row r="158" spans="43:75" ht="24.95" hidden="1" customHeight="1">
      <c r="AQ158" s="1657" t="str">
        <f t="shared" ref="AQ158:AQ189" si="52">IF(L41="","",AQ157+1)</f>
        <v/>
      </c>
      <c r="AR158" s="1657" t="str">
        <f t="shared" si="46"/>
        <v/>
      </c>
      <c r="AS158" s="1657"/>
      <c r="AT158" s="1665"/>
      <c r="AU158" s="1645" t="str">
        <f t="shared" si="47"/>
        <v/>
      </c>
      <c r="AV158" s="1666"/>
      <c r="AW158" s="1618" t="e">
        <f>IF(#REF!&gt;0,#REF!,"")</f>
        <v>#REF!</v>
      </c>
      <c r="AX158" s="1618" t="e">
        <f>IF(#REF!&lt;&gt;"",#REF!,"")</f>
        <v>#REF!</v>
      </c>
      <c r="AY158" s="1648" t="str">
        <f t="shared" si="48"/>
        <v/>
      </c>
      <c r="AZ158" s="1667" t="str">
        <f t="shared" si="33"/>
        <v/>
      </c>
      <c r="BA158" s="1668" t="str">
        <f>IF(L41&lt;&gt;"",#REF!,"")</f>
        <v/>
      </c>
      <c r="BB158" s="1669" t="str">
        <f t="shared" si="42"/>
        <v/>
      </c>
      <c r="BC158" s="1668" t="str">
        <f>IF(L41&lt;&gt;"",#REF!,"")</f>
        <v/>
      </c>
      <c r="BD158" s="1669" t="str">
        <f t="shared" si="34"/>
        <v/>
      </c>
      <c r="BE158" s="1653" t="e">
        <f t="shared" si="43"/>
        <v>#REF!</v>
      </c>
      <c r="BI158" s="1658" t="str">
        <f t="shared" ref="BI158:BI189" si="53">IF(L41="","",BI157+1)</f>
        <v/>
      </c>
      <c r="BJ158" s="1659" t="str">
        <f t="shared" si="49"/>
        <v/>
      </c>
      <c r="BK158" s="1659"/>
      <c r="BL158" s="1659"/>
      <c r="BM158" s="1645" t="str">
        <f t="shared" si="50"/>
        <v/>
      </c>
      <c r="BN158" s="1620"/>
      <c r="BO158" s="1658" t="e">
        <f>IF(#REF!&gt;0,#REF!,"")</f>
        <v>#REF!</v>
      </c>
      <c r="BP158" s="1658" t="e">
        <f>IF(#REF!&lt;&gt;"",#REF!,"")</f>
        <v>#REF!</v>
      </c>
      <c r="BQ158" s="1648" t="str">
        <f t="shared" si="51"/>
        <v/>
      </c>
      <c r="BR158" s="1660" t="str">
        <f t="shared" si="38"/>
        <v/>
      </c>
      <c r="BS158" s="1662" t="str">
        <f>IF(L41&lt;&gt;"",#REF!,"")</f>
        <v/>
      </c>
      <c r="BT158" s="1663" t="str">
        <f t="shared" si="39"/>
        <v/>
      </c>
      <c r="BU158" s="1663" t="str">
        <f>IF(L41&lt;&gt;"",#REF!,"")</f>
        <v/>
      </c>
      <c r="BV158" s="1664" t="str">
        <f t="shared" si="40"/>
        <v/>
      </c>
      <c r="BW158" s="1655" t="e">
        <f t="shared" si="45"/>
        <v>#REF!</v>
      </c>
    </row>
    <row r="159" spans="43:75" ht="24.95" hidden="1" customHeight="1">
      <c r="AQ159" s="1657" t="str">
        <f t="shared" si="52"/>
        <v/>
      </c>
      <c r="AR159" s="1657" t="str">
        <f t="shared" si="46"/>
        <v/>
      </c>
      <c r="AS159" s="1657"/>
      <c r="AT159" s="1665"/>
      <c r="AU159" s="1645" t="str">
        <f t="shared" si="47"/>
        <v/>
      </c>
      <c r="AV159" s="1666"/>
      <c r="AW159" s="1618" t="e">
        <f>IF(#REF!&gt;0,#REF!,"")</f>
        <v>#REF!</v>
      </c>
      <c r="AX159" s="1618" t="e">
        <f>IF(#REF!&lt;&gt;"",#REF!,"")</f>
        <v>#REF!</v>
      </c>
      <c r="AY159" s="1648" t="str">
        <f t="shared" si="48"/>
        <v/>
      </c>
      <c r="AZ159" s="1667" t="str">
        <f t="shared" si="33"/>
        <v/>
      </c>
      <c r="BA159" s="1668" t="str">
        <f>IF(L42&lt;&gt;"",#REF!,"")</f>
        <v/>
      </c>
      <c r="BB159" s="1669" t="str">
        <f t="shared" si="42"/>
        <v/>
      </c>
      <c r="BC159" s="1668" t="str">
        <f>IF(L42&lt;&gt;"",#REF!,"")</f>
        <v/>
      </c>
      <c r="BD159" s="1669" t="str">
        <f t="shared" si="34"/>
        <v/>
      </c>
      <c r="BE159" s="1653" t="e">
        <f t="shared" si="43"/>
        <v>#REF!</v>
      </c>
      <c r="BI159" s="1658" t="str">
        <f t="shared" si="53"/>
        <v/>
      </c>
      <c r="BJ159" s="1659" t="str">
        <f t="shared" si="49"/>
        <v/>
      </c>
      <c r="BK159" s="1659"/>
      <c r="BL159" s="1659"/>
      <c r="BM159" s="1645" t="str">
        <f t="shared" si="50"/>
        <v/>
      </c>
      <c r="BN159" s="1620"/>
      <c r="BO159" s="1658" t="e">
        <f>IF(#REF!&gt;0,#REF!,"")</f>
        <v>#REF!</v>
      </c>
      <c r="BP159" s="1658" t="e">
        <f>IF(#REF!&lt;&gt;"",#REF!,"")</f>
        <v>#REF!</v>
      </c>
      <c r="BQ159" s="1648" t="str">
        <f t="shared" si="51"/>
        <v/>
      </c>
      <c r="BR159" s="1660" t="str">
        <f t="shared" si="38"/>
        <v/>
      </c>
      <c r="BS159" s="1662" t="str">
        <f>IF(L42&lt;&gt;"",#REF!,"")</f>
        <v/>
      </c>
      <c r="BT159" s="1663" t="str">
        <f t="shared" si="39"/>
        <v/>
      </c>
      <c r="BU159" s="1663" t="str">
        <f>IF(L42&lt;&gt;"",#REF!,"")</f>
        <v/>
      </c>
      <c r="BV159" s="1664" t="str">
        <f t="shared" si="40"/>
        <v/>
      </c>
      <c r="BW159" s="1655" t="e">
        <f t="shared" si="45"/>
        <v>#REF!</v>
      </c>
    </row>
    <row r="160" spans="43:75" ht="24.95" hidden="1" customHeight="1">
      <c r="AQ160" s="1657" t="str">
        <f t="shared" si="52"/>
        <v/>
      </c>
      <c r="AR160" s="1657" t="str">
        <f t="shared" si="46"/>
        <v/>
      </c>
      <c r="AS160" s="1657"/>
      <c r="AT160" s="1665"/>
      <c r="AU160" s="1645" t="str">
        <f t="shared" si="47"/>
        <v/>
      </c>
      <c r="AV160" s="1666"/>
      <c r="AW160" s="1618" t="e">
        <f>IF(#REF!&gt;0,#REF!,"")</f>
        <v>#REF!</v>
      </c>
      <c r="AX160" s="1618" t="e">
        <f>IF(#REF!&lt;&gt;"",#REF!,"")</f>
        <v>#REF!</v>
      </c>
      <c r="AY160" s="1648" t="str">
        <f t="shared" si="48"/>
        <v/>
      </c>
      <c r="AZ160" s="1667" t="str">
        <f t="shared" si="33"/>
        <v/>
      </c>
      <c r="BA160" s="1668" t="str">
        <f>IF(L43&lt;&gt;"",#REF!,"")</f>
        <v/>
      </c>
      <c r="BB160" s="1669" t="str">
        <f t="shared" si="42"/>
        <v/>
      </c>
      <c r="BC160" s="1668" t="str">
        <f>IF(L43&lt;&gt;"",#REF!,"")</f>
        <v/>
      </c>
      <c r="BD160" s="1669" t="str">
        <f t="shared" si="34"/>
        <v/>
      </c>
      <c r="BE160" s="1653" t="e">
        <f t="shared" si="43"/>
        <v>#REF!</v>
      </c>
      <c r="BI160" s="1658" t="str">
        <f t="shared" si="53"/>
        <v/>
      </c>
      <c r="BJ160" s="1659" t="str">
        <f t="shared" si="49"/>
        <v/>
      </c>
      <c r="BK160" s="1659"/>
      <c r="BL160" s="1659"/>
      <c r="BM160" s="1645" t="str">
        <f t="shared" si="50"/>
        <v/>
      </c>
      <c r="BN160" s="1620"/>
      <c r="BO160" s="1658" t="e">
        <f>IF(#REF!&gt;0,#REF!,"")</f>
        <v>#REF!</v>
      </c>
      <c r="BP160" s="1658" t="e">
        <f>IF(#REF!&lt;&gt;"",#REF!,"")</f>
        <v>#REF!</v>
      </c>
      <c r="BQ160" s="1648" t="str">
        <f t="shared" si="51"/>
        <v/>
      </c>
      <c r="BR160" s="1660" t="str">
        <f t="shared" si="38"/>
        <v/>
      </c>
      <c r="BS160" s="1662" t="str">
        <f>IF(L43&lt;&gt;"",#REF!,"")</f>
        <v/>
      </c>
      <c r="BT160" s="1663" t="str">
        <f t="shared" si="39"/>
        <v/>
      </c>
      <c r="BU160" s="1663" t="str">
        <f>IF(L43&lt;&gt;"",#REF!,"")</f>
        <v/>
      </c>
      <c r="BV160" s="1664" t="str">
        <f t="shared" si="40"/>
        <v/>
      </c>
      <c r="BW160" s="1655" t="e">
        <f t="shared" si="45"/>
        <v>#REF!</v>
      </c>
    </row>
    <row r="161" spans="43:75" ht="24.95" hidden="1" customHeight="1">
      <c r="AQ161" s="1657" t="str">
        <f t="shared" si="52"/>
        <v/>
      </c>
      <c r="AR161" s="1657" t="str">
        <f t="shared" si="46"/>
        <v/>
      </c>
      <c r="AS161" s="1657"/>
      <c r="AT161" s="1665"/>
      <c r="AU161" s="1645" t="str">
        <f t="shared" si="47"/>
        <v/>
      </c>
      <c r="AV161" s="1666"/>
      <c r="AW161" s="1618" t="e">
        <f>IF(#REF!&gt;0,#REF!,"")</f>
        <v>#REF!</v>
      </c>
      <c r="AX161" s="1618" t="e">
        <f>IF(#REF!&lt;&gt;"",#REF!,"")</f>
        <v>#REF!</v>
      </c>
      <c r="AY161" s="1648" t="str">
        <f t="shared" si="48"/>
        <v/>
      </c>
      <c r="AZ161" s="1667" t="str">
        <f t="shared" si="33"/>
        <v/>
      </c>
      <c r="BA161" s="1668" t="str">
        <f>IF(L44&lt;&gt;"",#REF!,"")</f>
        <v/>
      </c>
      <c r="BB161" s="1669" t="str">
        <f t="shared" si="42"/>
        <v/>
      </c>
      <c r="BC161" s="1668" t="str">
        <f>IF(L44&lt;&gt;"",#REF!,"")</f>
        <v/>
      </c>
      <c r="BD161" s="1669" t="str">
        <f t="shared" si="34"/>
        <v/>
      </c>
      <c r="BE161" s="1653" t="e">
        <f t="shared" si="43"/>
        <v>#REF!</v>
      </c>
      <c r="BI161" s="1658" t="str">
        <f t="shared" si="53"/>
        <v/>
      </c>
      <c r="BJ161" s="1659" t="str">
        <f t="shared" si="49"/>
        <v/>
      </c>
      <c r="BK161" s="1659"/>
      <c r="BL161" s="1659"/>
      <c r="BM161" s="1645" t="str">
        <f t="shared" si="50"/>
        <v/>
      </c>
      <c r="BN161" s="1620"/>
      <c r="BO161" s="1658" t="e">
        <f>IF(#REF!&gt;0,#REF!,"")</f>
        <v>#REF!</v>
      </c>
      <c r="BP161" s="1658" t="e">
        <f>IF(#REF!&lt;&gt;"",#REF!,"")</f>
        <v>#REF!</v>
      </c>
      <c r="BQ161" s="1648" t="str">
        <f t="shared" si="51"/>
        <v/>
      </c>
      <c r="BR161" s="1660" t="str">
        <f t="shared" si="38"/>
        <v/>
      </c>
      <c r="BS161" s="1662" t="str">
        <f>IF(L44&lt;&gt;"",#REF!,"")</f>
        <v/>
      </c>
      <c r="BT161" s="1663" t="str">
        <f t="shared" si="39"/>
        <v/>
      </c>
      <c r="BU161" s="1663" t="str">
        <f>IF(L44&lt;&gt;"",#REF!,"")</f>
        <v/>
      </c>
      <c r="BV161" s="1664" t="str">
        <f t="shared" si="40"/>
        <v/>
      </c>
      <c r="BW161" s="1655" t="e">
        <f t="shared" si="45"/>
        <v>#REF!</v>
      </c>
    </row>
    <row r="162" spans="43:75" ht="24.95" hidden="1" customHeight="1">
      <c r="AQ162" s="1657" t="str">
        <f t="shared" si="52"/>
        <v/>
      </c>
      <c r="AR162" s="1657" t="str">
        <f t="shared" si="46"/>
        <v/>
      </c>
      <c r="AS162" s="1657"/>
      <c r="AT162" s="1665"/>
      <c r="AU162" s="1645" t="str">
        <f t="shared" si="47"/>
        <v/>
      </c>
      <c r="AV162" s="1666"/>
      <c r="AW162" s="1618" t="e">
        <f>IF(#REF!&gt;0,#REF!,"")</f>
        <v>#REF!</v>
      </c>
      <c r="AX162" s="1618" t="e">
        <f>IF(#REF!&lt;&gt;"",#REF!,"")</f>
        <v>#REF!</v>
      </c>
      <c r="AY162" s="1648" t="str">
        <f t="shared" si="48"/>
        <v/>
      </c>
      <c r="AZ162" s="1667" t="str">
        <f t="shared" si="33"/>
        <v/>
      </c>
      <c r="BA162" s="1668" t="str">
        <f>IF(L45&lt;&gt;"",#REF!,"")</f>
        <v/>
      </c>
      <c r="BB162" s="1669" t="str">
        <f t="shared" si="42"/>
        <v/>
      </c>
      <c r="BC162" s="1668" t="str">
        <f>IF(L45&lt;&gt;"",#REF!,"")</f>
        <v/>
      </c>
      <c r="BD162" s="1669" t="str">
        <f t="shared" si="34"/>
        <v/>
      </c>
      <c r="BE162" s="1653" t="e">
        <f t="shared" si="43"/>
        <v>#REF!</v>
      </c>
      <c r="BI162" s="1658" t="str">
        <f t="shared" si="53"/>
        <v/>
      </c>
      <c r="BJ162" s="1659" t="str">
        <f t="shared" si="49"/>
        <v/>
      </c>
      <c r="BK162" s="1659"/>
      <c r="BL162" s="1659"/>
      <c r="BM162" s="1645" t="str">
        <f t="shared" si="50"/>
        <v/>
      </c>
      <c r="BN162" s="1620"/>
      <c r="BO162" s="1658" t="e">
        <f>IF(#REF!&gt;0,#REF!,"")</f>
        <v>#REF!</v>
      </c>
      <c r="BP162" s="1658" t="e">
        <f>IF(#REF!&lt;&gt;"",#REF!,"")</f>
        <v>#REF!</v>
      </c>
      <c r="BQ162" s="1648" t="str">
        <f t="shared" si="51"/>
        <v/>
      </c>
      <c r="BR162" s="1660" t="str">
        <f t="shared" si="38"/>
        <v/>
      </c>
      <c r="BS162" s="1662" t="str">
        <f>IF(L45&lt;&gt;"",#REF!,"")</f>
        <v/>
      </c>
      <c r="BT162" s="1663" t="str">
        <f t="shared" si="39"/>
        <v/>
      </c>
      <c r="BU162" s="1663" t="str">
        <f>IF(L45&lt;&gt;"",#REF!,"")</f>
        <v/>
      </c>
      <c r="BV162" s="1664" t="str">
        <f t="shared" si="40"/>
        <v/>
      </c>
      <c r="BW162" s="1655" t="e">
        <f t="shared" si="45"/>
        <v>#REF!</v>
      </c>
    </row>
    <row r="163" spans="43:75" ht="24.95" hidden="1" customHeight="1">
      <c r="AQ163" s="1657" t="str">
        <f t="shared" si="52"/>
        <v/>
      </c>
      <c r="AR163" s="1657" t="str">
        <f t="shared" si="46"/>
        <v/>
      </c>
      <c r="AS163" s="1657"/>
      <c r="AT163" s="1665"/>
      <c r="AU163" s="1645" t="str">
        <f t="shared" si="47"/>
        <v/>
      </c>
      <c r="AV163" s="1666"/>
      <c r="AW163" s="1618" t="e">
        <f>IF(#REF!&gt;0,#REF!,"")</f>
        <v>#REF!</v>
      </c>
      <c r="AX163" s="1618" t="e">
        <f>IF(#REF!&lt;&gt;"",#REF!,"")</f>
        <v>#REF!</v>
      </c>
      <c r="AY163" s="1648" t="str">
        <f t="shared" si="48"/>
        <v/>
      </c>
      <c r="AZ163" s="1667" t="str">
        <f t="shared" si="33"/>
        <v/>
      </c>
      <c r="BA163" s="1668" t="str">
        <f>IF(L46&lt;&gt;"",#REF!,"")</f>
        <v/>
      </c>
      <c r="BB163" s="1669" t="str">
        <f t="shared" si="42"/>
        <v/>
      </c>
      <c r="BC163" s="1668" t="str">
        <f>IF(L46&lt;&gt;"",#REF!,"")</f>
        <v/>
      </c>
      <c r="BD163" s="1669" t="str">
        <f t="shared" si="34"/>
        <v/>
      </c>
      <c r="BE163" s="1653" t="e">
        <f t="shared" si="43"/>
        <v>#REF!</v>
      </c>
      <c r="BI163" s="1658" t="str">
        <f t="shared" si="53"/>
        <v/>
      </c>
      <c r="BJ163" s="1659" t="str">
        <f t="shared" si="49"/>
        <v/>
      </c>
      <c r="BK163" s="1659"/>
      <c r="BL163" s="1659"/>
      <c r="BM163" s="1645" t="str">
        <f t="shared" si="50"/>
        <v/>
      </c>
      <c r="BN163" s="1620"/>
      <c r="BO163" s="1658" t="e">
        <f>IF(#REF!&gt;0,#REF!,"")</f>
        <v>#REF!</v>
      </c>
      <c r="BP163" s="1658" t="e">
        <f>IF(#REF!&lt;&gt;"",#REF!,"")</f>
        <v>#REF!</v>
      </c>
      <c r="BQ163" s="1648" t="str">
        <f t="shared" si="51"/>
        <v/>
      </c>
      <c r="BR163" s="1660" t="str">
        <f t="shared" si="38"/>
        <v/>
      </c>
      <c r="BS163" s="1662" t="str">
        <f>IF(L46&lt;&gt;"",#REF!,"")</f>
        <v/>
      </c>
      <c r="BT163" s="1663" t="str">
        <f t="shared" si="39"/>
        <v/>
      </c>
      <c r="BU163" s="1663" t="str">
        <f>IF(L46&lt;&gt;"",#REF!,"")</f>
        <v/>
      </c>
      <c r="BV163" s="1664" t="str">
        <f t="shared" si="40"/>
        <v/>
      </c>
      <c r="BW163" s="1655" t="e">
        <f t="shared" si="45"/>
        <v>#REF!</v>
      </c>
    </row>
    <row r="164" spans="43:75" ht="24.95" hidden="1" customHeight="1">
      <c r="AQ164" s="1657" t="str">
        <f t="shared" si="52"/>
        <v/>
      </c>
      <c r="AR164" s="1657" t="str">
        <f t="shared" si="46"/>
        <v/>
      </c>
      <c r="AS164" s="1657"/>
      <c r="AT164" s="1665"/>
      <c r="AU164" s="1645" t="str">
        <f t="shared" si="47"/>
        <v/>
      </c>
      <c r="AV164" s="1666"/>
      <c r="AW164" s="1618" t="e">
        <f>IF(#REF!&gt;0,#REF!,"")</f>
        <v>#REF!</v>
      </c>
      <c r="AX164" s="1618" t="e">
        <f>IF(#REF!&lt;&gt;"",#REF!,"")</f>
        <v>#REF!</v>
      </c>
      <c r="AY164" s="1648" t="str">
        <f t="shared" si="48"/>
        <v/>
      </c>
      <c r="AZ164" s="1667" t="str">
        <f t="shared" si="33"/>
        <v/>
      </c>
      <c r="BA164" s="1668" t="str">
        <f>IF(L47&lt;&gt;"",#REF!,"")</f>
        <v/>
      </c>
      <c r="BB164" s="1669" t="str">
        <f t="shared" si="42"/>
        <v/>
      </c>
      <c r="BC164" s="1668" t="str">
        <f>IF(L47&lt;&gt;"",#REF!,"")</f>
        <v/>
      </c>
      <c r="BD164" s="1669" t="str">
        <f t="shared" si="34"/>
        <v/>
      </c>
      <c r="BE164" s="1653" t="e">
        <f t="shared" si="43"/>
        <v>#REF!</v>
      </c>
      <c r="BI164" s="1658" t="str">
        <f t="shared" si="53"/>
        <v/>
      </c>
      <c r="BJ164" s="1659" t="str">
        <f t="shared" si="49"/>
        <v/>
      </c>
      <c r="BK164" s="1659"/>
      <c r="BL164" s="1659"/>
      <c r="BM164" s="1645" t="str">
        <f t="shared" si="50"/>
        <v/>
      </c>
      <c r="BN164" s="1620"/>
      <c r="BO164" s="1658" t="e">
        <f>IF(#REF!&gt;0,#REF!,"")</f>
        <v>#REF!</v>
      </c>
      <c r="BP164" s="1658" t="e">
        <f>IF(#REF!&lt;&gt;"",#REF!,"")</f>
        <v>#REF!</v>
      </c>
      <c r="BQ164" s="1648" t="str">
        <f t="shared" si="51"/>
        <v/>
      </c>
      <c r="BR164" s="1660" t="str">
        <f t="shared" si="38"/>
        <v/>
      </c>
      <c r="BS164" s="1662" t="str">
        <f>IF(L47&lt;&gt;"",#REF!,"")</f>
        <v/>
      </c>
      <c r="BT164" s="1663" t="str">
        <f t="shared" si="39"/>
        <v/>
      </c>
      <c r="BU164" s="1663" t="str">
        <f>IF(L47&lt;&gt;"",#REF!,"")</f>
        <v/>
      </c>
      <c r="BV164" s="1664" t="str">
        <f t="shared" si="40"/>
        <v/>
      </c>
      <c r="BW164" s="1655" t="e">
        <f t="shared" si="45"/>
        <v>#REF!</v>
      </c>
    </row>
    <row r="165" spans="43:75" ht="24.95" hidden="1" customHeight="1">
      <c r="AQ165" s="1657" t="str">
        <f t="shared" si="52"/>
        <v/>
      </c>
      <c r="AR165" s="1657" t="str">
        <f t="shared" si="46"/>
        <v/>
      </c>
      <c r="AS165" s="1657"/>
      <c r="AT165" s="1665"/>
      <c r="AU165" s="1645" t="str">
        <f t="shared" si="47"/>
        <v/>
      </c>
      <c r="AV165" s="1666"/>
      <c r="AW165" s="1618" t="e">
        <f>IF(#REF!&gt;0,#REF!,"")</f>
        <v>#REF!</v>
      </c>
      <c r="AX165" s="1618" t="e">
        <f>IF(#REF!&lt;&gt;"",#REF!,"")</f>
        <v>#REF!</v>
      </c>
      <c r="AY165" s="1648" t="str">
        <f t="shared" si="48"/>
        <v/>
      </c>
      <c r="AZ165" s="1667" t="str">
        <f t="shared" si="33"/>
        <v/>
      </c>
      <c r="BA165" s="1668" t="str">
        <f>IF(L48&lt;&gt;"",#REF!,"")</f>
        <v/>
      </c>
      <c r="BB165" s="1669" t="str">
        <f t="shared" si="42"/>
        <v/>
      </c>
      <c r="BC165" s="1668" t="str">
        <f>IF(L48&lt;&gt;"",#REF!,"")</f>
        <v/>
      </c>
      <c r="BD165" s="1669" t="str">
        <f t="shared" si="34"/>
        <v/>
      </c>
      <c r="BE165" s="1653" t="e">
        <f t="shared" si="43"/>
        <v>#REF!</v>
      </c>
      <c r="BI165" s="1658" t="str">
        <f t="shared" si="53"/>
        <v/>
      </c>
      <c r="BJ165" s="1659" t="str">
        <f t="shared" si="49"/>
        <v/>
      </c>
      <c r="BK165" s="1659"/>
      <c r="BL165" s="1659"/>
      <c r="BM165" s="1645" t="str">
        <f t="shared" si="50"/>
        <v/>
      </c>
      <c r="BN165" s="1620"/>
      <c r="BO165" s="1658" t="e">
        <f>IF(#REF!&gt;0,#REF!,"")</f>
        <v>#REF!</v>
      </c>
      <c r="BP165" s="1658" t="e">
        <f>IF(#REF!&lt;&gt;"",#REF!,"")</f>
        <v>#REF!</v>
      </c>
      <c r="BQ165" s="1648" t="str">
        <f t="shared" si="51"/>
        <v/>
      </c>
      <c r="BR165" s="1660" t="str">
        <f t="shared" si="38"/>
        <v/>
      </c>
      <c r="BS165" s="1662" t="str">
        <f>IF(L48&lt;&gt;"",#REF!,"")</f>
        <v/>
      </c>
      <c r="BT165" s="1663" t="str">
        <f t="shared" si="39"/>
        <v/>
      </c>
      <c r="BU165" s="1663" t="str">
        <f>IF(L48&lt;&gt;"",#REF!,"")</f>
        <v/>
      </c>
      <c r="BV165" s="1664" t="str">
        <f t="shared" si="40"/>
        <v/>
      </c>
      <c r="BW165" s="1655" t="e">
        <f t="shared" si="45"/>
        <v>#REF!</v>
      </c>
    </row>
    <row r="166" spans="43:75" ht="24.95" hidden="1" customHeight="1">
      <c r="AQ166" s="1657" t="str">
        <f t="shared" si="52"/>
        <v/>
      </c>
      <c r="AR166" s="1657" t="str">
        <f t="shared" si="46"/>
        <v/>
      </c>
      <c r="AS166" s="1657"/>
      <c r="AT166" s="1665"/>
      <c r="AU166" s="1645" t="str">
        <f t="shared" si="47"/>
        <v/>
      </c>
      <c r="AV166" s="1666"/>
      <c r="AW166" s="1618" t="e">
        <f>IF(#REF!&gt;0,#REF!,"")</f>
        <v>#REF!</v>
      </c>
      <c r="AX166" s="1618" t="e">
        <f>IF(#REF!&lt;&gt;"",#REF!,"")</f>
        <v>#REF!</v>
      </c>
      <c r="AY166" s="1648" t="str">
        <f t="shared" si="48"/>
        <v/>
      </c>
      <c r="AZ166" s="1667" t="str">
        <f t="shared" si="33"/>
        <v/>
      </c>
      <c r="BA166" s="1668" t="str">
        <f>IF(L49&lt;&gt;"",#REF!,"")</f>
        <v/>
      </c>
      <c r="BB166" s="1669" t="str">
        <f t="shared" si="42"/>
        <v/>
      </c>
      <c r="BC166" s="1668" t="str">
        <f>IF(L49&lt;&gt;"",#REF!,"")</f>
        <v/>
      </c>
      <c r="BD166" s="1669" t="str">
        <f t="shared" si="34"/>
        <v/>
      </c>
      <c r="BE166" s="1653" t="e">
        <f t="shared" si="43"/>
        <v>#REF!</v>
      </c>
      <c r="BI166" s="1658" t="str">
        <f t="shared" si="53"/>
        <v/>
      </c>
      <c r="BJ166" s="1659" t="str">
        <f t="shared" si="49"/>
        <v/>
      </c>
      <c r="BK166" s="1659"/>
      <c r="BL166" s="1659"/>
      <c r="BM166" s="1645" t="str">
        <f t="shared" si="50"/>
        <v/>
      </c>
      <c r="BN166" s="1620"/>
      <c r="BO166" s="1658" t="e">
        <f>IF(#REF!&gt;0,#REF!,"")</f>
        <v>#REF!</v>
      </c>
      <c r="BP166" s="1658" t="e">
        <f>IF(#REF!&lt;&gt;"",#REF!,"")</f>
        <v>#REF!</v>
      </c>
      <c r="BQ166" s="1648" t="str">
        <f t="shared" si="51"/>
        <v/>
      </c>
      <c r="BR166" s="1660" t="str">
        <f t="shared" si="38"/>
        <v/>
      </c>
      <c r="BS166" s="1662" t="str">
        <f>IF(L49&lt;&gt;"",#REF!,"")</f>
        <v/>
      </c>
      <c r="BT166" s="1663" t="str">
        <f t="shared" si="39"/>
        <v/>
      </c>
      <c r="BU166" s="1663" t="str">
        <f>IF(L49&lt;&gt;"",#REF!,"")</f>
        <v/>
      </c>
      <c r="BV166" s="1664" t="str">
        <f t="shared" si="40"/>
        <v/>
      </c>
      <c r="BW166" s="1655" t="e">
        <f t="shared" si="45"/>
        <v>#REF!</v>
      </c>
    </row>
    <row r="167" spans="43:75" ht="24.95" hidden="1" customHeight="1">
      <c r="AQ167" s="1657" t="str">
        <f t="shared" si="52"/>
        <v/>
      </c>
      <c r="AR167" s="1657" t="str">
        <f t="shared" si="46"/>
        <v/>
      </c>
      <c r="AS167" s="1657"/>
      <c r="AT167" s="1665"/>
      <c r="AU167" s="1645" t="str">
        <f t="shared" si="47"/>
        <v/>
      </c>
      <c r="AV167" s="1666"/>
      <c r="AW167" s="1618" t="e">
        <f>IF(#REF!&gt;0,#REF!,"")</f>
        <v>#REF!</v>
      </c>
      <c r="AX167" s="1618" t="e">
        <f>IF(#REF!&lt;&gt;"",#REF!,"")</f>
        <v>#REF!</v>
      </c>
      <c r="AY167" s="1648" t="str">
        <f t="shared" si="48"/>
        <v/>
      </c>
      <c r="AZ167" s="1667" t="str">
        <f t="shared" si="33"/>
        <v/>
      </c>
      <c r="BA167" s="1668" t="str">
        <f>IF(L50&lt;&gt;"",#REF!,"")</f>
        <v/>
      </c>
      <c r="BB167" s="1669" t="str">
        <f t="shared" si="42"/>
        <v/>
      </c>
      <c r="BC167" s="1668" t="str">
        <f>IF(L50&lt;&gt;"",#REF!,"")</f>
        <v/>
      </c>
      <c r="BD167" s="1669" t="str">
        <f t="shared" si="34"/>
        <v/>
      </c>
      <c r="BE167" s="1653" t="e">
        <f t="shared" si="43"/>
        <v>#REF!</v>
      </c>
      <c r="BI167" s="1658" t="str">
        <f t="shared" si="53"/>
        <v/>
      </c>
      <c r="BJ167" s="1659" t="str">
        <f t="shared" si="49"/>
        <v/>
      </c>
      <c r="BK167" s="1659"/>
      <c r="BL167" s="1659"/>
      <c r="BM167" s="1645" t="str">
        <f t="shared" si="50"/>
        <v/>
      </c>
      <c r="BN167" s="1620"/>
      <c r="BO167" s="1658" t="e">
        <f>IF(#REF!&gt;0,#REF!,"")</f>
        <v>#REF!</v>
      </c>
      <c r="BP167" s="1658" t="e">
        <f>IF(#REF!&lt;&gt;"",#REF!,"")</f>
        <v>#REF!</v>
      </c>
      <c r="BQ167" s="1648" t="str">
        <f t="shared" si="51"/>
        <v/>
      </c>
      <c r="BR167" s="1660" t="str">
        <f t="shared" si="38"/>
        <v/>
      </c>
      <c r="BS167" s="1662" t="str">
        <f>IF(L50&lt;&gt;"",#REF!,"")</f>
        <v/>
      </c>
      <c r="BT167" s="1663" t="str">
        <f t="shared" si="39"/>
        <v/>
      </c>
      <c r="BU167" s="1663" t="str">
        <f>IF(L50&lt;&gt;"",#REF!,"")</f>
        <v/>
      </c>
      <c r="BV167" s="1664" t="str">
        <f t="shared" si="40"/>
        <v/>
      </c>
      <c r="BW167" s="1655" t="e">
        <f t="shared" si="45"/>
        <v>#REF!</v>
      </c>
    </row>
    <row r="168" spans="43:75" ht="24.95" hidden="1" customHeight="1">
      <c r="AQ168" s="1657" t="str">
        <f t="shared" si="52"/>
        <v/>
      </c>
      <c r="AR168" s="1657" t="str">
        <f t="shared" si="46"/>
        <v/>
      </c>
      <c r="AS168" s="1657"/>
      <c r="AT168" s="1665"/>
      <c r="AU168" s="1645" t="str">
        <f t="shared" si="47"/>
        <v/>
      </c>
      <c r="AV168" s="1666"/>
      <c r="AW168" s="1618" t="e">
        <f>IF(#REF!&gt;0,#REF!,"")</f>
        <v>#REF!</v>
      </c>
      <c r="AX168" s="1618" t="e">
        <f>IF(#REF!&lt;&gt;"",#REF!,"")</f>
        <v>#REF!</v>
      </c>
      <c r="AY168" s="1648" t="str">
        <f t="shared" si="48"/>
        <v/>
      </c>
      <c r="AZ168" s="1667" t="str">
        <f t="shared" si="33"/>
        <v/>
      </c>
      <c r="BA168" s="1668" t="str">
        <f>IF(L51&lt;&gt;"",#REF!,"")</f>
        <v/>
      </c>
      <c r="BB168" s="1669" t="str">
        <f t="shared" si="42"/>
        <v/>
      </c>
      <c r="BC168" s="1668" t="str">
        <f>IF(L51&lt;&gt;"",#REF!,"")</f>
        <v/>
      </c>
      <c r="BD168" s="1669" t="str">
        <f t="shared" si="34"/>
        <v/>
      </c>
      <c r="BE168" s="1653" t="e">
        <f t="shared" si="43"/>
        <v>#REF!</v>
      </c>
      <c r="BI168" s="1658" t="str">
        <f t="shared" si="53"/>
        <v/>
      </c>
      <c r="BJ168" s="1659" t="str">
        <f t="shared" si="49"/>
        <v/>
      </c>
      <c r="BK168" s="1659"/>
      <c r="BL168" s="1659"/>
      <c r="BM168" s="1645" t="str">
        <f t="shared" si="50"/>
        <v/>
      </c>
      <c r="BN168" s="1620"/>
      <c r="BO168" s="1658" t="e">
        <f>IF(#REF!&gt;0,#REF!,"")</f>
        <v>#REF!</v>
      </c>
      <c r="BP168" s="1658" t="e">
        <f>IF(#REF!&lt;&gt;"",#REF!,"")</f>
        <v>#REF!</v>
      </c>
      <c r="BQ168" s="1648" t="str">
        <f t="shared" si="51"/>
        <v/>
      </c>
      <c r="BR168" s="1660" t="str">
        <f t="shared" si="38"/>
        <v/>
      </c>
      <c r="BS168" s="1662" t="str">
        <f>IF(L51&lt;&gt;"",#REF!,"")</f>
        <v/>
      </c>
      <c r="BT168" s="1663" t="str">
        <f t="shared" si="39"/>
        <v/>
      </c>
      <c r="BU168" s="1663" t="str">
        <f>IF(L51&lt;&gt;"",#REF!,"")</f>
        <v/>
      </c>
      <c r="BV168" s="1664" t="str">
        <f t="shared" si="40"/>
        <v/>
      </c>
      <c r="BW168" s="1655" t="e">
        <f t="shared" si="45"/>
        <v>#REF!</v>
      </c>
    </row>
    <row r="169" spans="43:75" ht="24.95" hidden="1" customHeight="1">
      <c r="AQ169" s="1657" t="str">
        <f t="shared" si="52"/>
        <v/>
      </c>
      <c r="AR169" s="1657" t="str">
        <f t="shared" si="46"/>
        <v/>
      </c>
      <c r="AS169" s="1657"/>
      <c r="AT169" s="1665"/>
      <c r="AU169" s="1645" t="str">
        <f t="shared" si="47"/>
        <v/>
      </c>
      <c r="AV169" s="1666"/>
      <c r="AW169" s="1618" t="e">
        <f>IF(#REF!&gt;0,#REF!,"")</f>
        <v>#REF!</v>
      </c>
      <c r="AX169" s="1618" t="e">
        <f>IF(#REF!&lt;&gt;"",#REF!,"")</f>
        <v>#REF!</v>
      </c>
      <c r="AY169" s="1648" t="str">
        <f t="shared" si="48"/>
        <v/>
      </c>
      <c r="AZ169" s="1667" t="str">
        <f t="shared" si="33"/>
        <v/>
      </c>
      <c r="BA169" s="1668" t="str">
        <f>IF(L52&lt;&gt;"",#REF!,"")</f>
        <v/>
      </c>
      <c r="BB169" s="1669" t="str">
        <f t="shared" si="42"/>
        <v/>
      </c>
      <c r="BC169" s="1668" t="str">
        <f>IF(L52&lt;&gt;"",#REF!,"")</f>
        <v/>
      </c>
      <c r="BD169" s="1669" t="str">
        <f t="shared" si="34"/>
        <v/>
      </c>
      <c r="BE169" s="1653" t="e">
        <f t="shared" si="43"/>
        <v>#REF!</v>
      </c>
      <c r="BI169" s="1658" t="str">
        <f t="shared" si="53"/>
        <v/>
      </c>
      <c r="BJ169" s="1659" t="str">
        <f t="shared" si="49"/>
        <v/>
      </c>
      <c r="BK169" s="1659"/>
      <c r="BL169" s="1659"/>
      <c r="BM169" s="1645" t="str">
        <f t="shared" si="50"/>
        <v/>
      </c>
      <c r="BN169" s="1620"/>
      <c r="BO169" s="1658" t="e">
        <f>IF(#REF!&gt;0,#REF!,"")</f>
        <v>#REF!</v>
      </c>
      <c r="BP169" s="1658" t="e">
        <f>IF(#REF!&lt;&gt;"",#REF!,"")</f>
        <v>#REF!</v>
      </c>
      <c r="BQ169" s="1648" t="str">
        <f t="shared" si="51"/>
        <v/>
      </c>
      <c r="BR169" s="1660" t="str">
        <f t="shared" si="38"/>
        <v/>
      </c>
      <c r="BS169" s="1662" t="str">
        <f>IF(L52&lt;&gt;"",#REF!,"")</f>
        <v/>
      </c>
      <c r="BT169" s="1663" t="str">
        <f t="shared" si="39"/>
        <v/>
      </c>
      <c r="BU169" s="1663" t="str">
        <f>IF(L52&lt;&gt;"",#REF!,"")</f>
        <v/>
      </c>
      <c r="BV169" s="1664" t="str">
        <f t="shared" si="40"/>
        <v/>
      </c>
      <c r="BW169" s="1655" t="e">
        <f t="shared" si="45"/>
        <v>#REF!</v>
      </c>
    </row>
    <row r="170" spans="43:75" ht="24.95" hidden="1" customHeight="1">
      <c r="AQ170" s="1657" t="str">
        <f t="shared" si="52"/>
        <v/>
      </c>
      <c r="AR170" s="1657" t="str">
        <f t="shared" si="46"/>
        <v/>
      </c>
      <c r="AS170" s="1657"/>
      <c r="AT170" s="1665"/>
      <c r="AU170" s="1645" t="str">
        <f t="shared" si="47"/>
        <v/>
      </c>
      <c r="AV170" s="1666"/>
      <c r="AW170" s="1618" t="e">
        <f>IF(#REF!&gt;0,#REF!,"")</f>
        <v>#REF!</v>
      </c>
      <c r="AX170" s="1618" t="e">
        <f>IF(#REF!&lt;&gt;"",#REF!,"")</f>
        <v>#REF!</v>
      </c>
      <c r="AY170" s="1648" t="str">
        <f t="shared" si="48"/>
        <v/>
      </c>
      <c r="AZ170" s="1667" t="str">
        <f t="shared" si="33"/>
        <v/>
      </c>
      <c r="BA170" s="1668" t="str">
        <f>IF(L53&lt;&gt;"",#REF!,"")</f>
        <v/>
      </c>
      <c r="BB170" s="1669" t="str">
        <f t="shared" si="42"/>
        <v/>
      </c>
      <c r="BC170" s="1668" t="str">
        <f>IF(L53&lt;&gt;"",#REF!,"")</f>
        <v/>
      </c>
      <c r="BD170" s="1669" t="str">
        <f t="shared" si="34"/>
        <v/>
      </c>
      <c r="BE170" s="1653" t="e">
        <f t="shared" si="43"/>
        <v>#REF!</v>
      </c>
      <c r="BI170" s="1658" t="str">
        <f t="shared" si="53"/>
        <v/>
      </c>
      <c r="BJ170" s="1659" t="str">
        <f t="shared" si="49"/>
        <v/>
      </c>
      <c r="BK170" s="1659"/>
      <c r="BL170" s="1659"/>
      <c r="BM170" s="1645" t="str">
        <f t="shared" si="50"/>
        <v/>
      </c>
      <c r="BN170" s="1620"/>
      <c r="BO170" s="1658" t="e">
        <f>IF(#REF!&gt;0,#REF!,"")</f>
        <v>#REF!</v>
      </c>
      <c r="BP170" s="1658" t="e">
        <f>IF(#REF!&lt;&gt;"",#REF!,"")</f>
        <v>#REF!</v>
      </c>
      <c r="BQ170" s="1648" t="str">
        <f t="shared" si="51"/>
        <v/>
      </c>
      <c r="BR170" s="1660" t="str">
        <f t="shared" si="38"/>
        <v/>
      </c>
      <c r="BS170" s="1662" t="str">
        <f>IF(L53&lt;&gt;"",#REF!,"")</f>
        <v/>
      </c>
      <c r="BT170" s="1663" t="str">
        <f t="shared" si="39"/>
        <v/>
      </c>
      <c r="BU170" s="1663" t="str">
        <f>IF(L53&lt;&gt;"",#REF!,"")</f>
        <v/>
      </c>
      <c r="BV170" s="1664" t="str">
        <f t="shared" si="40"/>
        <v/>
      </c>
      <c r="BW170" s="1655" t="e">
        <f t="shared" si="45"/>
        <v>#REF!</v>
      </c>
    </row>
    <row r="171" spans="43:75" ht="24.95" hidden="1" customHeight="1">
      <c r="AQ171" s="1657" t="str">
        <f t="shared" si="52"/>
        <v/>
      </c>
      <c r="AR171" s="1657" t="str">
        <f t="shared" si="46"/>
        <v/>
      </c>
      <c r="AS171" s="1657"/>
      <c r="AT171" s="1665"/>
      <c r="AU171" s="1645" t="str">
        <f t="shared" si="47"/>
        <v/>
      </c>
      <c r="AV171" s="1666"/>
      <c r="AW171" s="1618" t="e">
        <f>IF(#REF!&gt;0,#REF!,"")</f>
        <v>#REF!</v>
      </c>
      <c r="AX171" s="1618" t="e">
        <f>IF(#REF!&lt;&gt;"",#REF!,"")</f>
        <v>#REF!</v>
      </c>
      <c r="AY171" s="1648" t="str">
        <f t="shared" si="48"/>
        <v/>
      </c>
      <c r="AZ171" s="1667" t="str">
        <f t="shared" si="33"/>
        <v/>
      </c>
      <c r="BA171" s="1668" t="str">
        <f>IF(L54&lt;&gt;"",#REF!,"")</f>
        <v/>
      </c>
      <c r="BB171" s="1669" t="str">
        <f t="shared" si="42"/>
        <v/>
      </c>
      <c r="BC171" s="1668" t="str">
        <f>IF(L54&lt;&gt;"",#REF!,"")</f>
        <v/>
      </c>
      <c r="BD171" s="1669" t="str">
        <f t="shared" si="34"/>
        <v/>
      </c>
      <c r="BE171" s="1653" t="e">
        <f t="shared" si="43"/>
        <v>#REF!</v>
      </c>
      <c r="BI171" s="1658" t="str">
        <f t="shared" si="53"/>
        <v/>
      </c>
      <c r="BJ171" s="1659" t="str">
        <f t="shared" si="49"/>
        <v/>
      </c>
      <c r="BK171" s="1659"/>
      <c r="BL171" s="1659"/>
      <c r="BM171" s="1645" t="str">
        <f t="shared" si="50"/>
        <v/>
      </c>
      <c r="BN171" s="1620"/>
      <c r="BO171" s="1658" t="e">
        <f>IF(#REF!&gt;0,#REF!,"")</f>
        <v>#REF!</v>
      </c>
      <c r="BP171" s="1658" t="e">
        <f>IF(#REF!&lt;&gt;"",#REF!,"")</f>
        <v>#REF!</v>
      </c>
      <c r="BQ171" s="1648" t="str">
        <f t="shared" si="51"/>
        <v/>
      </c>
      <c r="BR171" s="1660" t="str">
        <f t="shared" si="38"/>
        <v/>
      </c>
      <c r="BS171" s="1662" t="str">
        <f>IF(L54&lt;&gt;"",#REF!,"")</f>
        <v/>
      </c>
      <c r="BT171" s="1663" t="str">
        <f t="shared" si="39"/>
        <v/>
      </c>
      <c r="BU171" s="1663" t="str">
        <f>IF(L54&lt;&gt;"",#REF!,"")</f>
        <v/>
      </c>
      <c r="BV171" s="1664" t="str">
        <f t="shared" si="40"/>
        <v/>
      </c>
      <c r="BW171" s="1655" t="e">
        <f t="shared" si="45"/>
        <v>#REF!</v>
      </c>
    </row>
    <row r="172" spans="43:75" ht="24.95" hidden="1" customHeight="1">
      <c r="AQ172" s="1657" t="str">
        <f t="shared" si="52"/>
        <v/>
      </c>
      <c r="AR172" s="1657" t="str">
        <f t="shared" si="46"/>
        <v/>
      </c>
      <c r="AS172" s="1657"/>
      <c r="AT172" s="1665"/>
      <c r="AU172" s="1645" t="str">
        <f t="shared" si="47"/>
        <v/>
      </c>
      <c r="AV172" s="1666"/>
      <c r="AW172" s="1618" t="e">
        <f>IF(#REF!&gt;0,#REF!,"")</f>
        <v>#REF!</v>
      </c>
      <c r="AX172" s="1618" t="e">
        <f>IF(#REF!&lt;&gt;"",#REF!,"")</f>
        <v>#REF!</v>
      </c>
      <c r="AY172" s="1648" t="str">
        <f t="shared" si="48"/>
        <v/>
      </c>
      <c r="AZ172" s="1667" t="str">
        <f t="shared" si="33"/>
        <v/>
      </c>
      <c r="BA172" s="1668" t="str">
        <f>IF(L55&lt;&gt;"",#REF!,"")</f>
        <v/>
      </c>
      <c r="BB172" s="1669" t="str">
        <f t="shared" si="42"/>
        <v/>
      </c>
      <c r="BC172" s="1668" t="str">
        <f>IF(L55&lt;&gt;"",#REF!,"")</f>
        <v/>
      </c>
      <c r="BD172" s="1669" t="str">
        <f t="shared" si="34"/>
        <v/>
      </c>
      <c r="BE172" s="1653" t="e">
        <f t="shared" si="43"/>
        <v>#REF!</v>
      </c>
      <c r="BI172" s="1658" t="str">
        <f t="shared" si="53"/>
        <v/>
      </c>
      <c r="BJ172" s="1659" t="str">
        <f t="shared" si="49"/>
        <v/>
      </c>
      <c r="BK172" s="1659"/>
      <c r="BL172" s="1659"/>
      <c r="BM172" s="1645" t="str">
        <f t="shared" si="50"/>
        <v/>
      </c>
      <c r="BN172" s="1620"/>
      <c r="BO172" s="1658" t="e">
        <f>IF(#REF!&gt;0,#REF!,"")</f>
        <v>#REF!</v>
      </c>
      <c r="BP172" s="1658" t="e">
        <f>IF(#REF!&lt;&gt;"",#REF!,"")</f>
        <v>#REF!</v>
      </c>
      <c r="BQ172" s="1648" t="str">
        <f t="shared" si="51"/>
        <v/>
      </c>
      <c r="BR172" s="1660" t="str">
        <f t="shared" si="38"/>
        <v/>
      </c>
      <c r="BS172" s="1662" t="str">
        <f>IF(L55&lt;&gt;"",#REF!,"")</f>
        <v/>
      </c>
      <c r="BT172" s="1663" t="str">
        <f t="shared" si="39"/>
        <v/>
      </c>
      <c r="BU172" s="1663" t="str">
        <f>IF(L55&lt;&gt;"",#REF!,"")</f>
        <v/>
      </c>
      <c r="BV172" s="1664" t="str">
        <f t="shared" si="40"/>
        <v/>
      </c>
      <c r="BW172" s="1655" t="e">
        <f t="shared" si="45"/>
        <v>#REF!</v>
      </c>
    </row>
    <row r="173" spans="43:75" ht="24.95" hidden="1" customHeight="1">
      <c r="AQ173" s="1657" t="str">
        <f t="shared" si="52"/>
        <v/>
      </c>
      <c r="AR173" s="1657" t="str">
        <f t="shared" si="46"/>
        <v/>
      </c>
      <c r="AS173" s="1657"/>
      <c r="AT173" s="1665"/>
      <c r="AU173" s="1645" t="str">
        <f t="shared" si="47"/>
        <v/>
      </c>
      <c r="AV173" s="1666"/>
      <c r="AW173" s="1618" t="e">
        <f>IF(#REF!&gt;0,#REF!,"")</f>
        <v>#REF!</v>
      </c>
      <c r="AX173" s="1618" t="e">
        <f>IF(#REF!&lt;&gt;"",#REF!,"")</f>
        <v>#REF!</v>
      </c>
      <c r="AY173" s="1648" t="str">
        <f t="shared" si="48"/>
        <v/>
      </c>
      <c r="AZ173" s="1667" t="str">
        <f t="shared" si="33"/>
        <v/>
      </c>
      <c r="BA173" s="1668" t="str">
        <f>IF(L56&lt;&gt;"",#REF!,"")</f>
        <v/>
      </c>
      <c r="BB173" s="1669" t="str">
        <f t="shared" si="42"/>
        <v/>
      </c>
      <c r="BC173" s="1668" t="str">
        <f>IF(L56&lt;&gt;"",#REF!,"")</f>
        <v/>
      </c>
      <c r="BD173" s="1669" t="str">
        <f t="shared" si="34"/>
        <v/>
      </c>
      <c r="BE173" s="1653" t="e">
        <f t="shared" si="43"/>
        <v>#REF!</v>
      </c>
      <c r="BI173" s="1658" t="str">
        <f t="shared" si="53"/>
        <v/>
      </c>
      <c r="BJ173" s="1659" t="str">
        <f t="shared" si="49"/>
        <v/>
      </c>
      <c r="BK173" s="1659"/>
      <c r="BL173" s="1659"/>
      <c r="BM173" s="1645" t="str">
        <f t="shared" si="50"/>
        <v/>
      </c>
      <c r="BN173" s="1620"/>
      <c r="BO173" s="1658" t="e">
        <f>IF(#REF!&gt;0,#REF!,"")</f>
        <v>#REF!</v>
      </c>
      <c r="BP173" s="1658" t="e">
        <f>IF(#REF!&lt;&gt;"",#REF!,"")</f>
        <v>#REF!</v>
      </c>
      <c r="BQ173" s="1648" t="str">
        <f t="shared" si="51"/>
        <v/>
      </c>
      <c r="BR173" s="1660" t="str">
        <f t="shared" si="38"/>
        <v/>
      </c>
      <c r="BS173" s="1662" t="str">
        <f>IF(L56&lt;&gt;"",#REF!,"")</f>
        <v/>
      </c>
      <c r="BT173" s="1663" t="str">
        <f t="shared" si="39"/>
        <v/>
      </c>
      <c r="BU173" s="1663" t="str">
        <f>IF(L56&lt;&gt;"",#REF!,"")</f>
        <v/>
      </c>
      <c r="BV173" s="1664" t="str">
        <f t="shared" si="40"/>
        <v/>
      </c>
      <c r="BW173" s="1655" t="e">
        <f t="shared" si="45"/>
        <v>#REF!</v>
      </c>
    </row>
    <row r="174" spans="43:75" ht="24.95" hidden="1" customHeight="1">
      <c r="AQ174" s="1657" t="str">
        <f t="shared" si="52"/>
        <v/>
      </c>
      <c r="AR174" s="1657" t="str">
        <f t="shared" si="46"/>
        <v/>
      </c>
      <c r="AS174" s="1657"/>
      <c r="AT174" s="1665"/>
      <c r="AU174" s="1645" t="str">
        <f t="shared" si="47"/>
        <v/>
      </c>
      <c r="AV174" s="1666"/>
      <c r="AW174" s="1618" t="e">
        <f>IF(#REF!&gt;0,#REF!,"")</f>
        <v>#REF!</v>
      </c>
      <c r="AX174" s="1618" t="e">
        <f>IF(#REF!&lt;&gt;"",#REF!,"")</f>
        <v>#REF!</v>
      </c>
      <c r="AY174" s="1648" t="str">
        <f t="shared" si="48"/>
        <v/>
      </c>
      <c r="AZ174" s="1667" t="str">
        <f t="shared" si="33"/>
        <v/>
      </c>
      <c r="BA174" s="1668" t="str">
        <f>IF(L57&lt;&gt;"",#REF!,"")</f>
        <v/>
      </c>
      <c r="BB174" s="1669" t="str">
        <f t="shared" si="42"/>
        <v/>
      </c>
      <c r="BC174" s="1668" t="str">
        <f>IF(L57&lt;&gt;"",#REF!,"")</f>
        <v/>
      </c>
      <c r="BD174" s="1669" t="str">
        <f t="shared" si="34"/>
        <v/>
      </c>
      <c r="BE174" s="1653" t="e">
        <f t="shared" si="43"/>
        <v>#REF!</v>
      </c>
      <c r="BI174" s="1658" t="str">
        <f t="shared" si="53"/>
        <v/>
      </c>
      <c r="BJ174" s="1659" t="str">
        <f t="shared" si="49"/>
        <v/>
      </c>
      <c r="BK174" s="1659"/>
      <c r="BL174" s="1659"/>
      <c r="BM174" s="1645" t="str">
        <f t="shared" si="50"/>
        <v/>
      </c>
      <c r="BN174" s="1620"/>
      <c r="BO174" s="1658" t="e">
        <f>IF(#REF!&gt;0,#REF!,"")</f>
        <v>#REF!</v>
      </c>
      <c r="BP174" s="1658" t="e">
        <f>IF(#REF!&lt;&gt;"",#REF!,"")</f>
        <v>#REF!</v>
      </c>
      <c r="BQ174" s="1648" t="str">
        <f t="shared" si="51"/>
        <v/>
      </c>
      <c r="BR174" s="1660" t="str">
        <f t="shared" si="38"/>
        <v/>
      </c>
      <c r="BS174" s="1662" t="str">
        <f>IF(L57&lt;&gt;"",#REF!,"")</f>
        <v/>
      </c>
      <c r="BT174" s="1663" t="str">
        <f t="shared" si="39"/>
        <v/>
      </c>
      <c r="BU174" s="1663" t="str">
        <f>IF(L57&lt;&gt;"",#REF!,"")</f>
        <v/>
      </c>
      <c r="BV174" s="1664" t="str">
        <f t="shared" si="40"/>
        <v/>
      </c>
      <c r="BW174" s="1655" t="e">
        <f t="shared" si="45"/>
        <v>#REF!</v>
      </c>
    </row>
    <row r="175" spans="43:75" ht="24.95" hidden="1" customHeight="1">
      <c r="AQ175" s="1657" t="str">
        <f t="shared" si="52"/>
        <v/>
      </c>
      <c r="AR175" s="1657" t="str">
        <f t="shared" si="46"/>
        <v/>
      </c>
      <c r="AS175" s="1657"/>
      <c r="AT175" s="1665"/>
      <c r="AU175" s="1645" t="str">
        <f t="shared" si="47"/>
        <v/>
      </c>
      <c r="AV175" s="1666"/>
      <c r="AW175" s="1618" t="e">
        <f>IF(#REF!&gt;0,#REF!,"")</f>
        <v>#REF!</v>
      </c>
      <c r="AX175" s="1618" t="e">
        <f>IF(#REF!&lt;&gt;"",#REF!,"")</f>
        <v>#REF!</v>
      </c>
      <c r="AY175" s="1648" t="str">
        <f t="shared" si="48"/>
        <v/>
      </c>
      <c r="AZ175" s="1667" t="str">
        <f t="shared" si="33"/>
        <v/>
      </c>
      <c r="BA175" s="1668" t="str">
        <f>IF(L58&lt;&gt;"",#REF!,"")</f>
        <v/>
      </c>
      <c r="BB175" s="1669" t="str">
        <f t="shared" si="42"/>
        <v/>
      </c>
      <c r="BC175" s="1668" t="str">
        <f>IF(L58&lt;&gt;"",#REF!,"")</f>
        <v/>
      </c>
      <c r="BD175" s="1669" t="str">
        <f t="shared" si="34"/>
        <v/>
      </c>
      <c r="BE175" s="1653" t="e">
        <f t="shared" si="43"/>
        <v>#REF!</v>
      </c>
      <c r="BI175" s="1658" t="str">
        <f t="shared" si="53"/>
        <v/>
      </c>
      <c r="BJ175" s="1659" t="str">
        <f t="shared" si="49"/>
        <v/>
      </c>
      <c r="BK175" s="1659"/>
      <c r="BL175" s="1659"/>
      <c r="BM175" s="1645" t="str">
        <f t="shared" si="50"/>
        <v/>
      </c>
      <c r="BN175" s="1620"/>
      <c r="BO175" s="1658" t="e">
        <f>IF(#REF!&gt;0,#REF!,"")</f>
        <v>#REF!</v>
      </c>
      <c r="BP175" s="1658" t="e">
        <f>IF(#REF!&lt;&gt;"",#REF!,"")</f>
        <v>#REF!</v>
      </c>
      <c r="BQ175" s="1648" t="str">
        <f t="shared" si="51"/>
        <v/>
      </c>
      <c r="BR175" s="1660" t="str">
        <f t="shared" si="38"/>
        <v/>
      </c>
      <c r="BS175" s="1662" t="str">
        <f>IF(L58&lt;&gt;"",#REF!,"")</f>
        <v/>
      </c>
      <c r="BT175" s="1663" t="str">
        <f t="shared" si="39"/>
        <v/>
      </c>
      <c r="BU175" s="1663" t="str">
        <f>IF(L58&lt;&gt;"",#REF!,"")</f>
        <v/>
      </c>
      <c r="BV175" s="1664" t="str">
        <f t="shared" si="40"/>
        <v/>
      </c>
      <c r="BW175" s="1655" t="e">
        <f t="shared" si="45"/>
        <v>#REF!</v>
      </c>
    </row>
    <row r="176" spans="43:75" ht="24.95" hidden="1" customHeight="1">
      <c r="AQ176" s="1657" t="str">
        <f t="shared" si="52"/>
        <v/>
      </c>
      <c r="AR176" s="1657" t="str">
        <f t="shared" si="46"/>
        <v/>
      </c>
      <c r="AS176" s="1657"/>
      <c r="AT176" s="1665"/>
      <c r="AU176" s="1645" t="str">
        <f t="shared" si="47"/>
        <v/>
      </c>
      <c r="AV176" s="1666"/>
      <c r="AW176" s="1618" t="e">
        <f>IF(#REF!&gt;0,#REF!,"")</f>
        <v>#REF!</v>
      </c>
      <c r="AX176" s="1618" t="e">
        <f>IF(#REF!&lt;&gt;"",#REF!,"")</f>
        <v>#REF!</v>
      </c>
      <c r="AY176" s="1648" t="str">
        <f t="shared" si="48"/>
        <v/>
      </c>
      <c r="AZ176" s="1667" t="str">
        <f t="shared" si="33"/>
        <v/>
      </c>
      <c r="BA176" s="1668" t="str">
        <f>IF(L59&lt;&gt;"",#REF!,"")</f>
        <v/>
      </c>
      <c r="BB176" s="1669" t="str">
        <f t="shared" si="42"/>
        <v/>
      </c>
      <c r="BC176" s="1668" t="str">
        <f>IF(L59&lt;&gt;"",#REF!,"")</f>
        <v/>
      </c>
      <c r="BD176" s="1669" t="str">
        <f t="shared" si="34"/>
        <v/>
      </c>
      <c r="BE176" s="1653" t="e">
        <f t="shared" si="43"/>
        <v>#REF!</v>
      </c>
      <c r="BI176" s="1658" t="str">
        <f t="shared" si="53"/>
        <v/>
      </c>
      <c r="BJ176" s="1659" t="str">
        <f t="shared" si="49"/>
        <v/>
      </c>
      <c r="BK176" s="1659"/>
      <c r="BL176" s="1659"/>
      <c r="BM176" s="1645" t="str">
        <f t="shared" si="50"/>
        <v/>
      </c>
      <c r="BN176" s="1620"/>
      <c r="BO176" s="1658" t="e">
        <f>IF(#REF!&gt;0,#REF!,"")</f>
        <v>#REF!</v>
      </c>
      <c r="BP176" s="1658" t="e">
        <f>IF(#REF!&lt;&gt;"",#REF!,"")</f>
        <v>#REF!</v>
      </c>
      <c r="BQ176" s="1648" t="str">
        <f t="shared" si="51"/>
        <v/>
      </c>
      <c r="BR176" s="1660" t="str">
        <f t="shared" si="38"/>
        <v/>
      </c>
      <c r="BS176" s="1662" t="str">
        <f>IF(L59&lt;&gt;"",#REF!,"")</f>
        <v/>
      </c>
      <c r="BT176" s="1663" t="str">
        <f t="shared" si="39"/>
        <v/>
      </c>
      <c r="BU176" s="1663" t="str">
        <f>IF(L59&lt;&gt;"",#REF!,"")</f>
        <v/>
      </c>
      <c r="BV176" s="1664" t="str">
        <f t="shared" si="40"/>
        <v/>
      </c>
      <c r="BW176" s="1655" t="e">
        <f t="shared" si="45"/>
        <v>#REF!</v>
      </c>
    </row>
    <row r="177" spans="43:75" ht="24.95" hidden="1" customHeight="1">
      <c r="AQ177" s="1657" t="str">
        <f t="shared" si="52"/>
        <v/>
      </c>
      <c r="AR177" s="1657" t="str">
        <f t="shared" si="46"/>
        <v/>
      </c>
      <c r="AS177" s="1657"/>
      <c r="AT177" s="1665"/>
      <c r="AU177" s="1645" t="str">
        <f t="shared" si="47"/>
        <v/>
      </c>
      <c r="AV177" s="1666"/>
      <c r="AW177" s="1618" t="e">
        <f>IF(#REF!&gt;0,#REF!,"")</f>
        <v>#REF!</v>
      </c>
      <c r="AX177" s="1618" t="e">
        <f>IF(#REF!&lt;&gt;"",#REF!,"")</f>
        <v>#REF!</v>
      </c>
      <c r="AY177" s="1648" t="str">
        <f t="shared" si="48"/>
        <v/>
      </c>
      <c r="AZ177" s="1667" t="str">
        <f t="shared" si="33"/>
        <v/>
      </c>
      <c r="BA177" s="1668" t="str">
        <f>IF(L60&lt;&gt;"",#REF!,"")</f>
        <v/>
      </c>
      <c r="BB177" s="1669" t="str">
        <f t="shared" si="42"/>
        <v/>
      </c>
      <c r="BC177" s="1668" t="str">
        <f>IF(L60&lt;&gt;"",#REF!,"")</f>
        <v/>
      </c>
      <c r="BD177" s="1669" t="str">
        <f t="shared" si="34"/>
        <v/>
      </c>
      <c r="BE177" s="1653" t="e">
        <f t="shared" si="43"/>
        <v>#REF!</v>
      </c>
      <c r="BI177" s="1658" t="str">
        <f t="shared" si="53"/>
        <v/>
      </c>
      <c r="BJ177" s="1659" t="str">
        <f t="shared" si="49"/>
        <v/>
      </c>
      <c r="BK177" s="1659"/>
      <c r="BL177" s="1659"/>
      <c r="BM177" s="1645" t="str">
        <f t="shared" si="50"/>
        <v/>
      </c>
      <c r="BN177" s="1620"/>
      <c r="BO177" s="1658" t="e">
        <f>IF(#REF!&gt;0,#REF!,"")</f>
        <v>#REF!</v>
      </c>
      <c r="BP177" s="1658" t="e">
        <f>IF(#REF!&lt;&gt;"",#REF!,"")</f>
        <v>#REF!</v>
      </c>
      <c r="BQ177" s="1648" t="str">
        <f t="shared" si="51"/>
        <v/>
      </c>
      <c r="BR177" s="1660" t="str">
        <f t="shared" si="38"/>
        <v/>
      </c>
      <c r="BS177" s="1662" t="str">
        <f>IF(L60&lt;&gt;"",#REF!,"")</f>
        <v/>
      </c>
      <c r="BT177" s="1663" t="str">
        <f t="shared" si="39"/>
        <v/>
      </c>
      <c r="BU177" s="1663" t="str">
        <f>IF(L60&lt;&gt;"",#REF!,"")</f>
        <v/>
      </c>
      <c r="BV177" s="1664" t="str">
        <f t="shared" si="40"/>
        <v/>
      </c>
      <c r="BW177" s="1655" t="e">
        <f t="shared" si="45"/>
        <v>#REF!</v>
      </c>
    </row>
    <row r="178" spans="43:75" ht="24.95" hidden="1" customHeight="1">
      <c r="AQ178" s="1657" t="str">
        <f t="shared" si="52"/>
        <v/>
      </c>
      <c r="AR178" s="1657" t="str">
        <f t="shared" si="46"/>
        <v/>
      </c>
      <c r="AS178" s="1657"/>
      <c r="AT178" s="1665"/>
      <c r="AU178" s="1645" t="str">
        <f t="shared" si="47"/>
        <v/>
      </c>
      <c r="AV178" s="1666"/>
      <c r="AW178" s="1618" t="e">
        <f>IF(#REF!&gt;0,#REF!,"")</f>
        <v>#REF!</v>
      </c>
      <c r="AX178" s="1618" t="e">
        <f>IF(#REF!&lt;&gt;"",#REF!,"")</f>
        <v>#REF!</v>
      </c>
      <c r="AY178" s="1648" t="str">
        <f t="shared" si="48"/>
        <v/>
      </c>
      <c r="AZ178" s="1667" t="str">
        <f t="shared" si="33"/>
        <v/>
      </c>
      <c r="BA178" s="1668" t="str">
        <f>IF(L61&lt;&gt;"",#REF!,"")</f>
        <v/>
      </c>
      <c r="BB178" s="1669" t="str">
        <f t="shared" si="42"/>
        <v/>
      </c>
      <c r="BC178" s="1668" t="str">
        <f>IF(L61&lt;&gt;"",#REF!,"")</f>
        <v/>
      </c>
      <c r="BD178" s="1669" t="str">
        <f t="shared" si="34"/>
        <v/>
      </c>
      <c r="BE178" s="1653" t="e">
        <f t="shared" si="43"/>
        <v>#REF!</v>
      </c>
      <c r="BI178" s="1658" t="str">
        <f t="shared" si="53"/>
        <v/>
      </c>
      <c r="BJ178" s="1659" t="str">
        <f t="shared" si="49"/>
        <v/>
      </c>
      <c r="BK178" s="1659"/>
      <c r="BL178" s="1659"/>
      <c r="BM178" s="1645" t="str">
        <f t="shared" si="50"/>
        <v/>
      </c>
      <c r="BN178" s="1620"/>
      <c r="BO178" s="1658" t="e">
        <f>IF(#REF!&gt;0,#REF!,"")</f>
        <v>#REF!</v>
      </c>
      <c r="BP178" s="1658" t="e">
        <f>IF(#REF!&lt;&gt;"",#REF!,"")</f>
        <v>#REF!</v>
      </c>
      <c r="BQ178" s="1648" t="str">
        <f t="shared" si="51"/>
        <v/>
      </c>
      <c r="BR178" s="1660" t="str">
        <f t="shared" si="38"/>
        <v/>
      </c>
      <c r="BS178" s="1662" t="str">
        <f>IF(L61&lt;&gt;"",#REF!,"")</f>
        <v/>
      </c>
      <c r="BT178" s="1663" t="str">
        <f t="shared" si="39"/>
        <v/>
      </c>
      <c r="BU178" s="1663" t="str">
        <f>IF(L61&lt;&gt;"",#REF!,"")</f>
        <v/>
      </c>
      <c r="BV178" s="1664" t="str">
        <f t="shared" si="40"/>
        <v/>
      </c>
      <c r="BW178" s="1655" t="e">
        <f t="shared" si="45"/>
        <v>#REF!</v>
      </c>
    </row>
    <row r="179" spans="43:75" ht="24.95" hidden="1" customHeight="1">
      <c r="AQ179" s="1657" t="str">
        <f t="shared" si="52"/>
        <v/>
      </c>
      <c r="AR179" s="1657" t="str">
        <f t="shared" si="46"/>
        <v/>
      </c>
      <c r="AS179" s="1657"/>
      <c r="AT179" s="1665"/>
      <c r="AU179" s="1645" t="str">
        <f t="shared" si="47"/>
        <v/>
      </c>
      <c r="AV179" s="1666"/>
      <c r="AW179" s="1618" t="e">
        <f>IF(#REF!&gt;0,#REF!,"")</f>
        <v>#REF!</v>
      </c>
      <c r="AX179" s="1618" t="e">
        <f>IF(#REF!&lt;&gt;"",#REF!,"")</f>
        <v>#REF!</v>
      </c>
      <c r="AY179" s="1648" t="str">
        <f t="shared" si="48"/>
        <v/>
      </c>
      <c r="AZ179" s="1667" t="str">
        <f t="shared" si="33"/>
        <v/>
      </c>
      <c r="BA179" s="1668" t="str">
        <f>IF(L62&lt;&gt;"",#REF!,"")</f>
        <v/>
      </c>
      <c r="BB179" s="1669" t="str">
        <f t="shared" si="42"/>
        <v/>
      </c>
      <c r="BC179" s="1668" t="str">
        <f>IF(L62&lt;&gt;"",#REF!,"")</f>
        <v/>
      </c>
      <c r="BD179" s="1669" t="str">
        <f t="shared" si="34"/>
        <v/>
      </c>
      <c r="BE179" s="1653" t="e">
        <f t="shared" si="43"/>
        <v>#REF!</v>
      </c>
      <c r="BI179" s="1658" t="str">
        <f t="shared" si="53"/>
        <v/>
      </c>
      <c r="BJ179" s="1659" t="str">
        <f t="shared" si="49"/>
        <v/>
      </c>
      <c r="BK179" s="1659"/>
      <c r="BL179" s="1659"/>
      <c r="BM179" s="1645" t="str">
        <f t="shared" si="50"/>
        <v/>
      </c>
      <c r="BN179" s="1620"/>
      <c r="BO179" s="1658" t="e">
        <f>IF(#REF!&gt;0,#REF!,"")</f>
        <v>#REF!</v>
      </c>
      <c r="BP179" s="1658" t="e">
        <f>IF(#REF!&lt;&gt;"",#REF!,"")</f>
        <v>#REF!</v>
      </c>
      <c r="BQ179" s="1648" t="str">
        <f t="shared" si="51"/>
        <v/>
      </c>
      <c r="BR179" s="1660" t="str">
        <f t="shared" si="38"/>
        <v/>
      </c>
      <c r="BS179" s="1662" t="str">
        <f>IF(L62&lt;&gt;"",#REF!,"")</f>
        <v/>
      </c>
      <c r="BT179" s="1663" t="str">
        <f t="shared" si="39"/>
        <v/>
      </c>
      <c r="BU179" s="1663" t="str">
        <f>IF(L62&lt;&gt;"",#REF!,"")</f>
        <v/>
      </c>
      <c r="BV179" s="1664" t="str">
        <f t="shared" si="40"/>
        <v/>
      </c>
      <c r="BW179" s="1655" t="e">
        <f t="shared" si="45"/>
        <v>#REF!</v>
      </c>
    </row>
    <row r="180" spans="43:75" ht="24.95" hidden="1" customHeight="1">
      <c r="AQ180" s="1657" t="str">
        <f t="shared" si="52"/>
        <v/>
      </c>
      <c r="AR180" s="1657" t="str">
        <f t="shared" si="46"/>
        <v/>
      </c>
      <c r="AS180" s="1657"/>
      <c r="AT180" s="1665"/>
      <c r="AU180" s="1645" t="str">
        <f t="shared" si="47"/>
        <v/>
      </c>
      <c r="AV180" s="1666"/>
      <c r="AW180" s="1618" t="e">
        <f>IF(#REF!&gt;0,#REF!,"")</f>
        <v>#REF!</v>
      </c>
      <c r="AX180" s="1618" t="e">
        <f>IF(#REF!&lt;&gt;"",#REF!,"")</f>
        <v>#REF!</v>
      </c>
      <c r="AY180" s="1648" t="str">
        <f t="shared" si="48"/>
        <v/>
      </c>
      <c r="AZ180" s="1667" t="str">
        <f t="shared" si="33"/>
        <v/>
      </c>
      <c r="BA180" s="1668" t="str">
        <f>IF(L63&lt;&gt;"",#REF!,"")</f>
        <v/>
      </c>
      <c r="BB180" s="1669" t="str">
        <f t="shared" si="42"/>
        <v/>
      </c>
      <c r="BC180" s="1668" t="str">
        <f>IF(L63&lt;&gt;"",#REF!,"")</f>
        <v/>
      </c>
      <c r="BD180" s="1669" t="str">
        <f t="shared" si="34"/>
        <v/>
      </c>
      <c r="BE180" s="1653" t="e">
        <f t="shared" si="43"/>
        <v>#REF!</v>
      </c>
      <c r="BI180" s="1658" t="str">
        <f t="shared" si="53"/>
        <v/>
      </c>
      <c r="BJ180" s="1659" t="str">
        <f t="shared" si="49"/>
        <v/>
      </c>
      <c r="BK180" s="1659"/>
      <c r="BL180" s="1659"/>
      <c r="BM180" s="1645" t="str">
        <f t="shared" si="50"/>
        <v/>
      </c>
      <c r="BN180" s="1620"/>
      <c r="BO180" s="1658" t="e">
        <f>IF(#REF!&gt;0,#REF!,"")</f>
        <v>#REF!</v>
      </c>
      <c r="BP180" s="1658" t="e">
        <f>IF(#REF!&lt;&gt;"",#REF!,"")</f>
        <v>#REF!</v>
      </c>
      <c r="BQ180" s="1648" t="str">
        <f t="shared" si="51"/>
        <v/>
      </c>
      <c r="BR180" s="1660" t="str">
        <f t="shared" si="38"/>
        <v/>
      </c>
      <c r="BS180" s="1662" t="str">
        <f>IF(L63&lt;&gt;"",#REF!,"")</f>
        <v/>
      </c>
      <c r="BT180" s="1663" t="str">
        <f t="shared" si="39"/>
        <v/>
      </c>
      <c r="BU180" s="1663" t="str">
        <f>IF(L63&lt;&gt;"",#REF!,"")</f>
        <v/>
      </c>
      <c r="BV180" s="1664" t="str">
        <f t="shared" si="40"/>
        <v/>
      </c>
      <c r="BW180" s="1655" t="e">
        <f t="shared" si="45"/>
        <v>#REF!</v>
      </c>
    </row>
    <row r="181" spans="43:75" ht="24.95" hidden="1" customHeight="1">
      <c r="AQ181" s="1657" t="str">
        <f t="shared" si="52"/>
        <v/>
      </c>
      <c r="AR181" s="1657" t="str">
        <f t="shared" si="46"/>
        <v/>
      </c>
      <c r="AS181" s="1657"/>
      <c r="AT181" s="1665"/>
      <c r="AU181" s="1645" t="str">
        <f t="shared" si="47"/>
        <v/>
      </c>
      <c r="AV181" s="1666"/>
      <c r="AW181" s="1618" t="e">
        <f>IF(#REF!&gt;0,#REF!,"")</f>
        <v>#REF!</v>
      </c>
      <c r="AX181" s="1618" t="e">
        <f>IF(#REF!&lt;&gt;"",#REF!,"")</f>
        <v>#REF!</v>
      </c>
      <c r="AY181" s="1648" t="str">
        <f t="shared" si="48"/>
        <v/>
      </c>
      <c r="AZ181" s="1667" t="str">
        <f t="shared" si="33"/>
        <v/>
      </c>
      <c r="BA181" s="1668" t="str">
        <f>IF(L64&lt;&gt;"",#REF!,"")</f>
        <v/>
      </c>
      <c r="BB181" s="1669" t="str">
        <f t="shared" si="42"/>
        <v/>
      </c>
      <c r="BC181" s="1668" t="str">
        <f>IF(L64&lt;&gt;"",#REF!,"")</f>
        <v/>
      </c>
      <c r="BD181" s="1669" t="str">
        <f t="shared" si="34"/>
        <v/>
      </c>
      <c r="BE181" s="1653" t="e">
        <f t="shared" si="43"/>
        <v>#REF!</v>
      </c>
      <c r="BI181" s="1658" t="str">
        <f t="shared" si="53"/>
        <v/>
      </c>
      <c r="BJ181" s="1659" t="str">
        <f t="shared" si="49"/>
        <v/>
      </c>
      <c r="BK181" s="1659"/>
      <c r="BL181" s="1659"/>
      <c r="BM181" s="1645" t="str">
        <f t="shared" si="50"/>
        <v/>
      </c>
      <c r="BN181" s="1620"/>
      <c r="BO181" s="1658" t="e">
        <f>IF(#REF!&gt;0,#REF!,"")</f>
        <v>#REF!</v>
      </c>
      <c r="BP181" s="1658" t="e">
        <f>IF(#REF!&lt;&gt;"",#REF!,"")</f>
        <v>#REF!</v>
      </c>
      <c r="BQ181" s="1648" t="str">
        <f t="shared" si="51"/>
        <v/>
      </c>
      <c r="BR181" s="1660" t="str">
        <f t="shared" si="38"/>
        <v/>
      </c>
      <c r="BS181" s="1662" t="str">
        <f>IF(L64&lt;&gt;"",#REF!,"")</f>
        <v/>
      </c>
      <c r="BT181" s="1663" t="str">
        <f t="shared" si="39"/>
        <v/>
      </c>
      <c r="BU181" s="1663" t="str">
        <f>IF(L64&lt;&gt;"",#REF!,"")</f>
        <v/>
      </c>
      <c r="BV181" s="1664" t="str">
        <f t="shared" si="40"/>
        <v/>
      </c>
      <c r="BW181" s="1655" t="e">
        <f t="shared" si="45"/>
        <v>#REF!</v>
      </c>
    </row>
    <row r="182" spans="43:75" ht="24.95" hidden="1" customHeight="1">
      <c r="AQ182" s="1657" t="str">
        <f t="shared" si="52"/>
        <v/>
      </c>
      <c r="AR182" s="1657" t="str">
        <f t="shared" si="46"/>
        <v/>
      </c>
      <c r="AS182" s="1657"/>
      <c r="AT182" s="1665"/>
      <c r="AU182" s="1645" t="str">
        <f t="shared" si="47"/>
        <v/>
      </c>
      <c r="AV182" s="1666"/>
      <c r="AW182" s="1618" t="e">
        <f>IF(#REF!&gt;0,#REF!,"")</f>
        <v>#REF!</v>
      </c>
      <c r="AX182" s="1618" t="e">
        <f>IF(#REF!&lt;&gt;"",#REF!,"")</f>
        <v>#REF!</v>
      </c>
      <c r="AY182" s="1648" t="str">
        <f t="shared" si="48"/>
        <v/>
      </c>
      <c r="AZ182" s="1667" t="str">
        <f t="shared" si="33"/>
        <v/>
      </c>
      <c r="BA182" s="1668" t="str">
        <f>IF(L65&lt;&gt;"",#REF!,"")</f>
        <v/>
      </c>
      <c r="BB182" s="1669" t="str">
        <f t="shared" si="42"/>
        <v/>
      </c>
      <c r="BC182" s="1668" t="str">
        <f>IF(L65&lt;&gt;"",#REF!,"")</f>
        <v/>
      </c>
      <c r="BD182" s="1669" t="str">
        <f t="shared" si="34"/>
        <v/>
      </c>
      <c r="BE182" s="1653" t="e">
        <f t="shared" si="43"/>
        <v>#REF!</v>
      </c>
      <c r="BI182" s="1658" t="str">
        <f t="shared" si="53"/>
        <v/>
      </c>
      <c r="BJ182" s="1659" t="str">
        <f t="shared" si="49"/>
        <v/>
      </c>
      <c r="BK182" s="1659"/>
      <c r="BL182" s="1659"/>
      <c r="BM182" s="1645" t="str">
        <f t="shared" si="50"/>
        <v/>
      </c>
      <c r="BN182" s="1620"/>
      <c r="BO182" s="1658" t="e">
        <f>IF(#REF!&gt;0,#REF!,"")</f>
        <v>#REF!</v>
      </c>
      <c r="BP182" s="1658" t="e">
        <f>IF(#REF!&lt;&gt;"",#REF!,"")</f>
        <v>#REF!</v>
      </c>
      <c r="BQ182" s="1648" t="str">
        <f t="shared" si="51"/>
        <v/>
      </c>
      <c r="BR182" s="1660" t="str">
        <f t="shared" si="38"/>
        <v/>
      </c>
      <c r="BS182" s="1662" t="str">
        <f>IF(L65&lt;&gt;"",#REF!,"")</f>
        <v/>
      </c>
      <c r="BT182" s="1663" t="str">
        <f t="shared" si="39"/>
        <v/>
      </c>
      <c r="BU182" s="1663" t="str">
        <f>IF(L65&lt;&gt;"",#REF!,"")</f>
        <v/>
      </c>
      <c r="BV182" s="1664" t="str">
        <f t="shared" si="40"/>
        <v/>
      </c>
      <c r="BW182" s="1655" t="e">
        <f t="shared" si="45"/>
        <v>#REF!</v>
      </c>
    </row>
    <row r="183" spans="43:75" ht="24.95" hidden="1" customHeight="1">
      <c r="AQ183" s="1657" t="str">
        <f t="shared" si="52"/>
        <v/>
      </c>
      <c r="AR183" s="1657" t="str">
        <f t="shared" si="46"/>
        <v/>
      </c>
      <c r="AS183" s="1657"/>
      <c r="AT183" s="1665"/>
      <c r="AU183" s="1645" t="str">
        <f t="shared" si="47"/>
        <v/>
      </c>
      <c r="AV183" s="1666"/>
      <c r="AW183" s="1618" t="e">
        <f>IF(#REF!&gt;0,#REF!,"")</f>
        <v>#REF!</v>
      </c>
      <c r="AX183" s="1618" t="e">
        <f>IF(#REF!&lt;&gt;"",#REF!,"")</f>
        <v>#REF!</v>
      </c>
      <c r="AY183" s="1648" t="str">
        <f t="shared" si="48"/>
        <v/>
      </c>
      <c r="AZ183" s="1667" t="str">
        <f t="shared" si="33"/>
        <v/>
      </c>
      <c r="BA183" s="1668" t="str">
        <f>IF(L66&lt;&gt;"",#REF!,"")</f>
        <v/>
      </c>
      <c r="BB183" s="1669" t="str">
        <f t="shared" si="42"/>
        <v/>
      </c>
      <c r="BC183" s="1668" t="str">
        <f>IF(L66&lt;&gt;"",#REF!,"")</f>
        <v/>
      </c>
      <c r="BD183" s="1669" t="str">
        <f t="shared" si="34"/>
        <v/>
      </c>
      <c r="BE183" s="1653" t="e">
        <f t="shared" si="43"/>
        <v>#REF!</v>
      </c>
      <c r="BI183" s="1658" t="str">
        <f t="shared" si="53"/>
        <v/>
      </c>
      <c r="BJ183" s="1659" t="str">
        <f t="shared" si="49"/>
        <v/>
      </c>
      <c r="BK183" s="1659"/>
      <c r="BL183" s="1659"/>
      <c r="BM183" s="1645" t="str">
        <f t="shared" si="50"/>
        <v/>
      </c>
      <c r="BN183" s="1620"/>
      <c r="BO183" s="1658" t="e">
        <f>IF(#REF!&gt;0,#REF!,"")</f>
        <v>#REF!</v>
      </c>
      <c r="BP183" s="1658" t="e">
        <f>IF(#REF!&lt;&gt;"",#REF!,"")</f>
        <v>#REF!</v>
      </c>
      <c r="BQ183" s="1648" t="str">
        <f t="shared" si="51"/>
        <v/>
      </c>
      <c r="BR183" s="1660" t="str">
        <f t="shared" si="38"/>
        <v/>
      </c>
      <c r="BS183" s="1662" t="str">
        <f>IF(L66&lt;&gt;"",#REF!,"")</f>
        <v/>
      </c>
      <c r="BT183" s="1663" t="str">
        <f t="shared" si="39"/>
        <v/>
      </c>
      <c r="BU183" s="1663" t="str">
        <f>IF(L66&lt;&gt;"",#REF!,"")</f>
        <v/>
      </c>
      <c r="BV183" s="1664" t="str">
        <f t="shared" si="40"/>
        <v/>
      </c>
      <c r="BW183" s="1655" t="e">
        <f t="shared" si="45"/>
        <v>#REF!</v>
      </c>
    </row>
    <row r="184" spans="43:75" ht="24.95" hidden="1" customHeight="1">
      <c r="AQ184" s="1657" t="str">
        <f t="shared" si="52"/>
        <v/>
      </c>
      <c r="AR184" s="1657" t="str">
        <f t="shared" si="46"/>
        <v/>
      </c>
      <c r="AS184" s="1657"/>
      <c r="AT184" s="1665"/>
      <c r="AU184" s="1645" t="str">
        <f t="shared" si="47"/>
        <v/>
      </c>
      <c r="AV184" s="1666"/>
      <c r="AW184" s="1618" t="e">
        <f>IF(#REF!&gt;0,#REF!,"")</f>
        <v>#REF!</v>
      </c>
      <c r="AX184" s="1618" t="e">
        <f>IF(#REF!&lt;&gt;"",#REF!,"")</f>
        <v>#REF!</v>
      </c>
      <c r="AY184" s="1648" t="str">
        <f t="shared" si="48"/>
        <v/>
      </c>
      <c r="AZ184" s="1667" t="str">
        <f t="shared" si="33"/>
        <v/>
      </c>
      <c r="BA184" s="1668" t="str">
        <f>IF(L67&lt;&gt;"",#REF!,"")</f>
        <v/>
      </c>
      <c r="BB184" s="1669" t="str">
        <f t="shared" si="42"/>
        <v/>
      </c>
      <c r="BC184" s="1668" t="str">
        <f>IF(L67&lt;&gt;"",#REF!,"")</f>
        <v/>
      </c>
      <c r="BD184" s="1669" t="str">
        <f t="shared" si="34"/>
        <v/>
      </c>
      <c r="BE184" s="1653" t="e">
        <f t="shared" si="43"/>
        <v>#REF!</v>
      </c>
      <c r="BI184" s="1658" t="str">
        <f t="shared" si="53"/>
        <v/>
      </c>
      <c r="BJ184" s="1659" t="str">
        <f t="shared" si="49"/>
        <v/>
      </c>
      <c r="BK184" s="1659"/>
      <c r="BL184" s="1659"/>
      <c r="BM184" s="1645" t="str">
        <f t="shared" si="50"/>
        <v/>
      </c>
      <c r="BN184" s="1620"/>
      <c r="BO184" s="1658" t="e">
        <f>IF(#REF!&gt;0,#REF!,"")</f>
        <v>#REF!</v>
      </c>
      <c r="BP184" s="1658" t="e">
        <f>IF(#REF!&lt;&gt;"",#REF!,"")</f>
        <v>#REF!</v>
      </c>
      <c r="BQ184" s="1648" t="str">
        <f t="shared" si="51"/>
        <v/>
      </c>
      <c r="BR184" s="1660" t="str">
        <f t="shared" si="38"/>
        <v/>
      </c>
      <c r="BS184" s="1662" t="str">
        <f>IF(L67&lt;&gt;"",#REF!,"")</f>
        <v/>
      </c>
      <c r="BT184" s="1663" t="str">
        <f t="shared" si="39"/>
        <v/>
      </c>
      <c r="BU184" s="1663" t="str">
        <f>IF(L67&lt;&gt;"",#REF!,"")</f>
        <v/>
      </c>
      <c r="BV184" s="1664" t="str">
        <f t="shared" si="40"/>
        <v/>
      </c>
      <c r="BW184" s="1655" t="e">
        <f t="shared" si="45"/>
        <v>#REF!</v>
      </c>
    </row>
    <row r="185" spans="43:75" ht="24.95" hidden="1" customHeight="1">
      <c r="AQ185" s="1657" t="str">
        <f t="shared" si="52"/>
        <v/>
      </c>
      <c r="AR185" s="1657" t="str">
        <f t="shared" si="46"/>
        <v/>
      </c>
      <c r="AS185" s="1657"/>
      <c r="AT185" s="1665"/>
      <c r="AU185" s="1645" t="str">
        <f t="shared" si="47"/>
        <v/>
      </c>
      <c r="AV185" s="1666"/>
      <c r="AW185" s="1618" t="e">
        <f>IF(#REF!&gt;0,#REF!,"")</f>
        <v>#REF!</v>
      </c>
      <c r="AX185" s="1618" t="e">
        <f>IF(#REF!&lt;&gt;"",#REF!,"")</f>
        <v>#REF!</v>
      </c>
      <c r="AY185" s="1648" t="str">
        <f t="shared" si="48"/>
        <v/>
      </c>
      <c r="AZ185" s="1667" t="str">
        <f t="shared" si="33"/>
        <v/>
      </c>
      <c r="BA185" s="1668" t="str">
        <f>IF(L68&lt;&gt;"",#REF!,"")</f>
        <v/>
      </c>
      <c r="BB185" s="1669" t="str">
        <f t="shared" si="42"/>
        <v/>
      </c>
      <c r="BC185" s="1668" t="str">
        <f>IF(L68&lt;&gt;"",#REF!,"")</f>
        <v/>
      </c>
      <c r="BD185" s="1669" t="str">
        <f t="shared" si="34"/>
        <v/>
      </c>
      <c r="BE185" s="1653" t="e">
        <f t="shared" si="43"/>
        <v>#REF!</v>
      </c>
      <c r="BI185" s="1658" t="str">
        <f t="shared" si="53"/>
        <v/>
      </c>
      <c r="BJ185" s="1659" t="str">
        <f t="shared" si="49"/>
        <v/>
      </c>
      <c r="BK185" s="1659"/>
      <c r="BL185" s="1659"/>
      <c r="BM185" s="1645" t="str">
        <f t="shared" si="50"/>
        <v/>
      </c>
      <c r="BN185" s="1620"/>
      <c r="BO185" s="1658" t="e">
        <f>IF(#REF!&gt;0,#REF!,"")</f>
        <v>#REF!</v>
      </c>
      <c r="BP185" s="1658" t="e">
        <f>IF(#REF!&lt;&gt;"",#REF!,"")</f>
        <v>#REF!</v>
      </c>
      <c r="BQ185" s="1648" t="str">
        <f t="shared" si="51"/>
        <v/>
      </c>
      <c r="BR185" s="1660" t="str">
        <f t="shared" si="38"/>
        <v/>
      </c>
      <c r="BS185" s="1662" t="str">
        <f>IF(L68&lt;&gt;"",#REF!,"")</f>
        <v/>
      </c>
      <c r="BT185" s="1663" t="str">
        <f t="shared" si="39"/>
        <v/>
      </c>
      <c r="BU185" s="1663" t="str">
        <f>IF(L68&lt;&gt;"",#REF!,"")</f>
        <v/>
      </c>
      <c r="BV185" s="1664" t="str">
        <f t="shared" si="40"/>
        <v/>
      </c>
      <c r="BW185" s="1655" t="e">
        <f t="shared" si="45"/>
        <v>#REF!</v>
      </c>
    </row>
    <row r="186" spans="43:75" ht="24.95" hidden="1" customHeight="1">
      <c r="AQ186" s="1657" t="str">
        <f t="shared" si="52"/>
        <v/>
      </c>
      <c r="AR186" s="1657" t="str">
        <f t="shared" si="46"/>
        <v/>
      </c>
      <c r="AS186" s="1657"/>
      <c r="AT186" s="1665"/>
      <c r="AU186" s="1645" t="str">
        <f t="shared" si="47"/>
        <v/>
      </c>
      <c r="AV186" s="1666"/>
      <c r="AW186" s="1618" t="e">
        <f>IF(#REF!&gt;0,#REF!,"")</f>
        <v>#REF!</v>
      </c>
      <c r="AX186" s="1618" t="e">
        <f>IF(#REF!&lt;&gt;"",#REF!,"")</f>
        <v>#REF!</v>
      </c>
      <c r="AY186" s="1648" t="str">
        <f t="shared" si="48"/>
        <v/>
      </c>
      <c r="AZ186" s="1667" t="str">
        <f t="shared" si="33"/>
        <v/>
      </c>
      <c r="BA186" s="1668" t="str">
        <f>IF(L69&lt;&gt;"",#REF!,"")</f>
        <v/>
      </c>
      <c r="BB186" s="1669" t="str">
        <f t="shared" si="42"/>
        <v/>
      </c>
      <c r="BC186" s="1668" t="str">
        <f>IF(L69&lt;&gt;"",#REF!,"")</f>
        <v/>
      </c>
      <c r="BD186" s="1669" t="str">
        <f t="shared" si="34"/>
        <v/>
      </c>
      <c r="BE186" s="1653" t="e">
        <f t="shared" si="43"/>
        <v>#REF!</v>
      </c>
      <c r="BI186" s="1658" t="str">
        <f t="shared" si="53"/>
        <v/>
      </c>
      <c r="BJ186" s="1659" t="str">
        <f t="shared" si="49"/>
        <v/>
      </c>
      <c r="BK186" s="1659"/>
      <c r="BL186" s="1659"/>
      <c r="BM186" s="1645" t="str">
        <f t="shared" si="50"/>
        <v/>
      </c>
      <c r="BN186" s="1620"/>
      <c r="BO186" s="1658" t="e">
        <f>IF(#REF!&gt;0,#REF!,"")</f>
        <v>#REF!</v>
      </c>
      <c r="BP186" s="1658" t="e">
        <f>IF(#REF!&lt;&gt;"",#REF!,"")</f>
        <v>#REF!</v>
      </c>
      <c r="BQ186" s="1648" t="str">
        <f t="shared" si="51"/>
        <v/>
      </c>
      <c r="BR186" s="1660" t="str">
        <f t="shared" si="38"/>
        <v/>
      </c>
      <c r="BS186" s="1662" t="str">
        <f>IF(L69&lt;&gt;"",#REF!,"")</f>
        <v/>
      </c>
      <c r="BT186" s="1663" t="str">
        <f t="shared" si="39"/>
        <v/>
      </c>
      <c r="BU186" s="1663" t="str">
        <f>IF(L69&lt;&gt;"",#REF!,"")</f>
        <v/>
      </c>
      <c r="BV186" s="1664" t="str">
        <f t="shared" si="40"/>
        <v/>
      </c>
      <c r="BW186" s="1655" t="e">
        <f t="shared" si="45"/>
        <v>#REF!</v>
      </c>
    </row>
    <row r="187" spans="43:75" ht="24.95" hidden="1" customHeight="1">
      <c r="AQ187" s="1657" t="str">
        <f t="shared" si="52"/>
        <v/>
      </c>
      <c r="AR187" s="1657" t="str">
        <f t="shared" si="46"/>
        <v/>
      </c>
      <c r="AS187" s="1657"/>
      <c r="AT187" s="1665"/>
      <c r="AU187" s="1645" t="str">
        <f t="shared" si="47"/>
        <v/>
      </c>
      <c r="AV187" s="1666"/>
      <c r="AW187" s="1618" t="e">
        <f>IF(#REF!&gt;0,#REF!,"")</f>
        <v>#REF!</v>
      </c>
      <c r="AX187" s="1618" t="e">
        <f>IF(#REF!&lt;&gt;"",#REF!,"")</f>
        <v>#REF!</v>
      </c>
      <c r="AY187" s="1648" t="str">
        <f t="shared" si="48"/>
        <v/>
      </c>
      <c r="AZ187" s="1667" t="str">
        <f t="shared" si="33"/>
        <v/>
      </c>
      <c r="BA187" s="1668" t="str">
        <f>IF(L70&lt;&gt;"",#REF!,"")</f>
        <v/>
      </c>
      <c r="BB187" s="1669" t="str">
        <f t="shared" si="42"/>
        <v/>
      </c>
      <c r="BC187" s="1668" t="str">
        <f>IF(L70&lt;&gt;"",#REF!,"")</f>
        <v/>
      </c>
      <c r="BD187" s="1669" t="str">
        <f t="shared" si="34"/>
        <v/>
      </c>
      <c r="BE187" s="1653" t="e">
        <f t="shared" si="43"/>
        <v>#REF!</v>
      </c>
      <c r="BI187" s="1658" t="str">
        <f t="shared" si="53"/>
        <v/>
      </c>
      <c r="BJ187" s="1659" t="str">
        <f t="shared" si="49"/>
        <v/>
      </c>
      <c r="BK187" s="1659"/>
      <c r="BL187" s="1659"/>
      <c r="BM187" s="1645" t="str">
        <f t="shared" si="50"/>
        <v/>
      </c>
      <c r="BN187" s="1620"/>
      <c r="BO187" s="1658" t="e">
        <f>IF(#REF!&gt;0,#REF!,"")</f>
        <v>#REF!</v>
      </c>
      <c r="BP187" s="1658" t="e">
        <f>IF(#REF!&lt;&gt;"",#REF!,"")</f>
        <v>#REF!</v>
      </c>
      <c r="BQ187" s="1648" t="str">
        <f t="shared" si="51"/>
        <v/>
      </c>
      <c r="BR187" s="1660" t="str">
        <f t="shared" si="38"/>
        <v/>
      </c>
      <c r="BS187" s="1662" t="str">
        <f>IF(L70&lt;&gt;"",#REF!,"")</f>
        <v/>
      </c>
      <c r="BT187" s="1663" t="str">
        <f t="shared" si="39"/>
        <v/>
      </c>
      <c r="BU187" s="1663" t="str">
        <f>IF(L70&lt;&gt;"",#REF!,"")</f>
        <v/>
      </c>
      <c r="BV187" s="1664" t="str">
        <f t="shared" si="40"/>
        <v/>
      </c>
      <c r="BW187" s="1655" t="e">
        <f t="shared" si="45"/>
        <v>#REF!</v>
      </c>
    </row>
    <row r="188" spans="43:75" ht="24.95" hidden="1" customHeight="1">
      <c r="AQ188" s="1657" t="str">
        <f t="shared" si="52"/>
        <v/>
      </c>
      <c r="AR188" s="1657" t="str">
        <f t="shared" si="46"/>
        <v/>
      </c>
      <c r="AS188" s="1657"/>
      <c r="AT188" s="1665"/>
      <c r="AU188" s="1645" t="str">
        <f t="shared" si="47"/>
        <v/>
      </c>
      <c r="AV188" s="1666"/>
      <c r="AW188" s="1618" t="e">
        <f>IF(#REF!&gt;0,#REF!,"")</f>
        <v>#REF!</v>
      </c>
      <c r="AX188" s="1618" t="e">
        <f>IF(#REF!&lt;&gt;"",#REF!,"")</f>
        <v>#REF!</v>
      </c>
      <c r="AY188" s="1648" t="str">
        <f t="shared" si="48"/>
        <v/>
      </c>
      <c r="AZ188" s="1667" t="str">
        <f t="shared" si="33"/>
        <v/>
      </c>
      <c r="BA188" s="1668" t="str">
        <f>IF(L71&lt;&gt;"",#REF!,"")</f>
        <v/>
      </c>
      <c r="BB188" s="1669" t="str">
        <f t="shared" si="42"/>
        <v/>
      </c>
      <c r="BC188" s="1668" t="str">
        <f>IF(L71&lt;&gt;"",#REF!,"")</f>
        <v/>
      </c>
      <c r="BD188" s="1669" t="str">
        <f t="shared" si="34"/>
        <v/>
      </c>
      <c r="BE188" s="1653" t="e">
        <f t="shared" si="43"/>
        <v>#REF!</v>
      </c>
      <c r="BI188" s="1658" t="str">
        <f t="shared" si="53"/>
        <v/>
      </c>
      <c r="BJ188" s="1659" t="str">
        <f t="shared" si="49"/>
        <v/>
      </c>
      <c r="BK188" s="1659"/>
      <c r="BL188" s="1659"/>
      <c r="BM188" s="1645" t="str">
        <f t="shared" si="50"/>
        <v/>
      </c>
      <c r="BN188" s="1620"/>
      <c r="BO188" s="1658" t="e">
        <f>IF(#REF!&gt;0,#REF!,"")</f>
        <v>#REF!</v>
      </c>
      <c r="BP188" s="1658" t="e">
        <f>IF(#REF!&lt;&gt;"",#REF!,"")</f>
        <v>#REF!</v>
      </c>
      <c r="BQ188" s="1648" t="str">
        <f t="shared" si="51"/>
        <v/>
      </c>
      <c r="BR188" s="1660" t="str">
        <f t="shared" si="38"/>
        <v/>
      </c>
      <c r="BS188" s="1662" t="str">
        <f>IF(L71&lt;&gt;"",#REF!,"")</f>
        <v/>
      </c>
      <c r="BT188" s="1663" t="str">
        <f t="shared" si="39"/>
        <v/>
      </c>
      <c r="BU188" s="1663" t="str">
        <f>IF(L71&lt;&gt;"",#REF!,"")</f>
        <v/>
      </c>
      <c r="BV188" s="1664" t="str">
        <f t="shared" si="40"/>
        <v/>
      </c>
      <c r="BW188" s="1655" t="e">
        <f t="shared" si="45"/>
        <v>#REF!</v>
      </c>
    </row>
    <row r="189" spans="43:75" ht="24.95" hidden="1" customHeight="1">
      <c r="AQ189" s="1657" t="str">
        <f t="shared" si="52"/>
        <v/>
      </c>
      <c r="AR189" s="1657" t="str">
        <f t="shared" ref="AR189:AR204" si="54">IF(K72&lt;&gt;"",K72,"")</f>
        <v/>
      </c>
      <c r="AS189" s="1657"/>
      <c r="AT189" s="1665"/>
      <c r="AU189" s="1645" t="str">
        <f t="shared" ref="AU189:AU200" si="55">IF(L72&lt;&gt;"",MID(L72,7,200),"")</f>
        <v/>
      </c>
      <c r="AV189" s="1666"/>
      <c r="AW189" s="1618" t="e">
        <f>IF(#REF!&gt;0,#REF!,"")</f>
        <v>#REF!</v>
      </c>
      <c r="AX189" s="1618" t="e">
        <f>IF(#REF!&lt;&gt;"",#REF!,"")</f>
        <v>#REF!</v>
      </c>
      <c r="AY189" s="1648" t="str">
        <f t="shared" ref="AY189:AY200" si="56">IF(L72&lt;&gt;"",MID(M72,5,100),"")</f>
        <v/>
      </c>
      <c r="AZ189" s="1667" t="str">
        <f t="shared" ref="AZ189:AZ204" si="57">IF(AU189="","",quote_currency_symbol)</f>
        <v/>
      </c>
      <c r="BA189" s="1668" t="str">
        <f>IF(L72&lt;&gt;"",#REF!,"")</f>
        <v/>
      </c>
      <c r="BB189" s="1669" t="str">
        <f t="shared" si="42"/>
        <v/>
      </c>
      <c r="BC189" s="1668" t="str">
        <f>IF(L72&lt;&gt;"",#REF!,"")</f>
        <v/>
      </c>
      <c r="BD189" s="1669" t="str">
        <f t="shared" ref="BD189:BD204" si="58">IF(AU189="","",quote_currency_symbol)</f>
        <v/>
      </c>
      <c r="BE189" s="1653" t="e">
        <f t="shared" si="43"/>
        <v>#REF!</v>
      </c>
      <c r="BI189" s="1658" t="str">
        <f t="shared" si="53"/>
        <v/>
      </c>
      <c r="BJ189" s="1659" t="str">
        <f t="shared" ref="BJ189:BJ204" si="59">IF(L72&lt;&gt;"",K72,"")</f>
        <v/>
      </c>
      <c r="BK189" s="1659"/>
      <c r="BL189" s="1659"/>
      <c r="BM189" s="1645" t="str">
        <f t="shared" ref="BM189:BM204" si="60">IF(L72&lt;&gt;"",MID(L72,7,200),"")</f>
        <v/>
      </c>
      <c r="BN189" s="1620"/>
      <c r="BO189" s="1658" t="e">
        <f>IF(#REF!&gt;0,#REF!,"")</f>
        <v>#REF!</v>
      </c>
      <c r="BP189" s="1658" t="e">
        <f>IF(#REF!&lt;&gt;"",#REF!,"")</f>
        <v>#REF!</v>
      </c>
      <c r="BQ189" s="1648" t="str">
        <f t="shared" ref="BQ189:BQ204" si="61">IF(L72&lt;&gt;"",MID(M72,5,100),"")</f>
        <v/>
      </c>
      <c r="BR189" s="1660" t="str">
        <f t="shared" ref="BR189:BR204" si="62">IF(BM189="","",quote_currency_symbol)</f>
        <v/>
      </c>
      <c r="BS189" s="1662" t="str">
        <f>IF(L72&lt;&gt;"",#REF!,"")</f>
        <v/>
      </c>
      <c r="BT189" s="1663" t="str">
        <f t="shared" ref="BT189:BT204" si="63">IF(BM189="","",quote_currency_symbol)</f>
        <v/>
      </c>
      <c r="BU189" s="1663" t="str">
        <f>IF(L72&lt;&gt;"",#REF!,"")</f>
        <v/>
      </c>
      <c r="BV189" s="1664" t="str">
        <f t="shared" ref="BV189:BV204" si="64">IF(BM189="","",quote_currency_symbol)</f>
        <v/>
      </c>
      <c r="BW189" s="1655" t="e">
        <f t="shared" si="45"/>
        <v>#REF!</v>
      </c>
    </row>
    <row r="190" spans="43:75" ht="24.95" hidden="1" customHeight="1">
      <c r="AQ190" s="1657" t="str">
        <f t="shared" ref="AQ190:AQ204" si="65">IF(L73="","",AQ189+1)</f>
        <v/>
      </c>
      <c r="AR190" s="1657" t="str">
        <f t="shared" si="54"/>
        <v/>
      </c>
      <c r="AS190" s="1657"/>
      <c r="AT190" s="1665"/>
      <c r="AU190" s="1645" t="str">
        <f t="shared" si="55"/>
        <v/>
      </c>
      <c r="AV190" s="1666"/>
      <c r="AW190" s="1618" t="e">
        <f>IF(#REF!&gt;0,#REF!,"")</f>
        <v>#REF!</v>
      </c>
      <c r="AX190" s="1618" t="e">
        <f>IF(#REF!&lt;&gt;"",#REF!,"")</f>
        <v>#REF!</v>
      </c>
      <c r="AY190" s="1648" t="str">
        <f t="shared" si="56"/>
        <v/>
      </c>
      <c r="AZ190" s="1667" t="str">
        <f t="shared" si="57"/>
        <v/>
      </c>
      <c r="BA190" s="1668" t="str">
        <f>IF(L73&lt;&gt;"",#REF!,"")</f>
        <v/>
      </c>
      <c r="BB190" s="1669" t="str">
        <f t="shared" ref="BB190:BB204" si="66">IF(AU190="","",quote_currency_symbol)</f>
        <v/>
      </c>
      <c r="BC190" s="1668" t="str">
        <f>IF(L73&lt;&gt;"",#REF!,"")</f>
        <v/>
      </c>
      <c r="BD190" s="1669" t="str">
        <f t="shared" si="58"/>
        <v/>
      </c>
      <c r="BE190" s="1653" t="e">
        <f t="shared" ref="BE190:BE204" si="67">IF(AND(AU190&lt;&gt;"",AW190&gt;0),(N(AW190))*BA190-BC190,"")</f>
        <v>#REF!</v>
      </c>
      <c r="BI190" s="1658" t="str">
        <f t="shared" ref="BI190:BI204" si="68">IF(L73="","",BI189+1)</f>
        <v/>
      </c>
      <c r="BJ190" s="1659" t="str">
        <f t="shared" si="59"/>
        <v/>
      </c>
      <c r="BK190" s="1659"/>
      <c r="BL190" s="1659"/>
      <c r="BM190" s="1645" t="str">
        <f t="shared" si="60"/>
        <v/>
      </c>
      <c r="BN190" s="1620"/>
      <c r="BO190" s="1658" t="e">
        <f>IF(#REF!&gt;0,#REF!,"")</f>
        <v>#REF!</v>
      </c>
      <c r="BP190" s="1658" t="e">
        <f>IF(#REF!&lt;&gt;"",#REF!,"")</f>
        <v>#REF!</v>
      </c>
      <c r="BQ190" s="1648" t="str">
        <f t="shared" si="61"/>
        <v/>
      </c>
      <c r="BR190" s="1660" t="str">
        <f t="shared" si="62"/>
        <v/>
      </c>
      <c r="BS190" s="1662" t="str">
        <f>IF(L73&lt;&gt;"",#REF!,"")</f>
        <v/>
      </c>
      <c r="BT190" s="1663" t="str">
        <f t="shared" si="63"/>
        <v/>
      </c>
      <c r="BU190" s="1663" t="str">
        <f>IF(L73&lt;&gt;"",#REF!,"")</f>
        <v/>
      </c>
      <c r="BV190" s="1664" t="str">
        <f t="shared" si="64"/>
        <v/>
      </c>
      <c r="BW190" s="1655" t="e">
        <f t="shared" ref="BW190:BW204" si="69">IF(AND(BM190&lt;&gt;"",BO190&gt;0),(N(BO190))*BS190-BU190,"")</f>
        <v>#REF!</v>
      </c>
    </row>
    <row r="191" spans="43:75" ht="24.95" hidden="1" customHeight="1">
      <c r="AQ191" s="1657" t="str">
        <f t="shared" si="65"/>
        <v/>
      </c>
      <c r="AR191" s="1657" t="str">
        <f t="shared" si="54"/>
        <v/>
      </c>
      <c r="AS191" s="1657"/>
      <c r="AT191" s="1665"/>
      <c r="AU191" s="1645" t="str">
        <f t="shared" si="55"/>
        <v/>
      </c>
      <c r="AV191" s="1666"/>
      <c r="AW191" s="1618" t="e">
        <f>IF(#REF!&gt;0,#REF!,"")</f>
        <v>#REF!</v>
      </c>
      <c r="AX191" s="1618" t="e">
        <f>IF(#REF!&lt;&gt;"",#REF!,"")</f>
        <v>#REF!</v>
      </c>
      <c r="AY191" s="1648" t="str">
        <f t="shared" si="56"/>
        <v/>
      </c>
      <c r="AZ191" s="1667" t="str">
        <f t="shared" si="57"/>
        <v/>
      </c>
      <c r="BA191" s="1668" t="str">
        <f>IF(L74&lt;&gt;"",#REF!,"")</f>
        <v/>
      </c>
      <c r="BB191" s="1669" t="str">
        <f t="shared" si="66"/>
        <v/>
      </c>
      <c r="BC191" s="1668" t="str">
        <f>IF(L74&lt;&gt;"",#REF!,"")</f>
        <v/>
      </c>
      <c r="BD191" s="1669" t="str">
        <f t="shared" si="58"/>
        <v/>
      </c>
      <c r="BE191" s="1653" t="e">
        <f t="shared" si="67"/>
        <v>#REF!</v>
      </c>
      <c r="BI191" s="1658" t="str">
        <f t="shared" si="68"/>
        <v/>
      </c>
      <c r="BJ191" s="1659" t="str">
        <f t="shared" si="59"/>
        <v/>
      </c>
      <c r="BK191" s="1659"/>
      <c r="BL191" s="1659"/>
      <c r="BM191" s="1645" t="str">
        <f t="shared" si="60"/>
        <v/>
      </c>
      <c r="BN191" s="1620"/>
      <c r="BO191" s="1658" t="e">
        <f>IF(#REF!&gt;0,#REF!,"")</f>
        <v>#REF!</v>
      </c>
      <c r="BP191" s="1658" t="e">
        <f>IF(#REF!&lt;&gt;"",#REF!,"")</f>
        <v>#REF!</v>
      </c>
      <c r="BQ191" s="1648" t="str">
        <f t="shared" si="61"/>
        <v/>
      </c>
      <c r="BR191" s="1660" t="str">
        <f t="shared" si="62"/>
        <v/>
      </c>
      <c r="BS191" s="1662" t="str">
        <f>IF(L74&lt;&gt;"",#REF!,"")</f>
        <v/>
      </c>
      <c r="BT191" s="1663" t="str">
        <f t="shared" si="63"/>
        <v/>
      </c>
      <c r="BU191" s="1663" t="str">
        <f>IF(L74&lt;&gt;"",#REF!,"")</f>
        <v/>
      </c>
      <c r="BV191" s="1664" t="str">
        <f t="shared" si="64"/>
        <v/>
      </c>
      <c r="BW191" s="1655" t="e">
        <f t="shared" si="69"/>
        <v>#REF!</v>
      </c>
    </row>
    <row r="192" spans="43:75" ht="24.95" hidden="1" customHeight="1">
      <c r="AQ192" s="1657" t="str">
        <f t="shared" si="65"/>
        <v/>
      </c>
      <c r="AR192" s="1657" t="str">
        <f t="shared" si="54"/>
        <v/>
      </c>
      <c r="AS192" s="1657"/>
      <c r="AT192" s="1665"/>
      <c r="AU192" s="1645" t="str">
        <f t="shared" si="55"/>
        <v/>
      </c>
      <c r="AV192" s="1666"/>
      <c r="AW192" s="1618" t="e">
        <f>IF(#REF!&gt;0,#REF!,"")</f>
        <v>#REF!</v>
      </c>
      <c r="AX192" s="1618" t="e">
        <f>IF(#REF!&lt;&gt;"",#REF!,"")</f>
        <v>#REF!</v>
      </c>
      <c r="AY192" s="1648" t="str">
        <f t="shared" si="56"/>
        <v/>
      </c>
      <c r="AZ192" s="1667" t="str">
        <f t="shared" si="57"/>
        <v/>
      </c>
      <c r="BA192" s="1668" t="str">
        <f>IF(L75&lt;&gt;"",#REF!,"")</f>
        <v/>
      </c>
      <c r="BB192" s="1669" t="str">
        <f t="shared" si="66"/>
        <v/>
      </c>
      <c r="BC192" s="1668" t="str">
        <f>IF(L75&lt;&gt;"",#REF!,"")</f>
        <v/>
      </c>
      <c r="BD192" s="1669" t="str">
        <f t="shared" si="58"/>
        <v/>
      </c>
      <c r="BE192" s="1653" t="e">
        <f t="shared" si="67"/>
        <v>#REF!</v>
      </c>
      <c r="BI192" s="1658" t="str">
        <f t="shared" si="68"/>
        <v/>
      </c>
      <c r="BJ192" s="1659" t="str">
        <f t="shared" si="59"/>
        <v/>
      </c>
      <c r="BK192" s="1659"/>
      <c r="BL192" s="1659"/>
      <c r="BM192" s="1645" t="str">
        <f t="shared" si="60"/>
        <v/>
      </c>
      <c r="BN192" s="1620"/>
      <c r="BO192" s="1658" t="e">
        <f>IF(#REF!&gt;0,#REF!,"")</f>
        <v>#REF!</v>
      </c>
      <c r="BP192" s="1658" t="e">
        <f>IF(#REF!&lt;&gt;"",#REF!,"")</f>
        <v>#REF!</v>
      </c>
      <c r="BQ192" s="1648" t="str">
        <f t="shared" si="61"/>
        <v/>
      </c>
      <c r="BR192" s="1660" t="str">
        <f t="shared" si="62"/>
        <v/>
      </c>
      <c r="BS192" s="1662" t="str">
        <f>IF(L75&lt;&gt;"",#REF!,"")</f>
        <v/>
      </c>
      <c r="BT192" s="1663" t="str">
        <f t="shared" si="63"/>
        <v/>
      </c>
      <c r="BU192" s="1663" t="str">
        <f>IF(L75&lt;&gt;"",#REF!,"")</f>
        <v/>
      </c>
      <c r="BV192" s="1664" t="str">
        <f t="shared" si="64"/>
        <v/>
      </c>
      <c r="BW192" s="1655" t="e">
        <f t="shared" si="69"/>
        <v>#REF!</v>
      </c>
    </row>
    <row r="193" spans="43:75" ht="24.95" hidden="1" customHeight="1">
      <c r="AQ193" s="1657" t="str">
        <f t="shared" si="65"/>
        <v/>
      </c>
      <c r="AR193" s="1657" t="str">
        <f t="shared" si="54"/>
        <v/>
      </c>
      <c r="AS193" s="1657"/>
      <c r="AT193" s="1665"/>
      <c r="AU193" s="1645" t="str">
        <f t="shared" si="55"/>
        <v/>
      </c>
      <c r="AV193" s="1666"/>
      <c r="AW193" s="1618" t="e">
        <f>IF(#REF!&gt;0,#REF!,"")</f>
        <v>#REF!</v>
      </c>
      <c r="AX193" s="1618" t="e">
        <f>IF(#REF!&lt;&gt;"",#REF!,"")</f>
        <v>#REF!</v>
      </c>
      <c r="AY193" s="1648" t="str">
        <f t="shared" si="56"/>
        <v/>
      </c>
      <c r="AZ193" s="1667" t="str">
        <f t="shared" si="57"/>
        <v/>
      </c>
      <c r="BA193" s="1668" t="str">
        <f>IF(L76&lt;&gt;"",#REF!,"")</f>
        <v/>
      </c>
      <c r="BB193" s="1669" t="str">
        <f t="shared" si="66"/>
        <v/>
      </c>
      <c r="BC193" s="1668" t="str">
        <f>IF(L76&lt;&gt;"",#REF!,"")</f>
        <v/>
      </c>
      <c r="BD193" s="1669" t="str">
        <f t="shared" si="58"/>
        <v/>
      </c>
      <c r="BE193" s="1653" t="e">
        <f t="shared" si="67"/>
        <v>#REF!</v>
      </c>
      <c r="BI193" s="1658" t="str">
        <f t="shared" si="68"/>
        <v/>
      </c>
      <c r="BJ193" s="1659" t="str">
        <f t="shared" si="59"/>
        <v/>
      </c>
      <c r="BK193" s="1659"/>
      <c r="BL193" s="1659"/>
      <c r="BM193" s="1645" t="str">
        <f t="shared" si="60"/>
        <v/>
      </c>
      <c r="BN193" s="1620"/>
      <c r="BO193" s="1658" t="e">
        <f>IF(#REF!&gt;0,#REF!,"")</f>
        <v>#REF!</v>
      </c>
      <c r="BP193" s="1658" t="e">
        <f>IF(#REF!&lt;&gt;"",#REF!,"")</f>
        <v>#REF!</v>
      </c>
      <c r="BQ193" s="1648" t="str">
        <f t="shared" si="61"/>
        <v/>
      </c>
      <c r="BR193" s="1660" t="str">
        <f t="shared" si="62"/>
        <v/>
      </c>
      <c r="BS193" s="1662" t="str">
        <f>IF(L76&lt;&gt;"",#REF!,"")</f>
        <v/>
      </c>
      <c r="BT193" s="1663" t="str">
        <f t="shared" si="63"/>
        <v/>
      </c>
      <c r="BU193" s="1663" t="str">
        <f>IF(L76&lt;&gt;"",#REF!,"")</f>
        <v/>
      </c>
      <c r="BV193" s="1664" t="str">
        <f t="shared" si="64"/>
        <v/>
      </c>
      <c r="BW193" s="1655" t="e">
        <f t="shared" si="69"/>
        <v>#REF!</v>
      </c>
    </row>
    <row r="194" spans="43:75" ht="24.95" hidden="1" customHeight="1">
      <c r="AQ194" s="1657" t="str">
        <f t="shared" si="65"/>
        <v/>
      </c>
      <c r="AR194" s="1657" t="str">
        <f t="shared" si="54"/>
        <v/>
      </c>
      <c r="AS194" s="1657"/>
      <c r="AT194" s="1665"/>
      <c r="AU194" s="1645" t="str">
        <f t="shared" si="55"/>
        <v/>
      </c>
      <c r="AV194" s="1666"/>
      <c r="AW194" s="1618" t="e">
        <f>IF(#REF!&gt;0,#REF!,"")</f>
        <v>#REF!</v>
      </c>
      <c r="AX194" s="1618" t="e">
        <f>IF(#REF!&lt;&gt;"",#REF!,"")</f>
        <v>#REF!</v>
      </c>
      <c r="AY194" s="1648" t="str">
        <f t="shared" si="56"/>
        <v/>
      </c>
      <c r="AZ194" s="1667" t="str">
        <f t="shared" si="57"/>
        <v/>
      </c>
      <c r="BA194" s="1668" t="str">
        <f>IF(L77&lt;&gt;"",#REF!,"")</f>
        <v/>
      </c>
      <c r="BB194" s="1669" t="str">
        <f t="shared" si="66"/>
        <v/>
      </c>
      <c r="BC194" s="1668" t="str">
        <f>IF(L77&lt;&gt;"",#REF!,"")</f>
        <v/>
      </c>
      <c r="BD194" s="1669" t="str">
        <f t="shared" si="58"/>
        <v/>
      </c>
      <c r="BE194" s="1653" t="e">
        <f t="shared" si="67"/>
        <v>#REF!</v>
      </c>
      <c r="BI194" s="1658" t="str">
        <f t="shared" si="68"/>
        <v/>
      </c>
      <c r="BJ194" s="1659" t="str">
        <f t="shared" si="59"/>
        <v/>
      </c>
      <c r="BK194" s="1659"/>
      <c r="BL194" s="1659"/>
      <c r="BM194" s="1645" t="str">
        <f t="shared" si="60"/>
        <v/>
      </c>
      <c r="BN194" s="1620"/>
      <c r="BO194" s="1658" t="e">
        <f>IF(#REF!&gt;0,#REF!,"")</f>
        <v>#REF!</v>
      </c>
      <c r="BP194" s="1658" t="e">
        <f>IF(#REF!&lt;&gt;"",#REF!,"")</f>
        <v>#REF!</v>
      </c>
      <c r="BQ194" s="1648" t="str">
        <f t="shared" si="61"/>
        <v/>
      </c>
      <c r="BR194" s="1660" t="str">
        <f t="shared" si="62"/>
        <v/>
      </c>
      <c r="BS194" s="1662" t="str">
        <f>IF(L77&lt;&gt;"",#REF!,"")</f>
        <v/>
      </c>
      <c r="BT194" s="1663" t="str">
        <f t="shared" si="63"/>
        <v/>
      </c>
      <c r="BU194" s="1663" t="str">
        <f>IF(L77&lt;&gt;"",#REF!,"")</f>
        <v/>
      </c>
      <c r="BV194" s="1664" t="str">
        <f t="shared" si="64"/>
        <v/>
      </c>
      <c r="BW194" s="1655" t="e">
        <f t="shared" si="69"/>
        <v>#REF!</v>
      </c>
    </row>
    <row r="195" spans="43:75" ht="24.95" hidden="1" customHeight="1">
      <c r="AQ195" s="1657" t="str">
        <f t="shared" si="65"/>
        <v/>
      </c>
      <c r="AR195" s="1657" t="str">
        <f t="shared" si="54"/>
        <v/>
      </c>
      <c r="AS195" s="1657"/>
      <c r="AT195" s="1665"/>
      <c r="AU195" s="1645" t="str">
        <f t="shared" si="55"/>
        <v/>
      </c>
      <c r="AV195" s="1666"/>
      <c r="AW195" s="1618" t="e">
        <f>IF(#REF!&gt;0,#REF!,"")</f>
        <v>#REF!</v>
      </c>
      <c r="AX195" s="1618" t="e">
        <f>IF(#REF!&lt;&gt;"",#REF!,"")</f>
        <v>#REF!</v>
      </c>
      <c r="AY195" s="1648" t="str">
        <f t="shared" si="56"/>
        <v/>
      </c>
      <c r="AZ195" s="1667" t="str">
        <f t="shared" si="57"/>
        <v/>
      </c>
      <c r="BA195" s="1668" t="str">
        <f>IF(L78&lt;&gt;"",#REF!,"")</f>
        <v/>
      </c>
      <c r="BB195" s="1669" t="str">
        <f t="shared" si="66"/>
        <v/>
      </c>
      <c r="BC195" s="1668" t="str">
        <f>IF(L78&lt;&gt;"",#REF!,"")</f>
        <v/>
      </c>
      <c r="BD195" s="1669" t="str">
        <f t="shared" si="58"/>
        <v/>
      </c>
      <c r="BE195" s="1653" t="e">
        <f t="shared" si="67"/>
        <v>#REF!</v>
      </c>
      <c r="BI195" s="1658" t="str">
        <f t="shared" si="68"/>
        <v/>
      </c>
      <c r="BJ195" s="1659" t="str">
        <f t="shared" si="59"/>
        <v/>
      </c>
      <c r="BK195" s="1659"/>
      <c r="BL195" s="1659"/>
      <c r="BM195" s="1645" t="str">
        <f t="shared" si="60"/>
        <v/>
      </c>
      <c r="BN195" s="1620"/>
      <c r="BO195" s="1658" t="e">
        <f>IF(#REF!&gt;0,#REF!,"")</f>
        <v>#REF!</v>
      </c>
      <c r="BP195" s="1658" t="e">
        <f>IF(#REF!&lt;&gt;"",#REF!,"")</f>
        <v>#REF!</v>
      </c>
      <c r="BQ195" s="1648" t="str">
        <f t="shared" si="61"/>
        <v/>
      </c>
      <c r="BR195" s="1660" t="str">
        <f t="shared" si="62"/>
        <v/>
      </c>
      <c r="BS195" s="1662" t="str">
        <f>IF(L78&lt;&gt;"",#REF!,"")</f>
        <v/>
      </c>
      <c r="BT195" s="1663" t="str">
        <f t="shared" si="63"/>
        <v/>
      </c>
      <c r="BU195" s="1663" t="str">
        <f>IF(L78&lt;&gt;"",#REF!,"")</f>
        <v/>
      </c>
      <c r="BV195" s="1664" t="str">
        <f t="shared" si="64"/>
        <v/>
      </c>
      <c r="BW195" s="1655" t="e">
        <f t="shared" si="69"/>
        <v>#REF!</v>
      </c>
    </row>
    <row r="196" spans="43:75" ht="24.95" hidden="1" customHeight="1">
      <c r="AQ196" s="1657" t="str">
        <f t="shared" si="65"/>
        <v/>
      </c>
      <c r="AR196" s="1657" t="str">
        <f t="shared" si="54"/>
        <v/>
      </c>
      <c r="AS196" s="1657"/>
      <c r="AT196" s="1665"/>
      <c r="AU196" s="1645" t="str">
        <f t="shared" si="55"/>
        <v/>
      </c>
      <c r="AV196" s="1666"/>
      <c r="AW196" s="1618" t="e">
        <f>IF(#REF!&gt;0,#REF!,"")</f>
        <v>#REF!</v>
      </c>
      <c r="AX196" s="1618" t="e">
        <f>IF(#REF!&lt;&gt;"",#REF!,"")</f>
        <v>#REF!</v>
      </c>
      <c r="AY196" s="1648" t="str">
        <f t="shared" si="56"/>
        <v/>
      </c>
      <c r="AZ196" s="1667" t="str">
        <f t="shared" si="57"/>
        <v/>
      </c>
      <c r="BA196" s="1668" t="str">
        <f>IF(L79&lt;&gt;"",#REF!,"")</f>
        <v/>
      </c>
      <c r="BB196" s="1669" t="str">
        <f t="shared" si="66"/>
        <v/>
      </c>
      <c r="BC196" s="1668" t="str">
        <f>IF(L79&lt;&gt;"",#REF!,"")</f>
        <v/>
      </c>
      <c r="BD196" s="1669" t="str">
        <f t="shared" si="58"/>
        <v/>
      </c>
      <c r="BE196" s="1653" t="e">
        <f t="shared" si="67"/>
        <v>#REF!</v>
      </c>
      <c r="BI196" s="1658" t="str">
        <f t="shared" si="68"/>
        <v/>
      </c>
      <c r="BJ196" s="1659" t="str">
        <f t="shared" si="59"/>
        <v/>
      </c>
      <c r="BK196" s="1659"/>
      <c r="BL196" s="1659"/>
      <c r="BM196" s="1645" t="str">
        <f t="shared" si="60"/>
        <v/>
      </c>
      <c r="BN196" s="1620"/>
      <c r="BO196" s="1658" t="e">
        <f>IF(#REF!&gt;0,#REF!,"")</f>
        <v>#REF!</v>
      </c>
      <c r="BP196" s="1658" t="e">
        <f>IF(#REF!&lt;&gt;"",#REF!,"")</f>
        <v>#REF!</v>
      </c>
      <c r="BQ196" s="1648" t="str">
        <f t="shared" si="61"/>
        <v/>
      </c>
      <c r="BR196" s="1660" t="str">
        <f t="shared" si="62"/>
        <v/>
      </c>
      <c r="BS196" s="1662" t="str">
        <f>IF(L79&lt;&gt;"",#REF!,"")</f>
        <v/>
      </c>
      <c r="BT196" s="1663" t="str">
        <f t="shared" si="63"/>
        <v/>
      </c>
      <c r="BU196" s="1663" t="str">
        <f>IF(L79&lt;&gt;"",#REF!,"")</f>
        <v/>
      </c>
      <c r="BV196" s="1664" t="str">
        <f t="shared" si="64"/>
        <v/>
      </c>
      <c r="BW196" s="1655" t="e">
        <f t="shared" si="69"/>
        <v>#REF!</v>
      </c>
    </row>
    <row r="197" spans="43:75" ht="24.95" hidden="1" customHeight="1">
      <c r="AQ197" s="1657" t="str">
        <f t="shared" si="65"/>
        <v/>
      </c>
      <c r="AR197" s="1657" t="str">
        <f t="shared" si="54"/>
        <v/>
      </c>
      <c r="AS197" s="1657"/>
      <c r="AT197" s="1665"/>
      <c r="AU197" s="1645" t="str">
        <f t="shared" si="55"/>
        <v/>
      </c>
      <c r="AV197" s="1666"/>
      <c r="AW197" s="1618" t="e">
        <f>IF(#REF!&gt;0,#REF!,"")</f>
        <v>#REF!</v>
      </c>
      <c r="AX197" s="1618" t="e">
        <f>IF(#REF!&lt;&gt;"",#REF!,"")</f>
        <v>#REF!</v>
      </c>
      <c r="AY197" s="1648" t="str">
        <f t="shared" si="56"/>
        <v/>
      </c>
      <c r="AZ197" s="1667" t="str">
        <f t="shared" si="57"/>
        <v/>
      </c>
      <c r="BA197" s="1668" t="str">
        <f>IF(L80&lt;&gt;"",#REF!,"")</f>
        <v/>
      </c>
      <c r="BB197" s="1669" t="str">
        <f t="shared" si="66"/>
        <v/>
      </c>
      <c r="BC197" s="1668" t="str">
        <f>IF(L80&lt;&gt;"",#REF!,"")</f>
        <v/>
      </c>
      <c r="BD197" s="1669" t="str">
        <f t="shared" si="58"/>
        <v/>
      </c>
      <c r="BE197" s="1653" t="e">
        <f t="shared" si="67"/>
        <v>#REF!</v>
      </c>
      <c r="BI197" s="1658" t="str">
        <f t="shared" si="68"/>
        <v/>
      </c>
      <c r="BJ197" s="1659" t="str">
        <f t="shared" si="59"/>
        <v/>
      </c>
      <c r="BK197" s="1659"/>
      <c r="BL197" s="1659"/>
      <c r="BM197" s="1645" t="str">
        <f t="shared" si="60"/>
        <v/>
      </c>
      <c r="BN197" s="1620"/>
      <c r="BO197" s="1658" t="e">
        <f>IF(#REF!&gt;0,#REF!,"")</f>
        <v>#REF!</v>
      </c>
      <c r="BP197" s="1658" t="e">
        <f>IF(#REF!&lt;&gt;"",#REF!,"")</f>
        <v>#REF!</v>
      </c>
      <c r="BQ197" s="1648" t="str">
        <f t="shared" si="61"/>
        <v/>
      </c>
      <c r="BR197" s="1660" t="str">
        <f t="shared" si="62"/>
        <v/>
      </c>
      <c r="BS197" s="1662" t="str">
        <f>IF(L80&lt;&gt;"",#REF!,"")</f>
        <v/>
      </c>
      <c r="BT197" s="1663" t="str">
        <f t="shared" si="63"/>
        <v/>
      </c>
      <c r="BU197" s="1663" t="str">
        <f>IF(L80&lt;&gt;"",#REF!,"")</f>
        <v/>
      </c>
      <c r="BV197" s="1664" t="str">
        <f t="shared" si="64"/>
        <v/>
      </c>
      <c r="BW197" s="1655" t="e">
        <f t="shared" si="69"/>
        <v>#REF!</v>
      </c>
    </row>
    <row r="198" spans="43:75" ht="24.95" hidden="1" customHeight="1">
      <c r="AQ198" s="1657" t="str">
        <f t="shared" si="65"/>
        <v/>
      </c>
      <c r="AR198" s="1657" t="str">
        <f t="shared" si="54"/>
        <v/>
      </c>
      <c r="AS198" s="1657"/>
      <c r="AT198" s="1665"/>
      <c r="AU198" s="1645" t="str">
        <f t="shared" si="55"/>
        <v/>
      </c>
      <c r="AV198" s="1666"/>
      <c r="AW198" s="1618" t="e">
        <f>IF(#REF!&gt;0,#REF!,"")</f>
        <v>#REF!</v>
      </c>
      <c r="AX198" s="1618" t="e">
        <f>IF(#REF!&lt;&gt;"",#REF!,"")</f>
        <v>#REF!</v>
      </c>
      <c r="AY198" s="1648" t="str">
        <f t="shared" si="56"/>
        <v/>
      </c>
      <c r="AZ198" s="1667" t="str">
        <f t="shared" si="57"/>
        <v/>
      </c>
      <c r="BA198" s="1668" t="str">
        <f>IF(L81&lt;&gt;"",#REF!,"")</f>
        <v/>
      </c>
      <c r="BB198" s="1669" t="str">
        <f t="shared" si="66"/>
        <v/>
      </c>
      <c r="BC198" s="1668" t="str">
        <f>IF(L81&lt;&gt;"",#REF!,"")</f>
        <v/>
      </c>
      <c r="BD198" s="1669" t="str">
        <f t="shared" si="58"/>
        <v/>
      </c>
      <c r="BE198" s="1653" t="e">
        <f t="shared" si="67"/>
        <v>#REF!</v>
      </c>
      <c r="BI198" s="1658" t="str">
        <f t="shared" si="68"/>
        <v/>
      </c>
      <c r="BJ198" s="1659" t="str">
        <f t="shared" si="59"/>
        <v/>
      </c>
      <c r="BK198" s="1659"/>
      <c r="BL198" s="1659"/>
      <c r="BM198" s="1645" t="str">
        <f t="shared" si="60"/>
        <v/>
      </c>
      <c r="BN198" s="1620"/>
      <c r="BO198" s="1658" t="e">
        <f>IF(#REF!&gt;0,#REF!,"")</f>
        <v>#REF!</v>
      </c>
      <c r="BP198" s="1658" t="e">
        <f>IF(#REF!&lt;&gt;"",#REF!,"")</f>
        <v>#REF!</v>
      </c>
      <c r="BQ198" s="1648" t="str">
        <f t="shared" si="61"/>
        <v/>
      </c>
      <c r="BR198" s="1660" t="str">
        <f t="shared" si="62"/>
        <v/>
      </c>
      <c r="BS198" s="1662" t="str">
        <f>IF(L81&lt;&gt;"",#REF!,"")</f>
        <v/>
      </c>
      <c r="BT198" s="1663" t="str">
        <f t="shared" si="63"/>
        <v/>
      </c>
      <c r="BU198" s="1663" t="str">
        <f>IF(L81&lt;&gt;"",#REF!,"")</f>
        <v/>
      </c>
      <c r="BV198" s="1664" t="str">
        <f t="shared" si="64"/>
        <v/>
      </c>
      <c r="BW198" s="1655" t="e">
        <f t="shared" si="69"/>
        <v>#REF!</v>
      </c>
    </row>
    <row r="199" spans="43:75" ht="24.95" hidden="1" customHeight="1">
      <c r="AQ199" s="1657" t="str">
        <f t="shared" si="65"/>
        <v/>
      </c>
      <c r="AR199" s="1657" t="str">
        <f t="shared" si="54"/>
        <v/>
      </c>
      <c r="AS199" s="1657"/>
      <c r="AT199" s="1665"/>
      <c r="AU199" s="1645" t="str">
        <f t="shared" si="55"/>
        <v/>
      </c>
      <c r="AV199" s="1666"/>
      <c r="AW199" s="1618" t="e">
        <f>IF(#REF!&gt;0,#REF!,"")</f>
        <v>#REF!</v>
      </c>
      <c r="AX199" s="1618" t="e">
        <f>IF(#REF!&lt;&gt;"",#REF!,"")</f>
        <v>#REF!</v>
      </c>
      <c r="AY199" s="1648" t="str">
        <f t="shared" si="56"/>
        <v/>
      </c>
      <c r="AZ199" s="1667" t="str">
        <f t="shared" si="57"/>
        <v/>
      </c>
      <c r="BA199" s="1668" t="str">
        <f>IF(L82&lt;&gt;"",#REF!,"")</f>
        <v/>
      </c>
      <c r="BB199" s="1669" t="str">
        <f t="shared" si="66"/>
        <v/>
      </c>
      <c r="BC199" s="1668" t="str">
        <f>IF(L82&lt;&gt;"",#REF!,"")</f>
        <v/>
      </c>
      <c r="BD199" s="1669" t="str">
        <f t="shared" si="58"/>
        <v/>
      </c>
      <c r="BE199" s="1653" t="e">
        <f t="shared" si="67"/>
        <v>#REF!</v>
      </c>
      <c r="BI199" s="1658" t="str">
        <f t="shared" si="68"/>
        <v/>
      </c>
      <c r="BJ199" s="1659" t="str">
        <f t="shared" si="59"/>
        <v/>
      </c>
      <c r="BK199" s="1659"/>
      <c r="BL199" s="1659"/>
      <c r="BM199" s="1645" t="str">
        <f t="shared" si="60"/>
        <v/>
      </c>
      <c r="BN199" s="1620"/>
      <c r="BO199" s="1658" t="e">
        <f>IF(#REF!&gt;0,#REF!,"")</f>
        <v>#REF!</v>
      </c>
      <c r="BP199" s="1658" t="e">
        <f>IF(#REF!&lt;&gt;"",#REF!,"")</f>
        <v>#REF!</v>
      </c>
      <c r="BQ199" s="1648" t="str">
        <f t="shared" si="61"/>
        <v/>
      </c>
      <c r="BR199" s="1660" t="str">
        <f t="shared" si="62"/>
        <v/>
      </c>
      <c r="BS199" s="1662" t="str">
        <f>IF(L82&lt;&gt;"",#REF!,"")</f>
        <v/>
      </c>
      <c r="BT199" s="1663" t="str">
        <f t="shared" si="63"/>
        <v/>
      </c>
      <c r="BU199" s="1663" t="str">
        <f>IF(L82&lt;&gt;"",#REF!,"")</f>
        <v/>
      </c>
      <c r="BV199" s="1664" t="str">
        <f t="shared" si="64"/>
        <v/>
      </c>
      <c r="BW199" s="1655" t="e">
        <f t="shared" si="69"/>
        <v>#REF!</v>
      </c>
    </row>
    <row r="200" spans="43:75" ht="24.95" hidden="1" customHeight="1">
      <c r="AQ200" s="1657" t="str">
        <f t="shared" si="65"/>
        <v/>
      </c>
      <c r="AR200" s="1657" t="str">
        <f t="shared" si="54"/>
        <v/>
      </c>
      <c r="AS200" s="1657"/>
      <c r="AT200" s="1665"/>
      <c r="AU200" s="1645" t="str">
        <f t="shared" si="55"/>
        <v/>
      </c>
      <c r="AV200" s="1666"/>
      <c r="AW200" s="1618" t="e">
        <f>IF(#REF!&gt;0,#REF!,"")</f>
        <v>#REF!</v>
      </c>
      <c r="AX200" s="1618" t="e">
        <f>IF(#REF!&lt;&gt;"",#REF!,"")</f>
        <v>#REF!</v>
      </c>
      <c r="AY200" s="1648" t="str">
        <f t="shared" si="56"/>
        <v/>
      </c>
      <c r="AZ200" s="1667" t="str">
        <f t="shared" si="57"/>
        <v/>
      </c>
      <c r="BA200" s="1668" t="str">
        <f>IF(L83&lt;&gt;"",#REF!,"")</f>
        <v/>
      </c>
      <c r="BB200" s="1669" t="str">
        <f t="shared" si="66"/>
        <v/>
      </c>
      <c r="BC200" s="1668" t="str">
        <f>IF(L83&lt;&gt;"",#REF!,"")</f>
        <v/>
      </c>
      <c r="BD200" s="1669" t="str">
        <f t="shared" si="58"/>
        <v/>
      </c>
      <c r="BE200" s="1653" t="e">
        <f t="shared" si="67"/>
        <v>#REF!</v>
      </c>
      <c r="BI200" s="1658" t="str">
        <f t="shared" si="68"/>
        <v/>
      </c>
      <c r="BJ200" s="1659" t="str">
        <f t="shared" si="59"/>
        <v/>
      </c>
      <c r="BK200" s="1659"/>
      <c r="BL200" s="1659"/>
      <c r="BM200" s="1645" t="str">
        <f t="shared" si="60"/>
        <v/>
      </c>
      <c r="BN200" s="1620"/>
      <c r="BO200" s="1658" t="e">
        <f>IF(#REF!&gt;0,#REF!,"")</f>
        <v>#REF!</v>
      </c>
      <c r="BP200" s="1658" t="e">
        <f>IF(#REF!&lt;&gt;"",#REF!,"")</f>
        <v>#REF!</v>
      </c>
      <c r="BQ200" s="1648" t="str">
        <f t="shared" si="61"/>
        <v/>
      </c>
      <c r="BR200" s="1660" t="str">
        <f t="shared" si="62"/>
        <v/>
      </c>
      <c r="BS200" s="1662" t="str">
        <f>IF(L83&lt;&gt;"",#REF!,"")</f>
        <v/>
      </c>
      <c r="BT200" s="1663" t="str">
        <f t="shared" si="63"/>
        <v/>
      </c>
      <c r="BU200" s="1663" t="str">
        <f>IF(L83&lt;&gt;"",#REF!,"")</f>
        <v/>
      </c>
      <c r="BV200" s="1664" t="str">
        <f t="shared" si="64"/>
        <v/>
      </c>
      <c r="BW200" s="1655" t="e">
        <f t="shared" si="69"/>
        <v>#REF!</v>
      </c>
    </row>
    <row r="201" spans="43:75" ht="24.95" hidden="1" customHeight="1">
      <c r="AQ201" s="1657" t="str">
        <f t="shared" si="65"/>
        <v/>
      </c>
      <c r="AR201" s="1657" t="str">
        <f t="shared" si="54"/>
        <v/>
      </c>
      <c r="AS201" s="1657"/>
      <c r="AT201" s="1665"/>
      <c r="AU201" s="1670" t="str">
        <f>IF(L84&lt;&gt;"",MID(L84,4,100),"")</f>
        <v/>
      </c>
      <c r="AV201" s="1666"/>
      <c r="AW201" s="1618" t="e">
        <f>IF(#REF!&gt;0,#REF!,"")</f>
        <v>#REF!</v>
      </c>
      <c r="AX201" s="1618" t="e">
        <f>IF(#REF!&lt;&gt;"",#REF!,"")</f>
        <v>#REF!</v>
      </c>
      <c r="AY201" s="1671" t="str">
        <f>IF(L84&lt;&gt;"",MID(M84,4,100),"")</f>
        <v/>
      </c>
      <c r="AZ201" s="1667" t="str">
        <f t="shared" si="57"/>
        <v/>
      </c>
      <c r="BA201" s="1668" t="str">
        <f>IF(L84&lt;&gt;"",#REF!,"")</f>
        <v/>
      </c>
      <c r="BB201" s="1669" t="str">
        <f t="shared" si="66"/>
        <v/>
      </c>
      <c r="BC201" s="1668" t="str">
        <f>IF(L84&lt;&gt;"",#REF!,"")</f>
        <v/>
      </c>
      <c r="BD201" s="1669" t="str">
        <f t="shared" si="58"/>
        <v/>
      </c>
      <c r="BE201" s="1653" t="e">
        <f t="shared" si="67"/>
        <v>#REF!</v>
      </c>
      <c r="BI201" s="1658" t="str">
        <f t="shared" si="68"/>
        <v/>
      </c>
      <c r="BJ201" s="1659" t="str">
        <f t="shared" si="59"/>
        <v/>
      </c>
      <c r="BK201" s="1659"/>
      <c r="BL201" s="1659"/>
      <c r="BM201" s="1645" t="str">
        <f t="shared" si="60"/>
        <v/>
      </c>
      <c r="BN201" s="1620"/>
      <c r="BO201" s="1658" t="e">
        <f>IF(#REF!&gt;0,#REF!,"")</f>
        <v>#REF!</v>
      </c>
      <c r="BP201" s="1658" t="e">
        <f>IF(#REF!&lt;&gt;"",#REF!,"")</f>
        <v>#REF!</v>
      </c>
      <c r="BQ201" s="1648" t="str">
        <f t="shared" si="61"/>
        <v/>
      </c>
      <c r="BR201" s="1660" t="str">
        <f t="shared" si="62"/>
        <v/>
      </c>
      <c r="BS201" s="1662" t="str">
        <f>IF(L84&lt;&gt;"",#REF!,"")</f>
        <v/>
      </c>
      <c r="BT201" s="1663" t="str">
        <f t="shared" si="63"/>
        <v/>
      </c>
      <c r="BU201" s="1663" t="str">
        <f>IF(L84&lt;&gt;"",#REF!,"")</f>
        <v/>
      </c>
      <c r="BV201" s="1664" t="str">
        <f t="shared" si="64"/>
        <v/>
      </c>
      <c r="BW201" s="1655" t="e">
        <f t="shared" si="69"/>
        <v>#REF!</v>
      </c>
    </row>
    <row r="202" spans="43:75" ht="24.95" hidden="1" customHeight="1">
      <c r="AQ202" s="1657" t="str">
        <f t="shared" si="65"/>
        <v/>
      </c>
      <c r="AR202" s="1657" t="str">
        <f t="shared" si="54"/>
        <v/>
      </c>
      <c r="AS202" s="1657"/>
      <c r="AT202" s="1665"/>
      <c r="AU202" s="1670" t="str">
        <f>IF(L85&lt;&gt;"",MID(L85,4,100),"")</f>
        <v/>
      </c>
      <c r="AV202" s="1666"/>
      <c r="AW202" s="1618" t="e">
        <f>IF(#REF!&gt;0,#REF!,"")</f>
        <v>#REF!</v>
      </c>
      <c r="AX202" s="1618" t="e">
        <f>IF(#REF!&lt;&gt;"",#REF!,"")</f>
        <v>#REF!</v>
      </c>
      <c r="AY202" s="1671" t="str">
        <f>IF(L85&lt;&gt;"",MID(M85,4,100),"")</f>
        <v/>
      </c>
      <c r="AZ202" s="1667" t="str">
        <f t="shared" si="57"/>
        <v/>
      </c>
      <c r="BA202" s="1668" t="str">
        <f>IF(L85&lt;&gt;"",#REF!,"")</f>
        <v/>
      </c>
      <c r="BB202" s="1669" t="str">
        <f t="shared" si="66"/>
        <v/>
      </c>
      <c r="BC202" s="1668" t="str">
        <f>IF(L85&lt;&gt;"",#REF!,"")</f>
        <v/>
      </c>
      <c r="BD202" s="1669" t="str">
        <f t="shared" si="58"/>
        <v/>
      </c>
      <c r="BE202" s="1653" t="e">
        <f t="shared" si="67"/>
        <v>#REF!</v>
      </c>
      <c r="BI202" s="1658" t="str">
        <f t="shared" si="68"/>
        <v/>
      </c>
      <c r="BJ202" s="1659" t="str">
        <f t="shared" si="59"/>
        <v/>
      </c>
      <c r="BK202" s="1659"/>
      <c r="BL202" s="1659"/>
      <c r="BM202" s="1645" t="str">
        <f t="shared" si="60"/>
        <v/>
      </c>
      <c r="BN202" s="1620"/>
      <c r="BO202" s="1658" t="e">
        <f>IF(#REF!&gt;0,#REF!,"")</f>
        <v>#REF!</v>
      </c>
      <c r="BP202" s="1658" t="e">
        <f>IF(#REF!&lt;&gt;"",#REF!,"")</f>
        <v>#REF!</v>
      </c>
      <c r="BQ202" s="1648" t="str">
        <f t="shared" si="61"/>
        <v/>
      </c>
      <c r="BR202" s="1660" t="str">
        <f t="shared" si="62"/>
        <v/>
      </c>
      <c r="BS202" s="1662" t="str">
        <f>IF(L85&lt;&gt;"",#REF!,"")</f>
        <v/>
      </c>
      <c r="BT202" s="1663" t="str">
        <f t="shared" si="63"/>
        <v/>
      </c>
      <c r="BU202" s="1663" t="str">
        <f>IF(L85&lt;&gt;"",#REF!,"")</f>
        <v/>
      </c>
      <c r="BV202" s="1664" t="str">
        <f t="shared" si="64"/>
        <v/>
      </c>
      <c r="BW202" s="1655" t="e">
        <f t="shared" si="69"/>
        <v>#REF!</v>
      </c>
    </row>
    <row r="203" spans="43:75" ht="24.95" hidden="1" customHeight="1">
      <c r="AQ203" s="1657" t="str">
        <f t="shared" si="65"/>
        <v/>
      </c>
      <c r="AR203" s="1657" t="str">
        <f t="shared" si="54"/>
        <v/>
      </c>
      <c r="AS203" s="1657"/>
      <c r="AT203" s="1665"/>
      <c r="AU203" s="1670" t="str">
        <f>IF(L86&lt;&gt;"",MID(L86,4,100),"")</f>
        <v/>
      </c>
      <c r="AV203" s="1666"/>
      <c r="AW203" s="1618" t="e">
        <f>IF(#REF!&gt;0,#REF!,"")</f>
        <v>#REF!</v>
      </c>
      <c r="AX203" s="1618" t="e">
        <f>IF(#REF!&lt;&gt;"",#REF!,"")</f>
        <v>#REF!</v>
      </c>
      <c r="AY203" s="1671" t="str">
        <f>IF(L86&lt;&gt;"",MID(M86,4,100),"")</f>
        <v/>
      </c>
      <c r="AZ203" s="1667" t="str">
        <f t="shared" si="57"/>
        <v/>
      </c>
      <c r="BA203" s="1668" t="str">
        <f>IF(L86&lt;&gt;"",#REF!,"")</f>
        <v/>
      </c>
      <c r="BB203" s="1669" t="str">
        <f t="shared" si="66"/>
        <v/>
      </c>
      <c r="BC203" s="1668" t="str">
        <f>IF(L86&lt;&gt;"",#REF!,"")</f>
        <v/>
      </c>
      <c r="BD203" s="1669" t="str">
        <f t="shared" si="58"/>
        <v/>
      </c>
      <c r="BE203" s="1653" t="e">
        <f t="shared" si="67"/>
        <v>#REF!</v>
      </c>
      <c r="BI203" s="1658" t="str">
        <f t="shared" si="68"/>
        <v/>
      </c>
      <c r="BJ203" s="1659" t="str">
        <f t="shared" si="59"/>
        <v/>
      </c>
      <c r="BK203" s="1659"/>
      <c r="BL203" s="1659"/>
      <c r="BM203" s="1645" t="str">
        <f t="shared" si="60"/>
        <v/>
      </c>
      <c r="BN203" s="1620"/>
      <c r="BO203" s="1658" t="e">
        <f>IF(#REF!&gt;0,#REF!,"")</f>
        <v>#REF!</v>
      </c>
      <c r="BP203" s="1658" t="e">
        <f>IF(#REF!&lt;&gt;"",#REF!,"")</f>
        <v>#REF!</v>
      </c>
      <c r="BQ203" s="1648" t="str">
        <f t="shared" si="61"/>
        <v/>
      </c>
      <c r="BR203" s="1660" t="str">
        <f t="shared" si="62"/>
        <v/>
      </c>
      <c r="BS203" s="1662" t="str">
        <f>IF(L86&lt;&gt;"",#REF!,"")</f>
        <v/>
      </c>
      <c r="BT203" s="1663" t="str">
        <f t="shared" si="63"/>
        <v/>
      </c>
      <c r="BU203" s="1663" t="str">
        <f>IF(L86&lt;&gt;"",#REF!,"")</f>
        <v/>
      </c>
      <c r="BV203" s="1664" t="str">
        <f t="shared" si="64"/>
        <v/>
      </c>
      <c r="BW203" s="1655" t="e">
        <f t="shared" si="69"/>
        <v>#REF!</v>
      </c>
    </row>
    <row r="204" spans="43:75" ht="24.95" hidden="1" customHeight="1">
      <c r="AQ204" s="1657" t="str">
        <f t="shared" si="65"/>
        <v/>
      </c>
      <c r="AR204" s="1657" t="str">
        <f t="shared" si="54"/>
        <v/>
      </c>
      <c r="AS204" s="1657"/>
      <c r="AT204" s="1665"/>
      <c r="AU204" s="1670" t="str">
        <f>IF(L87&lt;&gt;"",MID(L87,4,100),"")</f>
        <v/>
      </c>
      <c r="AV204" s="1666"/>
      <c r="AW204" s="1618" t="e">
        <f>IF(#REF!&gt;0,#REF!,"")</f>
        <v>#REF!</v>
      </c>
      <c r="AX204" s="1618" t="e">
        <f>IF(#REF!&lt;&gt;"",#REF!,"")</f>
        <v>#REF!</v>
      </c>
      <c r="AY204" s="1671" t="str">
        <f>IF(L87&lt;&gt;"",MID(M87,4,100),"")</f>
        <v/>
      </c>
      <c r="AZ204" s="1667" t="str">
        <f t="shared" si="57"/>
        <v/>
      </c>
      <c r="BA204" s="1668" t="str">
        <f>IF(L87&lt;&gt;"",#REF!,"")</f>
        <v/>
      </c>
      <c r="BB204" s="1669" t="str">
        <f t="shared" si="66"/>
        <v/>
      </c>
      <c r="BC204" s="1668" t="str">
        <f>IF(L87&lt;&gt;"",#REF!,"")</f>
        <v/>
      </c>
      <c r="BD204" s="1669" t="str">
        <f t="shared" si="58"/>
        <v/>
      </c>
      <c r="BE204" s="1653" t="e">
        <f t="shared" si="67"/>
        <v>#REF!</v>
      </c>
      <c r="BI204" s="1658" t="str">
        <f t="shared" si="68"/>
        <v/>
      </c>
      <c r="BJ204" s="1659" t="str">
        <f t="shared" si="59"/>
        <v/>
      </c>
      <c r="BK204" s="1659"/>
      <c r="BL204" s="1659"/>
      <c r="BM204" s="1645" t="str">
        <f t="shared" si="60"/>
        <v/>
      </c>
      <c r="BN204" s="1620"/>
      <c r="BO204" s="1658" t="e">
        <f>IF(#REF!&gt;0,#REF!,"")</f>
        <v>#REF!</v>
      </c>
      <c r="BP204" s="1658" t="e">
        <f>IF(#REF!&lt;&gt;"",#REF!,"")</f>
        <v>#REF!</v>
      </c>
      <c r="BQ204" s="1648" t="str">
        <f t="shared" si="61"/>
        <v/>
      </c>
      <c r="BR204" s="1660" t="str">
        <f t="shared" si="62"/>
        <v/>
      </c>
      <c r="BS204" s="1662" t="str">
        <f>IF(L87&lt;&gt;"",#REF!,"")</f>
        <v/>
      </c>
      <c r="BT204" s="1663" t="str">
        <f t="shared" si="63"/>
        <v/>
      </c>
      <c r="BU204" s="1663" t="str">
        <f>IF(L87&lt;&gt;"",#REF!,"")</f>
        <v/>
      </c>
      <c r="BV204" s="1664" t="str">
        <f t="shared" si="64"/>
        <v/>
      </c>
      <c r="BW204" s="1655" t="e">
        <f t="shared" si="69"/>
        <v>#REF!</v>
      </c>
    </row>
    <row r="205" spans="43:75" ht="24.95" customHeight="1">
      <c r="AQ205" s="1497"/>
      <c r="BC205" s="1742" t="s">
        <v>1605</v>
      </c>
      <c r="BD205" s="1743" t="e">
        <f>quote_currency_symbol</f>
        <v>#NAME?</v>
      </c>
      <c r="BE205" s="1744" t="e">
        <f>SUM(BE125:BE204)</f>
        <v>#REF!</v>
      </c>
      <c r="BI205" s="1496"/>
      <c r="BU205" s="1742" t="s">
        <v>1605</v>
      </c>
      <c r="BV205" s="1742" t="e">
        <f>quote_currency_symbol</f>
        <v>#NAME?</v>
      </c>
      <c r="BW205" s="1745" t="e">
        <f>SUM(BW125:BW204)</f>
        <v>#REF!</v>
      </c>
    </row>
    <row r="206" spans="43:75" ht="24.95" customHeight="1">
      <c r="AQ206" s="1746" t="s">
        <v>1607</v>
      </c>
      <c r="BC206" s="1747" t="s">
        <v>742</v>
      </c>
      <c r="BD206" s="1743" t="e">
        <f>quote_currency_symbol</f>
        <v>#NAME?</v>
      </c>
      <c r="BE206" s="1748" t="e">
        <f>#REF!</f>
        <v>#REF!</v>
      </c>
      <c r="BI206" s="1749" t="s">
        <v>1607</v>
      </c>
      <c r="BU206" s="1747" t="s">
        <v>742</v>
      </c>
      <c r="BV206" s="1742" t="e">
        <f>quote_currency_symbol</f>
        <v>#NAME?</v>
      </c>
      <c r="BW206" s="1750" t="e">
        <f>#REF!</f>
        <v>#REF!</v>
      </c>
    </row>
    <row r="207" spans="43:75" ht="24.95" customHeight="1">
      <c r="BC207" s="1747" t="s">
        <v>743</v>
      </c>
      <c r="BD207" s="1743" t="e">
        <f>quote_currency_symbol</f>
        <v>#NAME?</v>
      </c>
      <c r="BE207" s="1748" t="e">
        <f>#REF!</f>
        <v>#REF!</v>
      </c>
      <c r="BU207" s="1747" t="s">
        <v>743</v>
      </c>
      <c r="BV207" s="1742" t="e">
        <f>quote_currency_symbol</f>
        <v>#NAME?</v>
      </c>
      <c r="BW207" s="1750" t="e">
        <f>#REF!</f>
        <v>#REF!</v>
      </c>
    </row>
    <row r="208" spans="43:75" ht="24.95" customHeight="1">
      <c r="BC208" s="1747" t="s">
        <v>1606</v>
      </c>
      <c r="BD208" s="1743" t="e">
        <f>quote_currency_symbol</f>
        <v>#NAME?</v>
      </c>
      <c r="BE208" s="1748" t="e">
        <f>BE205-BE206-BE207</f>
        <v>#REF!</v>
      </c>
      <c r="BU208" s="1747" t="s">
        <v>1606</v>
      </c>
      <c r="BV208" s="1742" t="e">
        <f>quote_currency_symbol</f>
        <v>#NAME?</v>
      </c>
      <c r="BW208" s="1750" t="e">
        <f>BW205-BW206-BW207</f>
        <v>#REF!</v>
      </c>
    </row>
  </sheetData>
  <sheetProtection algorithmName="SHA-512" hashValue="q4IQeUayn9iXfqpmLyphvuZIa6qCSgC2aBbctKpRJgqRTETKv32DFef+eoKNDdaeSDs/Ex/E3vQArYvlC/I7Jw==" saltValue="f/mW94kFTJyXAmikeuLpyQ==" spinCount="100000" sheet="1" objects="1" scenarios="1"/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phoneticPr fontId="37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Q13" sqref="Q13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830"/>
      <c r="D3" s="1830"/>
      <c r="E3" s="1830"/>
      <c r="F3" s="1830"/>
      <c r="G3" s="1830"/>
      <c r="H3" s="1830"/>
      <c r="I3" s="1830"/>
      <c r="J3" s="1830"/>
      <c r="K3" s="1830"/>
      <c r="L3" s="1830"/>
      <c r="O3" s="146"/>
      <c r="BL3" t="s">
        <v>1908</v>
      </c>
      <c r="BN3" s="688" t="s">
        <v>125</v>
      </c>
      <c r="BO3" s="688">
        <v>1</v>
      </c>
      <c r="BP3" s="688">
        <v>1</v>
      </c>
      <c r="BQ3" s="688">
        <v>6</v>
      </c>
      <c r="BR3" s="688" t="s">
        <v>126</v>
      </c>
      <c r="BS3" s="688">
        <v>2</v>
      </c>
      <c r="BT3" s="688">
        <v>6</v>
      </c>
      <c r="BU3" s="688">
        <v>0</v>
      </c>
      <c r="BV3" s="688">
        <v>0</v>
      </c>
      <c r="BW3" s="688">
        <v>0</v>
      </c>
      <c r="BX3" s="688">
        <v>0</v>
      </c>
      <c r="BY3" s="688">
        <v>1</v>
      </c>
      <c r="BZ3" s="688">
        <v>2</v>
      </c>
      <c r="CA3" s="688">
        <v>7</v>
      </c>
      <c r="CB3" s="689">
        <v>1</v>
      </c>
    </row>
    <row r="4" spans="2:80" ht="36.75">
      <c r="B4" s="1330"/>
      <c r="C4" s="745" t="str">
        <f>Setting!D9</f>
        <v>គោកស្នួល ខនស្រ្តាក់សិន មេធៀរៀល</v>
      </c>
      <c r="D4" s="745"/>
      <c r="E4" s="745"/>
      <c r="F4" s="745"/>
      <c r="G4" s="745"/>
      <c r="H4" s="745"/>
      <c r="I4" s="745"/>
      <c r="J4" s="745"/>
      <c r="K4" s="745"/>
      <c r="L4" s="745"/>
      <c r="O4" s="676" t="s">
        <v>1998</v>
      </c>
      <c r="P4" s="753"/>
      <c r="R4" s="68"/>
      <c r="S4" s="576"/>
      <c r="T4" s="576"/>
    </row>
    <row r="5" spans="2:80" s="5" customFormat="1" ht="27.75" customHeight="1">
      <c r="B5" s="1331"/>
      <c r="C5" s="1329" t="str">
        <f>Setting!E9</f>
        <v>KORK SNUOL CONSTRUCTION MATERIAL</v>
      </c>
      <c r="D5" s="659"/>
      <c r="E5" s="692"/>
      <c r="F5" s="692"/>
      <c r="G5" s="692"/>
      <c r="H5" s="692"/>
      <c r="I5" s="692"/>
      <c r="J5" s="692"/>
      <c r="K5" s="692"/>
      <c r="L5" s="692"/>
      <c r="O5" s="676" t="s">
        <v>1979</v>
      </c>
      <c r="P5" s="747" t="s">
        <v>1956</v>
      </c>
      <c r="Q5"/>
      <c r="R5" s="68"/>
      <c r="S5" s="859"/>
      <c r="T5" s="251"/>
      <c r="U5"/>
      <c r="V5"/>
      <c r="W5"/>
      <c r="X5"/>
      <c r="Y5"/>
      <c r="Z5"/>
      <c r="AA5"/>
      <c r="AB5"/>
      <c r="AC5"/>
    </row>
    <row r="6" spans="2:80" s="5" customFormat="1" ht="25.5">
      <c r="B6" s="1331"/>
      <c r="C6" s="264" t="str">
        <f>O5&amp;print_adj_branch_address_kh</f>
        <v>អាសយដ្ឋាន ៖ ភូមិគោកស្នួល ឃុំខ្នាត ស្រុកពួក ខេត្តសៀមរាប</v>
      </c>
      <c r="D6" s="264"/>
      <c r="E6" s="692"/>
      <c r="F6" s="692"/>
      <c r="G6" s="692"/>
      <c r="H6" s="692"/>
      <c r="I6" s="692"/>
      <c r="J6" s="692"/>
      <c r="K6" s="692"/>
      <c r="L6" s="692"/>
      <c r="N6" s="220"/>
      <c r="O6" s="676" t="s">
        <v>1981</v>
      </c>
      <c r="P6" s="758" t="s">
        <v>119</v>
      </c>
      <c r="Q6" s="204"/>
      <c r="R6" s="757"/>
      <c r="S6" s="204"/>
      <c r="T6" s="204"/>
      <c r="U6" s="204"/>
      <c r="V6" s="204"/>
      <c r="W6" s="204"/>
      <c r="X6" s="204"/>
      <c r="Y6"/>
      <c r="Z6"/>
      <c r="AA6"/>
      <c r="AB6"/>
      <c r="AC6"/>
    </row>
    <row r="7" spans="2:80" s="5" customFormat="1" ht="25.5">
      <c r="B7" s="1331"/>
      <c r="C7" s="264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264"/>
      <c r="E7" s="692"/>
      <c r="F7" s="692"/>
      <c r="G7" s="692"/>
      <c r="H7" s="692"/>
      <c r="I7" s="692"/>
      <c r="J7" s="692"/>
      <c r="K7" s="692"/>
      <c r="L7" s="692"/>
      <c r="O7" s="676" t="s">
        <v>1982</v>
      </c>
      <c r="P7" s="747" t="s">
        <v>1957</v>
      </c>
      <c r="Q7" s="204"/>
      <c r="R7" s="757"/>
      <c r="S7" s="204"/>
      <c r="T7" s="204"/>
      <c r="U7" s="204"/>
      <c r="V7" s="204"/>
      <c r="W7" s="204"/>
      <c r="X7" s="204"/>
      <c r="Y7"/>
      <c r="Z7"/>
      <c r="AA7"/>
      <c r="AB7"/>
      <c r="AC7"/>
    </row>
    <row r="8" spans="2:80" ht="38.25" customHeight="1" thickBot="1">
      <c r="B8" s="1330"/>
      <c r="C8" s="746" t="s">
        <v>1980</v>
      </c>
      <c r="D8" s="746"/>
      <c r="E8" s="720"/>
      <c r="F8" s="720"/>
      <c r="G8" s="720"/>
      <c r="H8" s="720"/>
      <c r="I8" s="720"/>
      <c r="J8" s="720"/>
      <c r="K8" s="720"/>
      <c r="L8" s="721"/>
      <c r="O8" s="256"/>
      <c r="P8" s="747"/>
      <c r="Q8" s="204"/>
      <c r="R8" s="757"/>
      <c r="S8" s="204"/>
      <c r="T8" s="204"/>
      <c r="U8" s="204"/>
      <c r="V8" s="204"/>
      <c r="W8" s="204"/>
      <c r="X8" s="204"/>
    </row>
    <row r="9" spans="2:80" ht="3.75" customHeight="1">
      <c r="B9" s="1332"/>
      <c r="H9" s="45"/>
      <c r="K9" s="694"/>
      <c r="L9" s="694"/>
      <c r="O9" s="366"/>
      <c r="P9" s="256"/>
      <c r="Q9" s="204"/>
      <c r="R9" s="204"/>
      <c r="S9" s="204"/>
      <c r="T9" s="204"/>
      <c r="U9" s="204"/>
      <c r="V9" s="204"/>
      <c r="W9" s="204"/>
      <c r="X9" s="204"/>
    </row>
    <row r="10" spans="2:80" ht="3.75" customHeight="1">
      <c r="B10" s="1332"/>
      <c r="E10"/>
      <c r="F10"/>
      <c r="G10"/>
      <c r="H10" s="149"/>
      <c r="I10" s="149"/>
      <c r="J10" s="166"/>
      <c r="K10" s="166"/>
      <c r="L10" s="166"/>
      <c r="O10" s="366"/>
      <c r="P10" s="256"/>
      <c r="Q10" s="204"/>
      <c r="R10" s="204"/>
      <c r="S10" s="204"/>
      <c r="T10" s="204"/>
      <c r="U10" s="204"/>
      <c r="V10" s="204"/>
      <c r="W10" s="204"/>
      <c r="X10" s="204"/>
    </row>
    <row r="11" spans="2:80" s="52" customFormat="1" ht="10.5" customHeight="1">
      <c r="B11" s="1332"/>
      <c r="C11" s="686"/>
      <c r="D11" s="686"/>
      <c r="E11" s="686"/>
      <c r="F11" s="686"/>
      <c r="H11" s="149"/>
      <c r="I11" s="149"/>
      <c r="J11"/>
      <c r="N11" s="81"/>
      <c r="O11" s="366"/>
      <c r="P11" s="256"/>
      <c r="Q11" s="204"/>
      <c r="R11" s="204"/>
      <c r="S11" s="204"/>
      <c r="T11" s="204"/>
      <c r="U11" s="204"/>
      <c r="V11" s="204"/>
      <c r="W11" s="204"/>
      <c r="X11" s="204"/>
      <c r="Y11"/>
      <c r="Z11"/>
      <c r="AA11"/>
      <c r="AB11"/>
      <c r="AC11"/>
    </row>
    <row r="12" spans="2:80" s="52" customFormat="1" ht="30" customHeight="1">
      <c r="B12" s="1332"/>
      <c r="C12" s="264" t="s">
        <v>3538</v>
      </c>
      <c r="D12" s="264"/>
      <c r="E12" s="1834" t="s">
        <v>1759</v>
      </c>
      <c r="F12" s="1834"/>
      <c r="G12" s="1834"/>
      <c r="H12" s="1834"/>
      <c r="I12" s="1369"/>
      <c r="J12" s="1373"/>
      <c r="K12" s="1372" t="s">
        <v>3540</v>
      </c>
      <c r="L12" s="1374" t="s">
        <v>3627</v>
      </c>
      <c r="M12" s="1371" t="str">
        <f ca="1">MID(MID(CELL("filename",B1),FIND("]",CELL("filename",B1))+1,255),1,40)</f>
        <v>PrintInvAdjustment</v>
      </c>
      <c r="N12"/>
      <c r="O12" s="1357"/>
      <c r="P12" s="676"/>
      <c r="Q12" s="408"/>
      <c r="R12" s="408"/>
      <c r="S12" s="408"/>
      <c r="T12" s="408"/>
      <c r="U12" s="408"/>
      <c r="V12" s="408"/>
      <c r="W12" s="408"/>
      <c r="X12" s="408"/>
      <c r="Y12"/>
      <c r="Z12"/>
      <c r="AA12"/>
      <c r="AB12"/>
      <c r="AC12"/>
    </row>
    <row r="13" spans="2:80" s="52" customFormat="1" ht="30" customHeight="1">
      <c r="B13" s="1332"/>
      <c r="C13" s="264" t="s">
        <v>3539</v>
      </c>
      <c r="D13" s="264"/>
      <c r="E13" s="1834"/>
      <c r="F13" s="1834"/>
      <c r="G13" s="1834"/>
      <c r="H13" s="1834"/>
      <c r="I13" s="1369"/>
      <c r="J13" s="1375"/>
      <c r="K13" s="1370" t="s">
        <v>3541</v>
      </c>
      <c r="L13" s="1376">
        <v>46215</v>
      </c>
      <c r="M13" s="1371"/>
      <c r="N13"/>
      <c r="O13" s="1357"/>
      <c r="P13" s="676"/>
      <c r="Q13" s="408"/>
      <c r="R13" s="408"/>
      <c r="S13" s="408"/>
      <c r="T13" s="408"/>
      <c r="U13" s="408"/>
      <c r="V13" s="408"/>
      <c r="W13" s="408"/>
      <c r="X13" s="408"/>
      <c r="Y13"/>
      <c r="Z13"/>
      <c r="AA13"/>
      <c r="AB13"/>
      <c r="AC13"/>
    </row>
    <row r="14" spans="2:80" s="52" customFormat="1" ht="27" hidden="1">
      <c r="B14" s="1332"/>
      <c r="C14" s="1287"/>
      <c r="D14" s="1287"/>
      <c r="E14" s="1287"/>
      <c r="F14" s="1287"/>
      <c r="G14" s="1287"/>
      <c r="H14" s="1287"/>
      <c r="I14" s="149"/>
      <c r="J14" s="792"/>
      <c r="K14" s="695"/>
      <c r="L14" s="1358"/>
      <c r="N14"/>
      <c r="O14" s="366"/>
      <c r="P14" s="256"/>
      <c r="Q14" s="204"/>
      <c r="R14" s="204"/>
      <c r="S14" s="204"/>
      <c r="T14" s="204"/>
      <c r="U14" s="204"/>
      <c r="V14" s="204"/>
      <c r="W14" s="204"/>
      <c r="X14" s="204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366"/>
      <c r="P15" s="256"/>
      <c r="Q15" s="204"/>
      <c r="R15" s="204"/>
      <c r="S15" s="204"/>
      <c r="T15" s="204"/>
      <c r="U15" s="204"/>
      <c r="V15" s="204"/>
      <c r="W15" s="204"/>
      <c r="X15" s="204"/>
    </row>
    <row r="16" spans="2:80" ht="32.25" hidden="1" customHeight="1">
      <c r="B16" s="1333">
        <v>-9</v>
      </c>
      <c r="C16" s="1345"/>
      <c r="D16" s="1345"/>
      <c r="E16" s="695"/>
      <c r="F16" s="695"/>
      <c r="G16" s="1291"/>
      <c r="H16" s="1291"/>
      <c r="I16" s="1292"/>
      <c r="J16" s="1293"/>
      <c r="K16" s="1266"/>
      <c r="L16" s="696"/>
      <c r="M16" s="58"/>
      <c r="O16" s="366"/>
      <c r="P16" s="256"/>
      <c r="Q16" s="204"/>
      <c r="R16" s="204"/>
      <c r="S16" s="204"/>
      <c r="T16" s="204"/>
      <c r="U16" s="204"/>
      <c r="V16" s="204"/>
      <c r="W16" s="204"/>
      <c r="X16" s="204"/>
    </row>
    <row r="17" spans="1:29" ht="30" hidden="1" customHeight="1">
      <c r="B17" s="1333"/>
      <c r="C17" s="1346"/>
      <c r="D17" s="1346"/>
      <c r="E17" s="695"/>
      <c r="F17" s="781"/>
      <c r="G17" s="782"/>
      <c r="H17" s="783"/>
      <c r="I17" s="783"/>
      <c r="J17" s="784"/>
      <c r="K17" s="785"/>
      <c r="L17" s="785"/>
      <c r="M17" s="58"/>
      <c r="N17" s="37"/>
      <c r="O17" s="366"/>
      <c r="P17" s="256"/>
      <c r="Q17" s="204"/>
      <c r="R17" s="204"/>
      <c r="S17" s="204"/>
      <c r="T17" s="204"/>
      <c r="U17" s="204"/>
      <c r="V17" s="204"/>
      <c r="W17" s="204"/>
      <c r="X17" s="204"/>
    </row>
    <row r="18" spans="1:29" s="3" customFormat="1" ht="20.100000000000001" hidden="1" customHeight="1">
      <c r="B18" s="1334"/>
      <c r="C18" s="1264"/>
      <c r="D18" s="1264"/>
      <c r="E18" s="772"/>
      <c r="F18" s="781"/>
      <c r="G18" s="1265"/>
      <c r="H18" s="1267"/>
      <c r="I18" s="1267"/>
      <c r="J18" s="1267"/>
      <c r="K18" s="1267"/>
      <c r="L18" s="1347"/>
      <c r="M18" s="727"/>
      <c r="N18" s="728"/>
      <c r="O18" s="366"/>
      <c r="P18" s="256"/>
      <c r="Q18" s="204"/>
      <c r="R18" s="204"/>
      <c r="S18" s="204"/>
      <c r="T18" s="204"/>
      <c r="U18" s="204"/>
      <c r="V18" s="204"/>
      <c r="W18" s="204"/>
      <c r="X18" s="204"/>
    </row>
    <row r="19" spans="1:29" ht="30" hidden="1" customHeight="1">
      <c r="B19" s="1333"/>
      <c r="C19" s="1346"/>
      <c r="D19" s="1346"/>
      <c r="E19" s="695"/>
      <c r="F19" s="781"/>
      <c r="G19" s="1348"/>
      <c r="H19" s="1349"/>
      <c r="I19" s="1349"/>
      <c r="J19" s="1349"/>
      <c r="K19" s="1349"/>
      <c r="L19" s="785"/>
      <c r="M19" s="58"/>
      <c r="O19" s="366"/>
      <c r="P19" s="256"/>
      <c r="Q19" s="204"/>
      <c r="R19" s="204"/>
      <c r="S19" s="204"/>
      <c r="T19" s="204"/>
      <c r="U19" s="204"/>
      <c r="V19" s="204"/>
      <c r="W19" s="204"/>
      <c r="X19" s="204"/>
    </row>
    <row r="20" spans="1:29" ht="30" hidden="1" customHeight="1">
      <c r="B20" s="1333"/>
      <c r="C20" s="1350"/>
      <c r="D20" s="1350"/>
      <c r="E20" s="695"/>
      <c r="F20" s="781"/>
      <c r="G20" s="251"/>
      <c r="H20" s="328"/>
      <c r="I20" s="328"/>
      <c r="J20" s="328"/>
      <c r="K20" s="328"/>
      <c r="L20" s="251"/>
      <c r="M20" s="58"/>
      <c r="N20" s="58"/>
      <c r="O20" s="366"/>
      <c r="P20" s="256"/>
      <c r="Q20" s="204"/>
      <c r="R20" s="204"/>
      <c r="S20" s="204"/>
      <c r="T20" s="204"/>
      <c r="U20" s="204"/>
      <c r="V20" s="204"/>
      <c r="W20" s="204"/>
      <c r="X20" s="204"/>
    </row>
    <row r="21" spans="1:29" ht="20.100000000000001" hidden="1" customHeight="1">
      <c r="B21" s="8"/>
      <c r="C21" s="1264"/>
      <c r="D21" s="1264"/>
      <c r="E21" s="792"/>
      <c r="F21" s="781"/>
      <c r="G21" s="1351"/>
      <c r="H21" s="1265"/>
      <c r="I21" s="1265"/>
      <c r="J21" s="1265"/>
      <c r="K21" s="1265"/>
      <c r="L21" s="1265"/>
      <c r="M21" s="5"/>
      <c r="N21" s="5"/>
      <c r="O21" s="366"/>
      <c r="P21" s="256"/>
      <c r="Q21" s="204"/>
      <c r="R21" s="204"/>
      <c r="S21" s="204"/>
      <c r="T21" s="204"/>
      <c r="U21" s="204"/>
      <c r="V21" s="204"/>
      <c r="W21" s="204"/>
      <c r="X21" s="204"/>
    </row>
    <row r="22" spans="1:29" ht="30" hidden="1" customHeight="1">
      <c r="B22" s="8"/>
      <c r="C22" s="1346"/>
      <c r="D22" s="1346"/>
      <c r="E22" s="792"/>
      <c r="F22" s="781"/>
      <c r="G22" s="1352"/>
      <c r="H22" s="1352"/>
      <c r="I22" s="1352"/>
      <c r="J22" s="1352"/>
      <c r="K22" s="1352"/>
      <c r="L22" s="1352"/>
      <c r="M22" s="5"/>
      <c r="N22" s="5"/>
      <c r="O22" s="366"/>
      <c r="P22" s="256"/>
      <c r="Q22" s="204"/>
      <c r="R22" s="204"/>
      <c r="S22" s="204"/>
      <c r="T22" s="204"/>
      <c r="U22" s="204"/>
      <c r="V22" s="204"/>
      <c r="W22" s="204"/>
      <c r="X22" s="204"/>
    </row>
    <row r="23" spans="1:29" ht="11.25" hidden="1" customHeight="1">
      <c r="B23" s="8"/>
      <c r="C23" s="697"/>
      <c r="D23" s="697"/>
      <c r="E23" s="697"/>
      <c r="F23" s="697"/>
      <c r="G23" s="1833"/>
      <c r="H23" s="1833"/>
      <c r="I23" s="1833"/>
      <c r="J23" s="695"/>
      <c r="K23" s="695"/>
      <c r="L23" s="696"/>
      <c r="M23" s="5"/>
    </row>
    <row r="24" spans="1:29" s="4" customFormat="1" ht="13.5" customHeight="1">
      <c r="B24" s="2"/>
      <c r="E24" s="64"/>
      <c r="F24" s="64"/>
      <c r="G24" s="65"/>
      <c r="H24" s="66"/>
      <c r="I24" s="280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698" customFormat="1" ht="27">
      <c r="B25" s="1335"/>
      <c r="C25" s="1378" t="s">
        <v>47</v>
      </c>
      <c r="D25" s="1378" t="s">
        <v>176</v>
      </c>
      <c r="E25" s="1380" t="s">
        <v>3537</v>
      </c>
      <c r="F25" s="1381"/>
      <c r="G25" s="1382"/>
      <c r="H25" s="1378" t="s">
        <v>1753</v>
      </c>
      <c r="I25" s="1378" t="s">
        <v>152</v>
      </c>
      <c r="J25" s="1378" t="s">
        <v>151</v>
      </c>
      <c r="K25" s="1378" t="s">
        <v>63</v>
      </c>
      <c r="L25" s="1378" t="s">
        <v>3180</v>
      </c>
      <c r="N25" s="699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700" customFormat="1" ht="15.75">
      <c r="B26" s="1336"/>
      <c r="C26" s="1379" t="s">
        <v>9</v>
      </c>
      <c r="D26" s="1379" t="s">
        <v>1940</v>
      </c>
      <c r="E26" s="1383" t="s">
        <v>289</v>
      </c>
      <c r="F26" s="1384"/>
      <c r="G26" s="1385"/>
      <c r="H26" s="1379" t="s">
        <v>3536</v>
      </c>
      <c r="I26" s="1379" t="s">
        <v>76</v>
      </c>
      <c r="J26" s="1379" t="s">
        <v>19</v>
      </c>
      <c r="K26" s="1379" t="s">
        <v>77</v>
      </c>
      <c r="L26" s="1379" t="s">
        <v>2007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700" customFormat="1" ht="33" customHeight="1">
      <c r="A27" s="769"/>
      <c r="B27" s="1336">
        <v>1</v>
      </c>
      <c r="C27" s="736">
        <v>1</v>
      </c>
      <c r="D27" s="736" t="s">
        <v>2479</v>
      </c>
      <c r="E27" s="1359" t="s">
        <v>3628</v>
      </c>
      <c r="F27" s="1360"/>
      <c r="G27" s="1361"/>
      <c r="H27" s="1362" t="s">
        <v>1759</v>
      </c>
      <c r="I27" s="734">
        <v>10</v>
      </c>
      <c r="J27" s="1363" t="s">
        <v>2291</v>
      </c>
      <c r="K27" s="741">
        <v>74.400000000000006</v>
      </c>
      <c r="L27" s="1365">
        <v>744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700" customFormat="1" ht="33" hidden="1" customHeight="1">
      <c r="A28" s="769"/>
      <c r="B28" s="1336">
        <v>2</v>
      </c>
      <c r="C28" s="736"/>
      <c r="D28" s="736"/>
      <c r="E28" s="1359"/>
      <c r="F28" s="1360"/>
      <c r="G28" s="1361"/>
      <c r="H28" s="1362"/>
      <c r="I28" s="734"/>
      <c r="J28" s="1363"/>
      <c r="K28" s="741"/>
      <c r="L28" s="136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700" customFormat="1" ht="33" hidden="1" customHeight="1">
      <c r="A29" s="769"/>
      <c r="B29" s="1336">
        <v>3</v>
      </c>
      <c r="C29" s="736"/>
      <c r="D29" s="736"/>
      <c r="E29" s="1359"/>
      <c r="F29" s="1360"/>
      <c r="G29" s="1361"/>
      <c r="H29" s="1362"/>
      <c r="I29" s="734"/>
      <c r="J29" s="1363"/>
      <c r="K29" s="741"/>
      <c r="L29" s="136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700" customFormat="1" ht="33" hidden="1" customHeight="1">
      <c r="A30" s="769"/>
      <c r="B30" s="1336">
        <v>4</v>
      </c>
      <c r="C30" s="736"/>
      <c r="D30" s="736"/>
      <c r="E30" s="1359"/>
      <c r="F30" s="1360"/>
      <c r="G30" s="1361"/>
      <c r="H30" s="1362"/>
      <c r="I30" s="734"/>
      <c r="J30" s="1363"/>
      <c r="K30" s="741"/>
      <c r="L30" s="136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700" customFormat="1" ht="33" hidden="1" customHeight="1">
      <c r="A31" s="769"/>
      <c r="B31" s="1336">
        <v>5</v>
      </c>
      <c r="C31" s="736"/>
      <c r="D31" s="736"/>
      <c r="E31" s="1359"/>
      <c r="F31" s="1360"/>
      <c r="G31" s="1361"/>
      <c r="H31" s="1362"/>
      <c r="I31" s="734"/>
      <c r="J31" s="1363"/>
      <c r="K31" s="741"/>
      <c r="L31" s="136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700" customFormat="1" ht="33" hidden="1" customHeight="1">
      <c r="A32" s="769"/>
      <c r="B32" s="1336">
        <v>6</v>
      </c>
      <c r="C32" s="736"/>
      <c r="D32" s="736"/>
      <c r="E32" s="1359"/>
      <c r="F32" s="1360"/>
      <c r="G32" s="1361"/>
      <c r="H32" s="1362"/>
      <c r="I32" s="734"/>
      <c r="J32" s="1363"/>
      <c r="K32" s="741"/>
      <c r="L32" s="1365"/>
      <c r="O32" s="1364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700" customFormat="1" ht="33" hidden="1" customHeight="1">
      <c r="A33" s="769"/>
      <c r="B33" s="1336">
        <v>7</v>
      </c>
      <c r="C33" s="736"/>
      <c r="D33" s="736"/>
      <c r="E33" s="1359"/>
      <c r="F33" s="1360"/>
      <c r="G33" s="1361"/>
      <c r="H33" s="1362"/>
      <c r="I33" s="734"/>
      <c r="J33" s="1363"/>
      <c r="K33" s="741"/>
      <c r="L33" s="136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700" customFormat="1" ht="33" hidden="1" customHeight="1">
      <c r="A34" s="769"/>
      <c r="B34" s="1336">
        <v>8</v>
      </c>
      <c r="C34" s="736"/>
      <c r="D34" s="736"/>
      <c r="E34" s="1359"/>
      <c r="F34" s="1360"/>
      <c r="G34" s="1361"/>
      <c r="H34" s="1362"/>
      <c r="I34" s="734"/>
      <c r="J34" s="1363"/>
      <c r="K34" s="741"/>
      <c r="L34" s="136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700" customFormat="1" ht="33" hidden="1" customHeight="1">
      <c r="A35" s="769"/>
      <c r="B35" s="1336">
        <v>9</v>
      </c>
      <c r="C35" s="736"/>
      <c r="D35" s="736"/>
      <c r="E35" s="1359"/>
      <c r="F35" s="1360"/>
      <c r="G35" s="1361"/>
      <c r="H35" s="1362"/>
      <c r="I35" s="734"/>
      <c r="J35" s="1363"/>
      <c r="K35" s="741"/>
      <c r="L35" s="136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700" customFormat="1" ht="33" hidden="1" customHeight="1">
      <c r="A36" s="769"/>
      <c r="B36" s="1336">
        <v>10</v>
      </c>
      <c r="C36" s="736"/>
      <c r="D36" s="736"/>
      <c r="E36" s="1359"/>
      <c r="F36" s="1360"/>
      <c r="G36" s="1361"/>
      <c r="H36" s="1362"/>
      <c r="I36" s="734"/>
      <c r="J36" s="1363"/>
      <c r="K36" s="741"/>
      <c r="L36" s="1365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700" customFormat="1" ht="33" hidden="1" customHeight="1">
      <c r="A37" s="769"/>
      <c r="B37" s="1336">
        <v>11</v>
      </c>
      <c r="C37" s="736"/>
      <c r="D37" s="736"/>
      <c r="E37" s="1359"/>
      <c r="F37" s="1360"/>
      <c r="G37" s="1361"/>
      <c r="H37" s="1362"/>
      <c r="I37" s="734"/>
      <c r="J37" s="1363"/>
      <c r="K37" s="741"/>
      <c r="L37" s="1365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700" customFormat="1" ht="33" hidden="1" customHeight="1">
      <c r="A38" s="769"/>
      <c r="B38" s="1336">
        <v>12</v>
      </c>
      <c r="C38" s="736"/>
      <c r="D38" s="736"/>
      <c r="E38" s="1359"/>
      <c r="F38" s="1360"/>
      <c r="G38" s="1361"/>
      <c r="H38" s="1362"/>
      <c r="I38" s="734"/>
      <c r="J38" s="1363"/>
      <c r="K38" s="741"/>
      <c r="L38" s="1365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700" customFormat="1" ht="33" hidden="1" customHeight="1">
      <c r="A39" s="769"/>
      <c r="B39" s="1336">
        <v>13</v>
      </c>
      <c r="C39" s="736"/>
      <c r="D39" s="736"/>
      <c r="E39" s="1359"/>
      <c r="F39" s="1360"/>
      <c r="G39" s="1361"/>
      <c r="H39" s="1362"/>
      <c r="I39" s="734"/>
      <c r="J39" s="1363"/>
      <c r="K39" s="741"/>
      <c r="L39" s="1365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700" customFormat="1" ht="33" hidden="1" customHeight="1">
      <c r="A40" s="769"/>
      <c r="B40" s="1336">
        <v>14</v>
      </c>
      <c r="C40" s="736"/>
      <c r="D40" s="736"/>
      <c r="E40" s="1359"/>
      <c r="F40" s="1360"/>
      <c r="G40" s="1361"/>
      <c r="H40" s="1362"/>
      <c r="I40" s="734"/>
      <c r="J40" s="1363"/>
      <c r="K40" s="741"/>
      <c r="L40" s="1365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700" customFormat="1" ht="33" hidden="1" customHeight="1">
      <c r="A41" s="769"/>
      <c r="B41" s="1336">
        <v>15</v>
      </c>
      <c r="C41" s="736"/>
      <c r="D41" s="736"/>
      <c r="E41" s="1359"/>
      <c r="F41" s="1360"/>
      <c r="G41" s="1361"/>
      <c r="H41" s="1362"/>
      <c r="I41" s="734"/>
      <c r="J41" s="1363"/>
      <c r="K41" s="741"/>
      <c r="L41" s="1365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700" customFormat="1" ht="33" hidden="1" customHeight="1">
      <c r="A42" s="769"/>
      <c r="B42" s="1336">
        <v>16</v>
      </c>
      <c r="C42" s="736"/>
      <c r="D42" s="736"/>
      <c r="E42" s="1359"/>
      <c r="F42" s="1360"/>
      <c r="G42" s="1361"/>
      <c r="H42" s="1362"/>
      <c r="I42" s="734"/>
      <c r="J42" s="1363"/>
      <c r="K42" s="741"/>
      <c r="L42" s="1365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700" customFormat="1" ht="33" hidden="1" customHeight="1">
      <c r="A43" s="769"/>
      <c r="B43" s="1336">
        <v>17</v>
      </c>
      <c r="C43" s="736"/>
      <c r="D43" s="736"/>
      <c r="E43" s="1359"/>
      <c r="F43" s="1360"/>
      <c r="G43" s="1361"/>
      <c r="H43" s="1362"/>
      <c r="I43" s="734"/>
      <c r="J43" s="1363"/>
      <c r="K43" s="741"/>
      <c r="L43" s="1365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700" customFormat="1" ht="33" hidden="1" customHeight="1">
      <c r="A44" s="769"/>
      <c r="B44" s="1336">
        <v>18</v>
      </c>
      <c r="C44" s="736"/>
      <c r="D44" s="736"/>
      <c r="E44" s="1359"/>
      <c r="F44" s="1360"/>
      <c r="G44" s="1361"/>
      <c r="H44" s="1362"/>
      <c r="I44" s="734"/>
      <c r="J44" s="1363"/>
      <c r="K44" s="741"/>
      <c r="L44" s="1365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700" customFormat="1" ht="33" hidden="1" customHeight="1">
      <c r="A45" s="769"/>
      <c r="B45" s="1336">
        <v>19</v>
      </c>
      <c r="C45" s="736"/>
      <c r="D45" s="736"/>
      <c r="E45" s="1359"/>
      <c r="F45" s="1360"/>
      <c r="G45" s="1361"/>
      <c r="H45" s="1362"/>
      <c r="I45" s="734"/>
      <c r="J45" s="1363"/>
      <c r="K45" s="741"/>
      <c r="L45" s="136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700" customFormat="1" ht="33" hidden="1" customHeight="1">
      <c r="A46" s="769"/>
      <c r="B46" s="1336">
        <v>20</v>
      </c>
      <c r="C46" s="736"/>
      <c r="D46" s="736"/>
      <c r="E46" s="1359"/>
      <c r="F46" s="1360"/>
      <c r="G46" s="1361"/>
      <c r="H46" s="1362"/>
      <c r="I46" s="734"/>
      <c r="J46" s="1363"/>
      <c r="K46" s="741"/>
      <c r="L46" s="1365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700" customFormat="1" ht="33" hidden="1" customHeight="1">
      <c r="A47" s="769"/>
      <c r="B47" s="1336">
        <v>21</v>
      </c>
      <c r="C47" s="736"/>
      <c r="D47" s="736"/>
      <c r="E47" s="1359"/>
      <c r="F47" s="1360"/>
      <c r="G47" s="1361"/>
      <c r="H47" s="1362"/>
      <c r="I47" s="734"/>
      <c r="J47" s="1363"/>
      <c r="K47" s="741"/>
      <c r="L47" s="1365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700" customFormat="1" ht="33" hidden="1" customHeight="1">
      <c r="A48" s="769"/>
      <c r="B48" s="1336">
        <v>22</v>
      </c>
      <c r="C48" s="736"/>
      <c r="D48" s="736"/>
      <c r="E48" s="1359"/>
      <c r="F48" s="1360"/>
      <c r="G48" s="1361"/>
      <c r="H48" s="1362"/>
      <c r="I48" s="734"/>
      <c r="J48" s="1363"/>
      <c r="K48" s="741"/>
      <c r="L48" s="1365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700" customFormat="1" ht="33" hidden="1" customHeight="1">
      <c r="A49" s="769"/>
      <c r="B49" s="1336">
        <v>23</v>
      </c>
      <c r="C49" s="736"/>
      <c r="D49" s="736"/>
      <c r="E49" s="1359"/>
      <c r="F49" s="1360"/>
      <c r="G49" s="1361"/>
      <c r="H49" s="1362"/>
      <c r="I49" s="734"/>
      <c r="J49" s="1363"/>
      <c r="K49" s="741"/>
      <c r="L49" s="1365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700" customFormat="1" ht="33" hidden="1" customHeight="1">
      <c r="A50" s="769"/>
      <c r="B50" s="1336">
        <v>24</v>
      </c>
      <c r="C50" s="736"/>
      <c r="D50" s="736"/>
      <c r="E50" s="1359"/>
      <c r="F50" s="1360"/>
      <c r="G50" s="1361"/>
      <c r="H50" s="1362"/>
      <c r="I50" s="734"/>
      <c r="J50" s="1363"/>
      <c r="K50" s="741"/>
      <c r="L50" s="1365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700" customFormat="1" ht="33" hidden="1" customHeight="1">
      <c r="A51" s="769"/>
      <c r="B51" s="1336">
        <v>25</v>
      </c>
      <c r="C51" s="736"/>
      <c r="D51" s="736"/>
      <c r="E51" s="1359"/>
      <c r="F51" s="1360"/>
      <c r="G51" s="1361"/>
      <c r="H51" s="1362"/>
      <c r="I51" s="734"/>
      <c r="J51" s="1363"/>
      <c r="K51" s="741"/>
      <c r="L51" s="1365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700" customFormat="1" ht="33" hidden="1" customHeight="1">
      <c r="A52" s="769"/>
      <c r="B52" s="1336">
        <v>26</v>
      </c>
      <c r="C52" s="736"/>
      <c r="D52" s="736"/>
      <c r="E52" s="1359"/>
      <c r="F52" s="1360"/>
      <c r="G52" s="1361"/>
      <c r="H52" s="1362"/>
      <c r="I52" s="734"/>
      <c r="J52" s="1363"/>
      <c r="K52" s="741"/>
      <c r="L52" s="1365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700" customFormat="1" ht="33" hidden="1" customHeight="1">
      <c r="A53" s="769"/>
      <c r="B53" s="1336">
        <v>27</v>
      </c>
      <c r="C53" s="736"/>
      <c r="D53" s="736"/>
      <c r="E53" s="1359"/>
      <c r="F53" s="1360"/>
      <c r="G53" s="1361"/>
      <c r="H53" s="1362"/>
      <c r="I53" s="734"/>
      <c r="J53" s="1363"/>
      <c r="K53" s="741"/>
      <c r="L53" s="1365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700" customFormat="1" ht="33" hidden="1" customHeight="1">
      <c r="A54" s="769"/>
      <c r="B54" s="1336">
        <v>28</v>
      </c>
      <c r="C54" s="736"/>
      <c r="D54" s="736"/>
      <c r="E54" s="1359"/>
      <c r="F54" s="1360"/>
      <c r="G54" s="1361"/>
      <c r="H54" s="1362"/>
      <c r="I54" s="734"/>
      <c r="J54" s="1363"/>
      <c r="K54" s="741"/>
      <c r="L54" s="1365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700" customFormat="1" ht="33" hidden="1" customHeight="1">
      <c r="B55" s="1336">
        <v>29</v>
      </c>
      <c r="C55" s="736"/>
      <c r="D55" s="736"/>
      <c r="E55" s="1359"/>
      <c r="F55" s="1360"/>
      <c r="G55" s="1361"/>
      <c r="H55" s="1362"/>
      <c r="I55" s="734"/>
      <c r="J55" s="1363"/>
      <c r="K55" s="741"/>
      <c r="L55" s="136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700" customFormat="1" ht="33" hidden="1" customHeight="1">
      <c r="B56" s="1336">
        <v>30</v>
      </c>
      <c r="C56" s="736"/>
      <c r="D56" s="736"/>
      <c r="E56" s="1359"/>
      <c r="F56" s="1360"/>
      <c r="G56" s="1361"/>
      <c r="H56" s="1362"/>
      <c r="I56" s="734"/>
      <c r="J56" s="1363"/>
      <c r="K56" s="741"/>
      <c r="L56" s="1365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700" customFormat="1" ht="33" hidden="1" customHeight="1">
      <c r="B57" s="1336">
        <v>31</v>
      </c>
      <c r="C57" s="736"/>
      <c r="D57" s="736"/>
      <c r="E57" s="1359"/>
      <c r="F57" s="1360"/>
      <c r="G57" s="1361"/>
      <c r="H57" s="1362"/>
      <c r="I57" s="734"/>
      <c r="J57" s="1363"/>
      <c r="K57" s="741"/>
      <c r="L57" s="1365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700" customFormat="1" ht="33" hidden="1" customHeight="1">
      <c r="B58" s="1336">
        <v>32</v>
      </c>
      <c r="C58" s="736"/>
      <c r="D58" s="736"/>
      <c r="E58" s="1359"/>
      <c r="F58" s="1360"/>
      <c r="G58" s="1361"/>
      <c r="H58" s="1362"/>
      <c r="I58" s="734"/>
      <c r="J58" s="1363"/>
      <c r="K58" s="741"/>
      <c r="L58" s="1365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700" customFormat="1" ht="33" hidden="1" customHeight="1">
      <c r="B59" s="1336">
        <v>33</v>
      </c>
      <c r="C59" s="736"/>
      <c r="D59" s="736"/>
      <c r="E59" s="1359"/>
      <c r="F59" s="1360"/>
      <c r="G59" s="1361"/>
      <c r="H59" s="1362"/>
      <c r="I59" s="734"/>
      <c r="J59" s="1363"/>
      <c r="K59" s="741"/>
      <c r="L59" s="1365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700" customFormat="1" ht="33" hidden="1" customHeight="1">
      <c r="B60" s="1336">
        <v>34</v>
      </c>
      <c r="C60" s="736"/>
      <c r="D60" s="736"/>
      <c r="E60" s="1359"/>
      <c r="F60" s="1360"/>
      <c r="G60" s="1361"/>
      <c r="H60" s="1362"/>
      <c r="I60" s="734"/>
      <c r="J60" s="1363"/>
      <c r="K60" s="741"/>
      <c r="L60" s="1365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700" customFormat="1" ht="33" hidden="1" customHeight="1">
      <c r="B61" s="1336">
        <v>35</v>
      </c>
      <c r="C61" s="736"/>
      <c r="D61" s="736"/>
      <c r="E61" s="1359"/>
      <c r="F61" s="1360"/>
      <c r="G61" s="1361"/>
      <c r="H61" s="1362"/>
      <c r="I61" s="734"/>
      <c r="J61" s="1363"/>
      <c r="K61" s="741"/>
      <c r="L61" s="1365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700" customFormat="1" ht="33" hidden="1" customHeight="1">
      <c r="B62" s="1336">
        <v>36</v>
      </c>
      <c r="C62" s="736"/>
      <c r="D62" s="736"/>
      <c r="E62" s="1359"/>
      <c r="F62" s="1360"/>
      <c r="G62" s="1361"/>
      <c r="H62" s="1362"/>
      <c r="I62" s="734"/>
      <c r="J62" s="1363"/>
      <c r="K62" s="741"/>
      <c r="L62" s="1365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700" customFormat="1" ht="33" hidden="1" customHeight="1">
      <c r="B63" s="1336">
        <v>37</v>
      </c>
      <c r="C63" s="736"/>
      <c r="D63" s="736"/>
      <c r="E63" s="1359"/>
      <c r="F63" s="1360"/>
      <c r="G63" s="1361"/>
      <c r="H63" s="1362"/>
      <c r="I63" s="734"/>
      <c r="J63" s="1363"/>
      <c r="K63" s="741"/>
      <c r="L63" s="1365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700" customFormat="1" ht="33" hidden="1" customHeight="1">
      <c r="B64" s="1336">
        <v>38</v>
      </c>
      <c r="C64" s="736"/>
      <c r="D64" s="736"/>
      <c r="E64" s="1359"/>
      <c r="F64" s="1360"/>
      <c r="G64" s="1361"/>
      <c r="H64" s="1362"/>
      <c r="I64" s="734"/>
      <c r="J64" s="1363"/>
      <c r="K64" s="741"/>
      <c r="L64" s="1365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700" customFormat="1" ht="33" hidden="1" customHeight="1">
      <c r="B65" s="1336">
        <v>39</v>
      </c>
      <c r="C65" s="736"/>
      <c r="D65" s="736"/>
      <c r="E65" s="1359"/>
      <c r="F65" s="1360"/>
      <c r="G65" s="1361"/>
      <c r="H65" s="1362"/>
      <c r="I65" s="734"/>
      <c r="J65" s="1363"/>
      <c r="K65" s="741"/>
      <c r="L65" s="13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700" customFormat="1" ht="33" hidden="1" customHeight="1">
      <c r="B66" s="1336">
        <v>40</v>
      </c>
      <c r="C66" s="736"/>
      <c r="D66" s="736"/>
      <c r="E66" s="1359"/>
      <c r="F66" s="1360"/>
      <c r="G66" s="1361"/>
      <c r="H66" s="1362"/>
      <c r="I66" s="734"/>
      <c r="J66" s="1363"/>
      <c r="K66" s="741"/>
      <c r="L66" s="1365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700" customFormat="1" ht="33" hidden="1" customHeight="1">
      <c r="B67" s="1336">
        <v>41</v>
      </c>
      <c r="C67" s="736"/>
      <c r="D67" s="736"/>
      <c r="E67" s="1359"/>
      <c r="F67" s="1360"/>
      <c r="G67" s="1361"/>
      <c r="H67" s="1362"/>
      <c r="I67" s="734"/>
      <c r="J67" s="1363"/>
      <c r="K67" s="741"/>
      <c r="L67" s="1365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700" customFormat="1" ht="33" hidden="1" customHeight="1">
      <c r="B68" s="1336">
        <v>42</v>
      </c>
      <c r="C68" s="736"/>
      <c r="D68" s="736"/>
      <c r="E68" s="1359"/>
      <c r="F68" s="1360"/>
      <c r="G68" s="1361"/>
      <c r="H68" s="1362"/>
      <c r="I68" s="734"/>
      <c r="J68" s="1363"/>
      <c r="K68" s="741"/>
      <c r="L68" s="1365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700" customFormat="1" ht="33" hidden="1" customHeight="1">
      <c r="B69" s="1336">
        <v>43</v>
      </c>
      <c r="C69" s="736"/>
      <c r="D69" s="736"/>
      <c r="E69" s="1359"/>
      <c r="F69" s="1360"/>
      <c r="G69" s="1361"/>
      <c r="H69" s="1362"/>
      <c r="I69" s="734"/>
      <c r="J69" s="1363"/>
      <c r="K69" s="741"/>
      <c r="L69" s="1365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700" customFormat="1" ht="33" hidden="1" customHeight="1">
      <c r="B70" s="1336">
        <v>44</v>
      </c>
      <c r="C70" s="736"/>
      <c r="D70" s="736"/>
      <c r="E70" s="1359"/>
      <c r="F70" s="1360"/>
      <c r="G70" s="1361"/>
      <c r="H70" s="1362"/>
      <c r="I70" s="734"/>
      <c r="J70" s="1363"/>
      <c r="K70" s="741"/>
      <c r="L70" s="1365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700" customFormat="1" ht="33" hidden="1" customHeight="1">
      <c r="B71" s="1336">
        <v>45</v>
      </c>
      <c r="C71" s="736"/>
      <c r="D71" s="736"/>
      <c r="E71" s="1359"/>
      <c r="F71" s="1360"/>
      <c r="G71" s="1361"/>
      <c r="H71" s="1362"/>
      <c r="I71" s="734"/>
      <c r="J71" s="1363"/>
      <c r="K71" s="741"/>
      <c r="L71" s="1365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700" customFormat="1" ht="33" hidden="1" customHeight="1">
      <c r="B72" s="1336">
        <v>46</v>
      </c>
      <c r="C72" s="736"/>
      <c r="D72" s="736"/>
      <c r="E72" s="1359"/>
      <c r="F72" s="1360"/>
      <c r="G72" s="1361"/>
      <c r="H72" s="1362"/>
      <c r="I72" s="734"/>
      <c r="J72" s="1363"/>
      <c r="K72" s="741"/>
      <c r="L72" s="1365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700" customFormat="1" ht="33" hidden="1" customHeight="1">
      <c r="B73" s="1336">
        <v>47</v>
      </c>
      <c r="C73" s="736"/>
      <c r="D73" s="736"/>
      <c r="E73" s="1359"/>
      <c r="F73" s="1360"/>
      <c r="G73" s="1361"/>
      <c r="H73" s="1362"/>
      <c r="I73" s="734"/>
      <c r="J73" s="1363"/>
      <c r="K73" s="741"/>
      <c r="L73" s="1365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700" customFormat="1" ht="33" hidden="1" customHeight="1">
      <c r="B74" s="1336">
        <v>48</v>
      </c>
      <c r="C74" s="736"/>
      <c r="D74" s="736"/>
      <c r="E74" s="1359"/>
      <c r="F74" s="1360"/>
      <c r="G74" s="1361"/>
      <c r="H74" s="1362"/>
      <c r="I74" s="734"/>
      <c r="J74" s="1363"/>
      <c r="K74" s="741"/>
      <c r="L74" s="1365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700" customFormat="1" ht="33" hidden="1" customHeight="1">
      <c r="B75" s="1336">
        <v>49</v>
      </c>
      <c r="C75" s="736"/>
      <c r="D75" s="736"/>
      <c r="E75" s="1359"/>
      <c r="F75" s="1360"/>
      <c r="G75" s="1361"/>
      <c r="H75" s="1362"/>
      <c r="I75" s="734"/>
      <c r="J75" s="1363"/>
      <c r="K75" s="741"/>
      <c r="L75" s="136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700" customFormat="1" ht="33" hidden="1" customHeight="1">
      <c r="B76" s="1336">
        <v>50</v>
      </c>
      <c r="C76" s="736"/>
      <c r="D76" s="736"/>
      <c r="E76" s="1359"/>
      <c r="F76" s="1360"/>
      <c r="G76" s="1361"/>
      <c r="H76" s="1362"/>
      <c r="I76" s="734"/>
      <c r="J76" s="1363"/>
      <c r="K76" s="741"/>
      <c r="L76" s="1365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700" customFormat="1" ht="33" hidden="1" customHeight="1">
      <c r="B77" s="1336">
        <v>51</v>
      </c>
      <c r="C77" s="736"/>
      <c r="D77" s="736"/>
      <c r="E77" s="1359"/>
      <c r="F77" s="1360"/>
      <c r="G77" s="1361"/>
      <c r="H77" s="1362"/>
      <c r="I77" s="734"/>
      <c r="J77" s="1363"/>
      <c r="K77" s="741"/>
      <c r="L77" s="1365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700" customFormat="1" ht="33" hidden="1" customHeight="1">
      <c r="B78" s="1336">
        <v>52</v>
      </c>
      <c r="C78" s="736"/>
      <c r="D78" s="736"/>
      <c r="E78" s="1359"/>
      <c r="F78" s="1360"/>
      <c r="G78" s="1361"/>
      <c r="H78" s="1362"/>
      <c r="I78" s="734"/>
      <c r="J78" s="1363"/>
      <c r="K78" s="741"/>
      <c r="L78" s="1365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700" customFormat="1" ht="33" hidden="1" customHeight="1">
      <c r="B79" s="1336">
        <v>53</v>
      </c>
      <c r="C79" s="736"/>
      <c r="D79" s="736"/>
      <c r="E79" s="1359"/>
      <c r="F79" s="1360"/>
      <c r="G79" s="1361"/>
      <c r="H79" s="1362"/>
      <c r="I79" s="734"/>
      <c r="J79" s="1363"/>
      <c r="K79" s="741"/>
      <c r="L79" s="1365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700" customFormat="1" ht="33" hidden="1" customHeight="1">
      <c r="B80" s="1336">
        <v>54</v>
      </c>
      <c r="C80" s="736"/>
      <c r="D80" s="736"/>
      <c r="E80" s="1359"/>
      <c r="F80" s="1360"/>
      <c r="G80" s="1361"/>
      <c r="H80" s="1362"/>
      <c r="I80" s="734"/>
      <c r="J80" s="1363"/>
      <c r="K80" s="741"/>
      <c r="L80" s="1365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700" customFormat="1" ht="33" hidden="1" customHeight="1">
      <c r="B81" s="1336">
        <v>55</v>
      </c>
      <c r="C81" s="736"/>
      <c r="D81" s="736"/>
      <c r="E81" s="1359"/>
      <c r="F81" s="1360"/>
      <c r="G81" s="1361"/>
      <c r="H81" s="1362"/>
      <c r="I81" s="734"/>
      <c r="J81" s="1363"/>
      <c r="K81" s="741"/>
      <c r="L81" s="1365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700" customFormat="1" ht="33" hidden="1" customHeight="1">
      <c r="B82" s="1336">
        <v>56</v>
      </c>
      <c r="C82" s="736"/>
      <c r="D82" s="736"/>
      <c r="E82" s="1359"/>
      <c r="F82" s="1360"/>
      <c r="G82" s="1361"/>
      <c r="H82" s="1362"/>
      <c r="I82" s="734"/>
      <c r="J82" s="1363"/>
      <c r="K82" s="741"/>
      <c r="L82" s="1365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700" customFormat="1" ht="33" hidden="1" customHeight="1">
      <c r="B83" s="1336">
        <v>57</v>
      </c>
      <c r="C83" s="736"/>
      <c r="D83" s="736"/>
      <c r="E83" s="1359"/>
      <c r="F83" s="1360"/>
      <c r="G83" s="1361"/>
      <c r="H83" s="1362"/>
      <c r="I83" s="734"/>
      <c r="J83" s="1363"/>
      <c r="K83" s="741"/>
      <c r="L83" s="1365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700" customFormat="1" ht="33" hidden="1" customHeight="1">
      <c r="B84" s="1336">
        <v>58</v>
      </c>
      <c r="C84" s="736"/>
      <c r="D84" s="736"/>
      <c r="E84" s="1359"/>
      <c r="F84" s="1360"/>
      <c r="G84" s="1361"/>
      <c r="H84" s="1362"/>
      <c r="I84" s="734"/>
      <c r="J84" s="1363"/>
      <c r="K84" s="741"/>
      <c r="L84" s="1365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700" customFormat="1" ht="33" hidden="1" customHeight="1">
      <c r="B85" s="1336">
        <v>59</v>
      </c>
      <c r="C85" s="736"/>
      <c r="D85" s="736"/>
      <c r="E85" s="1359"/>
      <c r="F85" s="1360"/>
      <c r="G85" s="1361"/>
      <c r="H85" s="1362"/>
      <c r="I85" s="734"/>
      <c r="J85" s="1363"/>
      <c r="K85" s="741"/>
      <c r="L85" s="136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700" customFormat="1" ht="33" hidden="1" customHeight="1">
      <c r="B86" s="1336">
        <v>60</v>
      </c>
      <c r="C86" s="736"/>
      <c r="D86" s="736"/>
      <c r="E86" s="1359"/>
      <c r="F86" s="1360"/>
      <c r="G86" s="1361"/>
      <c r="H86" s="1362"/>
      <c r="I86" s="734"/>
      <c r="J86" s="1363"/>
      <c r="K86" s="741"/>
      <c r="L86" s="1365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700" customFormat="1" ht="33" hidden="1" customHeight="1">
      <c r="B87" s="1336">
        <v>61</v>
      </c>
      <c r="C87" s="736"/>
      <c r="D87" s="736"/>
      <c r="E87" s="1359"/>
      <c r="F87" s="1360"/>
      <c r="G87" s="1361"/>
      <c r="H87" s="1362"/>
      <c r="I87" s="734"/>
      <c r="J87" s="1363"/>
      <c r="K87" s="741"/>
      <c r="L87" s="1365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700" customFormat="1" ht="33" hidden="1" customHeight="1">
      <c r="B88" s="1336">
        <v>62</v>
      </c>
      <c r="C88" s="736"/>
      <c r="D88" s="736"/>
      <c r="E88" s="1359"/>
      <c r="F88" s="1360"/>
      <c r="G88" s="1361"/>
      <c r="H88" s="1362"/>
      <c r="I88" s="734"/>
      <c r="J88" s="1363"/>
      <c r="K88" s="741"/>
      <c r="L88" s="1365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700" customFormat="1" ht="33" hidden="1" customHeight="1">
      <c r="B89" s="1336">
        <v>63</v>
      </c>
      <c r="C89" s="736"/>
      <c r="D89" s="736"/>
      <c r="E89" s="1359"/>
      <c r="F89" s="1360"/>
      <c r="G89" s="1361"/>
      <c r="H89" s="1362"/>
      <c r="I89" s="734"/>
      <c r="J89" s="1363"/>
      <c r="K89" s="741"/>
      <c r="L89" s="1365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700" customFormat="1" ht="33" hidden="1" customHeight="1">
      <c r="B90" s="1336">
        <v>64</v>
      </c>
      <c r="C90" s="736"/>
      <c r="D90" s="736"/>
      <c r="E90" s="1359"/>
      <c r="F90" s="1360"/>
      <c r="G90" s="1361"/>
      <c r="H90" s="1362"/>
      <c r="I90" s="734"/>
      <c r="J90" s="1363"/>
      <c r="K90" s="741"/>
      <c r="L90" s="1365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700" customFormat="1" ht="33" hidden="1" customHeight="1">
      <c r="B91" s="1336">
        <v>65</v>
      </c>
      <c r="C91" s="736"/>
      <c r="D91" s="736"/>
      <c r="E91" s="1359"/>
      <c r="F91" s="1360"/>
      <c r="G91" s="1361"/>
      <c r="H91" s="1362"/>
      <c r="I91" s="734"/>
      <c r="J91" s="1363"/>
      <c r="K91" s="741"/>
      <c r="L91" s="1365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700" customFormat="1" ht="33" hidden="1" customHeight="1">
      <c r="B92" s="1336">
        <v>66</v>
      </c>
      <c r="C92" s="736"/>
      <c r="D92" s="736"/>
      <c r="E92" s="1359"/>
      <c r="F92" s="1360"/>
      <c r="G92" s="1361"/>
      <c r="H92" s="1362"/>
      <c r="I92" s="734"/>
      <c r="J92" s="1363"/>
      <c r="K92" s="741"/>
      <c r="L92" s="1365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700" customFormat="1" ht="33" hidden="1" customHeight="1">
      <c r="B93" s="1336">
        <v>67</v>
      </c>
      <c r="C93" s="736"/>
      <c r="D93" s="736"/>
      <c r="E93" s="1359"/>
      <c r="F93" s="1360"/>
      <c r="G93" s="1361"/>
      <c r="H93" s="1362"/>
      <c r="I93" s="734"/>
      <c r="J93" s="1363"/>
      <c r="K93" s="741"/>
      <c r="L93" s="1365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700" customFormat="1" ht="33" hidden="1" customHeight="1">
      <c r="B94" s="1336">
        <v>68</v>
      </c>
      <c r="C94" s="736"/>
      <c r="D94" s="736"/>
      <c r="E94" s="1359"/>
      <c r="F94" s="1360"/>
      <c r="G94" s="1361"/>
      <c r="H94" s="1362"/>
      <c r="I94" s="734"/>
      <c r="J94" s="1363"/>
      <c r="K94" s="741"/>
      <c r="L94" s="1365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700" customFormat="1" ht="33" hidden="1" customHeight="1">
      <c r="B95" s="1336">
        <v>69</v>
      </c>
      <c r="C95" s="736"/>
      <c r="D95" s="736"/>
      <c r="E95" s="1359"/>
      <c r="F95" s="1360"/>
      <c r="G95" s="1361"/>
      <c r="H95" s="1362"/>
      <c r="I95" s="734"/>
      <c r="J95" s="1363"/>
      <c r="K95" s="741"/>
      <c r="L95" s="136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700" customFormat="1" ht="33" hidden="1" customHeight="1">
      <c r="B96" s="1336">
        <v>70</v>
      </c>
      <c r="C96" s="736"/>
      <c r="D96" s="736"/>
      <c r="E96" s="1359"/>
      <c r="F96" s="1360"/>
      <c r="G96" s="1361"/>
      <c r="H96" s="1362"/>
      <c r="I96" s="734"/>
      <c r="J96" s="1363"/>
      <c r="K96" s="741"/>
      <c r="L96" s="1365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700" customFormat="1" ht="33" hidden="1" customHeight="1">
      <c r="B97" s="1336">
        <v>71</v>
      </c>
      <c r="C97" s="736"/>
      <c r="D97" s="736"/>
      <c r="E97" s="1359"/>
      <c r="F97" s="1360"/>
      <c r="G97" s="1361"/>
      <c r="H97" s="1362"/>
      <c r="I97" s="734"/>
      <c r="J97" s="1363"/>
      <c r="K97" s="741"/>
      <c r="L97" s="1365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700" customFormat="1" ht="33" hidden="1" customHeight="1">
      <c r="B98" s="1336">
        <v>72</v>
      </c>
      <c r="C98" s="736"/>
      <c r="D98" s="736"/>
      <c r="E98" s="1359"/>
      <c r="F98" s="1360"/>
      <c r="G98" s="1361"/>
      <c r="H98" s="1362"/>
      <c r="I98" s="734"/>
      <c r="J98" s="1363"/>
      <c r="K98" s="741"/>
      <c r="L98" s="1365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700" customFormat="1" ht="33" hidden="1" customHeight="1">
      <c r="B99" s="1336">
        <v>73</v>
      </c>
      <c r="C99" s="736"/>
      <c r="D99" s="736"/>
      <c r="E99" s="1359"/>
      <c r="F99" s="1360"/>
      <c r="G99" s="1361"/>
      <c r="H99" s="1362"/>
      <c r="I99" s="734"/>
      <c r="J99" s="1363"/>
      <c r="K99" s="741"/>
      <c r="L99" s="1365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700" customFormat="1" ht="33" hidden="1" customHeight="1">
      <c r="B100" s="1336">
        <v>74</v>
      </c>
      <c r="C100" s="736"/>
      <c r="D100" s="736"/>
      <c r="E100" s="1359"/>
      <c r="F100" s="1360"/>
      <c r="G100" s="1361"/>
      <c r="H100" s="1362"/>
      <c r="I100" s="734"/>
      <c r="J100" s="1363"/>
      <c r="K100" s="741"/>
      <c r="L100" s="1365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700" customFormat="1" ht="33" hidden="1" customHeight="1">
      <c r="B101" s="1336">
        <v>75</v>
      </c>
      <c r="C101" s="736"/>
      <c r="D101" s="736"/>
      <c r="E101" s="1359"/>
      <c r="F101" s="1360"/>
      <c r="G101" s="1361"/>
      <c r="H101" s="1362"/>
      <c r="I101" s="734"/>
      <c r="J101" s="1363"/>
      <c r="K101" s="741"/>
      <c r="L101" s="1365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700" customFormat="1" ht="33" hidden="1" customHeight="1">
      <c r="B102" s="1336">
        <v>76</v>
      </c>
      <c r="C102" s="736"/>
      <c r="D102" s="736"/>
      <c r="E102" s="1359"/>
      <c r="F102" s="1360"/>
      <c r="G102" s="1361"/>
      <c r="H102" s="1362"/>
      <c r="I102" s="734"/>
      <c r="J102" s="1363"/>
      <c r="K102" s="741"/>
      <c r="L102" s="1365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700" customFormat="1" ht="33" hidden="1" customHeight="1">
      <c r="B103" s="1336">
        <v>77</v>
      </c>
      <c r="C103" s="736"/>
      <c r="D103" s="736"/>
      <c r="E103" s="1359"/>
      <c r="F103" s="1360"/>
      <c r="G103" s="1361"/>
      <c r="H103" s="1362"/>
      <c r="I103" s="734"/>
      <c r="J103" s="1363"/>
      <c r="K103" s="741"/>
      <c r="L103" s="1365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700" customFormat="1" ht="33" hidden="1" customHeight="1">
      <c r="B104" s="1336">
        <v>78</v>
      </c>
      <c r="C104" s="736"/>
      <c r="D104" s="736"/>
      <c r="E104" s="1359"/>
      <c r="F104" s="1360"/>
      <c r="G104" s="1361"/>
      <c r="H104" s="1362"/>
      <c r="I104" s="734"/>
      <c r="J104" s="1363"/>
      <c r="K104" s="741"/>
      <c r="L104" s="1365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700" customFormat="1" ht="33" hidden="1" customHeight="1">
      <c r="B105" s="1336">
        <v>79</v>
      </c>
      <c r="C105" s="736"/>
      <c r="D105" s="736"/>
      <c r="E105" s="1359"/>
      <c r="F105" s="1360"/>
      <c r="G105" s="1361"/>
      <c r="H105" s="1362"/>
      <c r="I105" s="734"/>
      <c r="J105" s="1363"/>
      <c r="K105" s="741"/>
      <c r="L105" s="136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700" customFormat="1" ht="33" hidden="1" customHeight="1">
      <c r="B106" s="1336">
        <v>80</v>
      </c>
      <c r="C106" s="736"/>
      <c r="D106" s="736"/>
      <c r="E106" s="1359"/>
      <c r="F106" s="1360"/>
      <c r="G106" s="1361"/>
      <c r="H106" s="1362"/>
      <c r="I106" s="734"/>
      <c r="J106" s="1363"/>
      <c r="K106" s="741"/>
      <c r="L106" s="1365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700" customFormat="1" ht="33" hidden="1" customHeight="1">
      <c r="B107" s="1336">
        <v>81</v>
      </c>
      <c r="C107" s="736"/>
      <c r="D107" s="736"/>
      <c r="E107" s="1359"/>
      <c r="F107" s="1360"/>
      <c r="G107" s="1361"/>
      <c r="H107" s="1362"/>
      <c r="I107" s="734"/>
      <c r="J107" s="1363"/>
      <c r="K107" s="741"/>
      <c r="L107" s="1365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700" customFormat="1" ht="33" hidden="1" customHeight="1">
      <c r="B108" s="1336">
        <v>82</v>
      </c>
      <c r="C108" s="736"/>
      <c r="D108" s="736"/>
      <c r="E108" s="1359"/>
      <c r="F108" s="1360"/>
      <c r="G108" s="1361"/>
      <c r="H108" s="1362"/>
      <c r="I108" s="734"/>
      <c r="J108" s="1363"/>
      <c r="K108" s="741"/>
      <c r="L108" s="1365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700" customFormat="1" ht="33" hidden="1" customHeight="1">
      <c r="B109" s="1336">
        <v>83</v>
      </c>
      <c r="C109" s="736"/>
      <c r="D109" s="736"/>
      <c r="E109" s="1359"/>
      <c r="F109" s="1360"/>
      <c r="G109" s="1361"/>
      <c r="H109" s="1362"/>
      <c r="I109" s="734"/>
      <c r="J109" s="1363"/>
      <c r="K109" s="741"/>
      <c r="L109" s="1365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700" customFormat="1" ht="33" hidden="1" customHeight="1">
      <c r="B110" s="1336">
        <v>84</v>
      </c>
      <c r="C110" s="736"/>
      <c r="D110" s="736"/>
      <c r="E110" s="1359"/>
      <c r="F110" s="1360"/>
      <c r="G110" s="1361"/>
      <c r="H110" s="1362"/>
      <c r="I110" s="734"/>
      <c r="J110" s="1363"/>
      <c r="K110" s="741"/>
      <c r="L110" s="1365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700" customFormat="1" ht="33" hidden="1" customHeight="1">
      <c r="B111" s="1336">
        <v>85</v>
      </c>
      <c r="C111" s="736"/>
      <c r="D111" s="736"/>
      <c r="E111" s="1359"/>
      <c r="F111" s="1360"/>
      <c r="G111" s="1361"/>
      <c r="H111" s="1362"/>
      <c r="I111" s="734"/>
      <c r="J111" s="1363"/>
      <c r="K111" s="741"/>
      <c r="L111" s="1365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700" customFormat="1" ht="33" hidden="1" customHeight="1">
      <c r="B112" s="1336">
        <v>86</v>
      </c>
      <c r="C112" s="736"/>
      <c r="D112" s="736"/>
      <c r="E112" s="1359"/>
      <c r="F112" s="1360"/>
      <c r="G112" s="1361"/>
      <c r="H112" s="1362"/>
      <c r="I112" s="734"/>
      <c r="J112" s="1363"/>
      <c r="K112" s="741"/>
      <c r="L112" s="1365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700" customFormat="1" ht="33" hidden="1" customHeight="1">
      <c r="B113" s="1336">
        <v>87</v>
      </c>
      <c r="C113" s="736"/>
      <c r="D113" s="736"/>
      <c r="E113" s="1359"/>
      <c r="F113" s="1360"/>
      <c r="G113" s="1361"/>
      <c r="H113" s="1362"/>
      <c r="I113" s="734"/>
      <c r="J113" s="1363"/>
      <c r="K113" s="741"/>
      <c r="L113" s="1365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700" customFormat="1" ht="33" hidden="1" customHeight="1">
      <c r="B114" s="1336">
        <v>88</v>
      </c>
      <c r="C114" s="736"/>
      <c r="D114" s="736"/>
      <c r="E114" s="1359"/>
      <c r="F114" s="1360"/>
      <c r="G114" s="1361"/>
      <c r="H114" s="1362"/>
      <c r="I114" s="734"/>
      <c r="J114" s="1363"/>
      <c r="K114" s="741"/>
      <c r="L114" s="1365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700" customFormat="1" ht="33" hidden="1" customHeight="1">
      <c r="B115" s="1336">
        <v>89</v>
      </c>
      <c r="C115" s="736"/>
      <c r="D115" s="736"/>
      <c r="E115" s="1359"/>
      <c r="F115" s="1360"/>
      <c r="G115" s="1361"/>
      <c r="H115" s="1362"/>
      <c r="I115" s="734"/>
      <c r="J115" s="1363"/>
      <c r="K115" s="741"/>
      <c r="L115" s="136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700" customFormat="1" ht="33" hidden="1" customHeight="1">
      <c r="B116" s="1336">
        <v>90</v>
      </c>
      <c r="C116" s="736"/>
      <c r="D116" s="736"/>
      <c r="E116" s="1359"/>
      <c r="F116" s="1360"/>
      <c r="G116" s="1361"/>
      <c r="H116" s="1362"/>
      <c r="I116" s="734"/>
      <c r="J116" s="1363"/>
      <c r="K116" s="741"/>
      <c r="L116" s="1365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700" customFormat="1" ht="33" hidden="1" customHeight="1">
      <c r="B117" s="1336">
        <v>91</v>
      </c>
      <c r="C117" s="736"/>
      <c r="D117" s="736"/>
      <c r="E117" s="1359"/>
      <c r="F117" s="1360"/>
      <c r="G117" s="1361"/>
      <c r="H117" s="1362"/>
      <c r="I117" s="734"/>
      <c r="J117" s="1363"/>
      <c r="K117" s="741"/>
      <c r="L117" s="1365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700" customFormat="1" ht="33" hidden="1" customHeight="1">
      <c r="B118" s="1336">
        <v>92</v>
      </c>
      <c r="C118" s="736"/>
      <c r="D118" s="736"/>
      <c r="E118" s="1359"/>
      <c r="F118" s="1360"/>
      <c r="G118" s="1361"/>
      <c r="H118" s="1362"/>
      <c r="I118" s="734"/>
      <c r="J118" s="1363"/>
      <c r="K118" s="741"/>
      <c r="L118" s="1365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700" customFormat="1" ht="33" hidden="1" customHeight="1">
      <c r="B119" s="1336">
        <v>93</v>
      </c>
      <c r="C119" s="736"/>
      <c r="D119" s="736"/>
      <c r="E119" s="1359"/>
      <c r="F119" s="1360"/>
      <c r="G119" s="1361"/>
      <c r="H119" s="1362"/>
      <c r="I119" s="734"/>
      <c r="J119" s="1363"/>
      <c r="K119" s="741"/>
      <c r="L119" s="1365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700" customFormat="1" ht="33" hidden="1" customHeight="1">
      <c r="B120" s="1336">
        <v>94</v>
      </c>
      <c r="C120" s="736"/>
      <c r="D120" s="736"/>
      <c r="E120" s="1359"/>
      <c r="F120" s="1360"/>
      <c r="G120" s="1361"/>
      <c r="H120" s="1362"/>
      <c r="I120" s="734"/>
      <c r="J120" s="1363"/>
      <c r="K120" s="741"/>
      <c r="L120" s="1365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700" customFormat="1" ht="33" hidden="1" customHeight="1">
      <c r="B121" s="1336">
        <v>95</v>
      </c>
      <c r="C121" s="736"/>
      <c r="D121" s="736"/>
      <c r="E121" s="1359"/>
      <c r="F121" s="1360"/>
      <c r="G121" s="1361"/>
      <c r="H121" s="1362"/>
      <c r="I121" s="734"/>
      <c r="J121" s="1363"/>
      <c r="K121" s="741"/>
      <c r="L121" s="1365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700" customFormat="1" ht="33" hidden="1" customHeight="1">
      <c r="B122" s="1336">
        <v>96</v>
      </c>
      <c r="C122" s="736"/>
      <c r="D122" s="736"/>
      <c r="E122" s="1359"/>
      <c r="F122" s="1360"/>
      <c r="G122" s="1361"/>
      <c r="H122" s="1362"/>
      <c r="I122" s="734"/>
      <c r="J122" s="1363"/>
      <c r="K122" s="741"/>
      <c r="L122" s="1365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700" customFormat="1" ht="33" hidden="1" customHeight="1">
      <c r="B123" s="1336">
        <v>97</v>
      </c>
      <c r="C123" s="736"/>
      <c r="D123" s="736"/>
      <c r="E123" s="1359"/>
      <c r="F123" s="1360"/>
      <c r="G123" s="1361"/>
      <c r="H123" s="1362"/>
      <c r="I123" s="734"/>
      <c r="J123" s="1363"/>
      <c r="K123" s="741"/>
      <c r="L123" s="1365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700" customFormat="1" ht="33" hidden="1" customHeight="1">
      <c r="B124" s="1336">
        <v>98</v>
      </c>
      <c r="C124" s="736"/>
      <c r="D124" s="736"/>
      <c r="E124" s="1359"/>
      <c r="F124" s="1360"/>
      <c r="G124" s="1361"/>
      <c r="H124" s="1362"/>
      <c r="I124" s="734"/>
      <c r="J124" s="1363"/>
      <c r="K124" s="741"/>
      <c r="L124" s="1365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700" customFormat="1" ht="33" hidden="1" customHeight="1">
      <c r="B125" s="1336">
        <v>99</v>
      </c>
      <c r="C125" s="736"/>
      <c r="D125" s="736"/>
      <c r="E125" s="1359"/>
      <c r="F125" s="1360"/>
      <c r="G125" s="1361"/>
      <c r="H125" s="1362"/>
      <c r="I125" s="734"/>
      <c r="J125" s="1363"/>
      <c r="K125" s="741"/>
      <c r="L125" s="136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700" customFormat="1" ht="33" hidden="1" customHeight="1">
      <c r="B126" s="1336">
        <v>100</v>
      </c>
      <c r="C126" s="736"/>
      <c r="D126" s="736"/>
      <c r="E126" s="1359"/>
      <c r="F126" s="1360"/>
      <c r="G126" s="1361"/>
      <c r="H126" s="1362"/>
      <c r="I126" s="734"/>
      <c r="J126" s="1363"/>
      <c r="K126" s="741"/>
      <c r="L126" s="1365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700" customFormat="1" ht="33" hidden="1" customHeight="1">
      <c r="B127" s="1336">
        <v>101</v>
      </c>
      <c r="C127" s="736"/>
      <c r="D127" s="736"/>
      <c r="E127" s="1359"/>
      <c r="F127" s="1360"/>
      <c r="G127" s="1361"/>
      <c r="H127" s="1362"/>
      <c r="I127" s="734"/>
      <c r="J127" s="1363"/>
      <c r="K127" s="741"/>
      <c r="L127" s="1365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700" customFormat="1" ht="33" hidden="1" customHeight="1">
      <c r="B128" s="1336">
        <v>102</v>
      </c>
      <c r="C128" s="736"/>
      <c r="D128" s="736"/>
      <c r="E128" s="1359"/>
      <c r="F128" s="1360"/>
      <c r="G128" s="1361"/>
      <c r="H128" s="1362"/>
      <c r="I128" s="734"/>
      <c r="J128" s="1363"/>
      <c r="K128" s="741"/>
      <c r="L128" s="1365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700" customFormat="1" ht="33" hidden="1" customHeight="1">
      <c r="B129" s="1336">
        <v>103</v>
      </c>
      <c r="C129" s="736"/>
      <c r="D129" s="736"/>
      <c r="E129" s="1359"/>
      <c r="F129" s="1360"/>
      <c r="G129" s="1361"/>
      <c r="H129" s="1362"/>
      <c r="I129" s="734"/>
      <c r="J129" s="1363"/>
      <c r="K129" s="741"/>
      <c r="L129" s="1365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700" customFormat="1" ht="33" hidden="1" customHeight="1">
      <c r="B130" s="1336">
        <v>104</v>
      </c>
      <c r="C130" s="736"/>
      <c r="D130" s="736"/>
      <c r="E130" s="1359"/>
      <c r="F130" s="1360"/>
      <c r="G130" s="1361"/>
      <c r="H130" s="1362"/>
      <c r="I130" s="734"/>
      <c r="J130" s="1363"/>
      <c r="K130" s="741"/>
      <c r="L130" s="1365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700" customFormat="1" ht="33" hidden="1" customHeight="1">
      <c r="B131" s="1336">
        <v>105</v>
      </c>
      <c r="C131" s="736"/>
      <c r="D131" s="736"/>
      <c r="E131" s="1359"/>
      <c r="F131" s="1360"/>
      <c r="G131" s="1361"/>
      <c r="H131" s="1362"/>
      <c r="I131" s="734"/>
      <c r="J131" s="1363"/>
      <c r="K131" s="741"/>
      <c r="L131" s="1365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700" customFormat="1" ht="33" hidden="1" customHeight="1">
      <c r="B132" s="1336">
        <v>106</v>
      </c>
      <c r="C132" s="736"/>
      <c r="D132" s="736"/>
      <c r="E132" s="1359"/>
      <c r="F132" s="1360"/>
      <c r="G132" s="1361"/>
      <c r="H132" s="1362"/>
      <c r="I132" s="734"/>
      <c r="J132" s="1363"/>
      <c r="K132" s="741"/>
      <c r="L132" s="1365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700" customFormat="1" ht="33" hidden="1" customHeight="1">
      <c r="B133" s="1336">
        <v>107</v>
      </c>
      <c r="C133" s="736"/>
      <c r="D133" s="736"/>
      <c r="E133" s="1359"/>
      <c r="F133" s="1360"/>
      <c r="G133" s="1361"/>
      <c r="H133" s="1362"/>
      <c r="I133" s="734"/>
      <c r="J133" s="1363"/>
      <c r="K133" s="741"/>
      <c r="L133" s="1365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700" customFormat="1" ht="33" hidden="1" customHeight="1">
      <c r="B134" s="1336">
        <v>108</v>
      </c>
      <c r="C134" s="736"/>
      <c r="D134" s="736"/>
      <c r="E134" s="1359"/>
      <c r="F134" s="1360"/>
      <c r="G134" s="1361"/>
      <c r="H134" s="1362"/>
      <c r="I134" s="734"/>
      <c r="J134" s="1363"/>
      <c r="K134" s="741"/>
      <c r="L134" s="1365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700" customFormat="1" ht="33" hidden="1" customHeight="1">
      <c r="B135" s="1336">
        <v>109</v>
      </c>
      <c r="C135" s="736"/>
      <c r="D135" s="736"/>
      <c r="E135" s="1359"/>
      <c r="F135" s="1360"/>
      <c r="G135" s="1361"/>
      <c r="H135" s="1362"/>
      <c r="I135" s="734"/>
      <c r="J135" s="1363"/>
      <c r="K135" s="741"/>
      <c r="L135" s="136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700" customFormat="1" ht="33" hidden="1" customHeight="1">
      <c r="B136" s="1336">
        <v>110</v>
      </c>
      <c r="C136" s="736"/>
      <c r="D136" s="736"/>
      <c r="E136" s="1359"/>
      <c r="F136" s="1360"/>
      <c r="G136" s="1361"/>
      <c r="H136" s="1362"/>
      <c r="I136" s="734"/>
      <c r="J136" s="1363"/>
      <c r="K136" s="741"/>
      <c r="L136" s="1365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700" customFormat="1" ht="33" hidden="1" customHeight="1">
      <c r="B137" s="1336">
        <v>111</v>
      </c>
      <c r="C137" s="736"/>
      <c r="D137" s="736"/>
      <c r="E137" s="1359"/>
      <c r="F137" s="1360"/>
      <c r="G137" s="1361"/>
      <c r="H137" s="1362"/>
      <c r="I137" s="734"/>
      <c r="J137" s="1363"/>
      <c r="K137" s="741"/>
      <c r="L137" s="1365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700" customFormat="1" ht="33" hidden="1" customHeight="1">
      <c r="B138" s="1336">
        <v>112</v>
      </c>
      <c r="C138" s="736"/>
      <c r="D138" s="736"/>
      <c r="E138" s="1359"/>
      <c r="F138" s="1360"/>
      <c r="G138" s="1361"/>
      <c r="H138" s="1362"/>
      <c r="I138" s="734"/>
      <c r="J138" s="1363"/>
      <c r="K138" s="741"/>
      <c r="L138" s="1365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700" customFormat="1" ht="33" hidden="1" customHeight="1">
      <c r="B139" s="1336">
        <v>113</v>
      </c>
      <c r="C139" s="736"/>
      <c r="D139" s="736"/>
      <c r="E139" s="1359"/>
      <c r="F139" s="1360"/>
      <c r="G139" s="1361"/>
      <c r="H139" s="1362"/>
      <c r="I139" s="734"/>
      <c r="J139" s="1363"/>
      <c r="K139" s="741"/>
      <c r="L139" s="1365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700" customFormat="1" ht="33" hidden="1" customHeight="1">
      <c r="B140" s="1336">
        <v>114</v>
      </c>
      <c r="C140" s="736"/>
      <c r="D140" s="736"/>
      <c r="E140" s="1359"/>
      <c r="F140" s="1360"/>
      <c r="G140" s="1361"/>
      <c r="H140" s="1362"/>
      <c r="I140" s="734"/>
      <c r="J140" s="1363"/>
      <c r="K140" s="741"/>
      <c r="L140" s="1365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700" customFormat="1" ht="33" hidden="1" customHeight="1">
      <c r="B141" s="1336">
        <v>115</v>
      </c>
      <c r="C141" s="736"/>
      <c r="D141" s="736"/>
      <c r="E141" s="1359"/>
      <c r="F141" s="1360"/>
      <c r="G141" s="1361"/>
      <c r="H141" s="1362"/>
      <c r="I141" s="734"/>
      <c r="J141" s="1363"/>
      <c r="K141" s="741"/>
      <c r="L141" s="1365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700" customFormat="1" ht="33" hidden="1" customHeight="1">
      <c r="B142" s="1336">
        <v>116</v>
      </c>
      <c r="C142" s="736"/>
      <c r="D142" s="736"/>
      <c r="E142" s="1359"/>
      <c r="F142" s="1360"/>
      <c r="G142" s="1361"/>
      <c r="H142" s="1362"/>
      <c r="I142" s="734"/>
      <c r="J142" s="1363"/>
      <c r="K142" s="741"/>
      <c r="L142" s="1365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700" customFormat="1" ht="33" hidden="1" customHeight="1">
      <c r="B143" s="1336">
        <v>117</v>
      </c>
      <c r="C143" s="736"/>
      <c r="D143" s="736"/>
      <c r="E143" s="1359"/>
      <c r="F143" s="1360"/>
      <c r="G143" s="1361"/>
      <c r="H143" s="1362"/>
      <c r="I143" s="734"/>
      <c r="J143" s="1363"/>
      <c r="K143" s="741"/>
      <c r="L143" s="1365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264" t="s">
        <v>1996</v>
      </c>
      <c r="D144" s="264"/>
      <c r="E144" s="682"/>
      <c r="F144" s="765"/>
      <c r="G144" s="1368">
        <v>4024</v>
      </c>
      <c r="H144" s="1356"/>
      <c r="I144" s="1356"/>
      <c r="J144" s="1356"/>
      <c r="K144" s="1357" t="s">
        <v>3553</v>
      </c>
      <c r="L144" s="1366">
        <v>744</v>
      </c>
      <c r="O144" s="762"/>
      <c r="P144" s="1353"/>
    </row>
    <row r="145" spans="2:29" ht="33.950000000000003" customHeight="1">
      <c r="C145" s="767"/>
      <c r="D145" s="767"/>
      <c r="E145" s="255"/>
      <c r="F145" s="702"/>
      <c r="G145" s="761"/>
      <c r="H145" s="1356"/>
      <c r="I145" s="1356"/>
      <c r="J145" s="1356"/>
      <c r="K145" s="1357" t="s">
        <v>3554</v>
      </c>
      <c r="L145" s="1367">
        <f>L144*G144</f>
        <v>2993856</v>
      </c>
      <c r="O145" s="762"/>
      <c r="P145" s="1353"/>
    </row>
    <row r="146" spans="2:29" ht="33.950000000000003" customHeight="1">
      <c r="C146" s="682"/>
      <c r="D146" s="682"/>
      <c r="E146" s="682"/>
      <c r="F146" s="682"/>
      <c r="G146" s="682"/>
      <c r="H146" s="682"/>
      <c r="I146" s="682"/>
      <c r="J146" s="1354"/>
      <c r="K146" s="1278"/>
      <c r="L146" s="1355"/>
    </row>
    <row r="147" spans="2:29" ht="30" customHeight="1">
      <c r="C147" s="763"/>
      <c r="D147" s="763"/>
      <c r="E147" s="763"/>
      <c r="F147" s="763"/>
      <c r="G147" s="763"/>
      <c r="H147" s="1831"/>
      <c r="I147" s="1831"/>
      <c r="J147" s="1831"/>
      <c r="K147" s="572"/>
    </row>
    <row r="148" spans="2:29">
      <c r="C148" s="763"/>
      <c r="D148" s="763"/>
      <c r="E148" s="763"/>
      <c r="F148" s="763"/>
      <c r="G148" s="763"/>
      <c r="J148" s="115"/>
      <c r="K148" s="115"/>
      <c r="L148" s="115"/>
    </row>
    <row r="149" spans="2:29" ht="25.5">
      <c r="C149" s="1279"/>
      <c r="D149" s="1279"/>
      <c r="E149" s="1280"/>
      <c r="F149" s="1280"/>
      <c r="G149" s="9"/>
      <c r="H149" s="72"/>
      <c r="K149" s="5"/>
    </row>
    <row r="150" spans="2:29">
      <c r="C150" s="1253"/>
      <c r="D150" s="1253"/>
      <c r="E150" s="718"/>
      <c r="F150" s="718"/>
      <c r="G150" s="133"/>
      <c r="K150" s="5"/>
    </row>
    <row r="151" spans="2:29">
      <c r="C151" s="1253"/>
      <c r="D151" s="1253"/>
      <c r="E151" s="718"/>
      <c r="F151" s="718"/>
      <c r="G151" s="133"/>
      <c r="K151" s="5"/>
    </row>
    <row r="152" spans="2:29">
      <c r="C152" s="1253"/>
      <c r="D152" s="1253"/>
      <c r="E152" s="754"/>
      <c r="F152" s="719"/>
      <c r="G152" s="133"/>
      <c r="K152" s="5"/>
    </row>
    <row r="153" spans="2:29">
      <c r="C153" s="157"/>
      <c r="D153" s="157"/>
      <c r="E153" s="151"/>
      <c r="F153" s="151"/>
      <c r="G153"/>
      <c r="K153" s="5"/>
    </row>
    <row r="154" spans="2:29">
      <c r="C154" s="5"/>
      <c r="D154" s="5"/>
      <c r="E154" s="1254"/>
      <c r="F154" s="1254"/>
      <c r="G154"/>
      <c r="K154" s="5"/>
    </row>
    <row r="155" spans="2:29" ht="33.75" customHeight="1">
      <c r="C155" s="1255"/>
      <c r="D155" s="1255"/>
      <c r="E155" s="1251"/>
      <c r="F155" s="1251"/>
      <c r="G155" s="1251"/>
      <c r="H155" s="1251"/>
      <c r="I155" s="1252"/>
      <c r="J155" s="1252"/>
      <c r="K155" s="1252"/>
      <c r="L155" s="1252"/>
    </row>
    <row r="156" spans="2:29" s="3" customFormat="1" ht="26.25" customHeight="1">
      <c r="B156" s="13"/>
      <c r="C156" s="1256"/>
      <c r="D156" s="1256"/>
      <c r="E156" s="1257"/>
      <c r="F156" s="1257"/>
      <c r="G156" s="1257"/>
      <c r="H156" s="1257"/>
      <c r="I156" s="1258"/>
      <c r="J156" s="1258"/>
      <c r="K156" s="1258"/>
      <c r="L156" s="1258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701"/>
    </row>
    <row r="158" spans="2:29" ht="15">
      <c r="E158"/>
      <c r="F158"/>
      <c r="G158"/>
    </row>
    <row r="159" spans="2:29">
      <c r="C159" s="1832"/>
      <c r="D159" s="1832"/>
      <c r="E159" s="1832"/>
      <c r="F159" s="1832"/>
      <c r="G159" s="1832"/>
      <c r="H159" s="1832"/>
      <c r="I159" s="5"/>
      <c r="J159" s="1832"/>
      <c r="K159" s="1832"/>
      <c r="L159" s="1832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90" zoomScaleNormal="90" workbookViewId="0">
      <pane ySplit="20" topLeftCell="A21" activePane="bottomLeft" state="frozen"/>
      <selection pane="bottomLeft" activeCell="P13" sqref="P13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830"/>
      <c r="D3" s="1830"/>
      <c r="E3" s="1830"/>
      <c r="F3" s="1830"/>
      <c r="G3" s="1830"/>
      <c r="H3" s="1830"/>
      <c r="I3" s="1830"/>
      <c r="J3" s="1830"/>
      <c r="K3" s="1830"/>
      <c r="L3" s="1830"/>
      <c r="M3" s="1830"/>
    </row>
    <row r="4" spans="1:14" ht="36.75">
      <c r="B4" s="690"/>
      <c r="C4" s="1285"/>
      <c r="D4" s="1262"/>
      <c r="E4" s="1271"/>
      <c r="F4" s="745"/>
      <c r="G4" s="745"/>
      <c r="H4" s="745"/>
      <c r="I4" s="745"/>
      <c r="J4" s="745"/>
      <c r="K4" s="745"/>
      <c r="L4" s="745"/>
      <c r="M4" s="745"/>
    </row>
    <row r="5" spans="1:14" ht="27.75" customHeight="1">
      <c r="A5" s="5"/>
      <c r="B5" s="691"/>
      <c r="C5" s="1284"/>
      <c r="D5" s="252"/>
      <c r="E5" s="1272"/>
      <c r="F5" s="692"/>
      <c r="G5" s="692"/>
      <c r="H5" s="692"/>
      <c r="I5" s="692"/>
      <c r="J5" s="692"/>
      <c r="K5" s="692"/>
      <c r="L5" s="692"/>
      <c r="M5" s="692"/>
      <c r="N5" s="5"/>
    </row>
    <row r="6" spans="1:14" hidden="1">
      <c r="A6" s="5"/>
      <c r="B6" s="1282"/>
      <c r="C6" s="1286"/>
      <c r="D6" s="1286"/>
      <c r="E6" s="1287"/>
      <c r="F6" s="692"/>
      <c r="G6" s="692"/>
      <c r="H6" s="692"/>
      <c r="I6" s="692"/>
      <c r="J6" s="692"/>
      <c r="K6" s="692"/>
      <c r="L6" s="692"/>
      <c r="M6" s="692"/>
      <c r="N6" s="5"/>
    </row>
    <row r="7" spans="1:14" hidden="1">
      <c r="A7" s="5"/>
      <c r="B7" s="1282"/>
      <c r="C7" s="1286"/>
      <c r="D7" s="1286"/>
      <c r="E7" s="1287"/>
      <c r="F7" s="692"/>
      <c r="G7" s="692"/>
      <c r="H7" s="692"/>
      <c r="I7" s="692"/>
      <c r="J7" s="692"/>
      <c r="K7" s="692"/>
      <c r="L7" s="692"/>
      <c r="M7" s="692"/>
      <c r="N7" s="5"/>
    </row>
    <row r="8" spans="1:14" ht="6.75" customHeight="1">
      <c r="B8" s="690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693"/>
      <c r="H9" s="45"/>
      <c r="M9" s="694"/>
    </row>
    <row r="10" spans="1:14" ht="24" customHeight="1">
      <c r="B10" s="693"/>
      <c r="E10"/>
      <c r="F10" s="1269"/>
      <c r="G10"/>
      <c r="H10" s="256" t="s">
        <v>3241</v>
      </c>
      <c r="I10" s="1269"/>
      <c r="J10" s="280" t="s">
        <v>102</v>
      </c>
      <c r="K10" s="1326" t="s">
        <v>3446</v>
      </c>
      <c r="L10" s="1312"/>
      <c r="M10" s="166"/>
    </row>
    <row r="11" spans="1:14" ht="24" customHeight="1">
      <c r="A11" s="52"/>
      <c r="B11" s="693"/>
      <c r="C11" s="686"/>
      <c r="D11" s="686"/>
      <c r="E11" s="686"/>
      <c r="F11" s="686"/>
      <c r="G11" s="52"/>
      <c r="H11" s="256" t="s">
        <v>3242</v>
      </c>
      <c r="I11" s="1269"/>
      <c r="J11" s="280" t="s">
        <v>102</v>
      </c>
      <c r="K11" s="1313"/>
      <c r="L11" s="1314"/>
      <c r="M11" s="52"/>
      <c r="N11" s="52"/>
    </row>
    <row r="12" spans="1:14" ht="24" customHeight="1">
      <c r="A12" s="52"/>
      <c r="B12" s="693"/>
      <c r="D12" s="1270"/>
      <c r="E12" s="1269"/>
      <c r="F12" s="1269"/>
      <c r="G12" s="445"/>
      <c r="H12" s="676" t="s">
        <v>3240</v>
      </c>
      <c r="I12" s="1269"/>
      <c r="J12" s="280" t="s">
        <v>102</v>
      </c>
      <c r="L12" s="1263"/>
      <c r="N12" s="150"/>
    </row>
    <row r="13" spans="1:14" ht="8.1" customHeight="1">
      <c r="A13" s="52"/>
      <c r="B13" s="693"/>
      <c r="G13" s="1268"/>
      <c r="H13" s="149"/>
      <c r="I13" s="149"/>
      <c r="J13" s="149"/>
      <c r="N13" s="150"/>
    </row>
    <row r="14" spans="1:14" ht="29.25" customHeight="1">
      <c r="A14" s="52"/>
      <c r="B14" s="693"/>
      <c r="D14" s="264" t="s">
        <v>3237</v>
      </c>
      <c r="E14" s="264"/>
      <c r="F14" s="66" t="s">
        <v>102</v>
      </c>
      <c r="G14" s="1308"/>
      <c r="H14" s="1309"/>
      <c r="I14" s="1309"/>
      <c r="J14" s="1309"/>
      <c r="K14" s="1310"/>
      <c r="L14" s="1310"/>
      <c r="N14" s="52"/>
    </row>
    <row r="15" spans="1:14" ht="24" customHeight="1">
      <c r="B15" s="5"/>
      <c r="D15" s="1268" t="s">
        <v>3238</v>
      </c>
      <c r="E15" s="1263"/>
      <c r="F15" s="280" t="s">
        <v>102</v>
      </c>
      <c r="G15" s="1311"/>
      <c r="H15" s="1311"/>
      <c r="I15" s="1311"/>
      <c r="J15" s="1311"/>
      <c r="K15" s="1311"/>
      <c r="L15" s="1311"/>
      <c r="M15" s="5"/>
      <c r="N15" s="5"/>
    </row>
    <row r="16" spans="1:14" ht="24" customHeight="1">
      <c r="B16" s="58">
        <v>-9</v>
      </c>
      <c r="D16" s="1268" t="s">
        <v>3239</v>
      </c>
      <c r="E16" s="1263"/>
      <c r="F16" s="280" t="s">
        <v>102</v>
      </c>
      <c r="G16" s="1311"/>
      <c r="H16" s="1311"/>
      <c r="I16" s="1311"/>
      <c r="J16" s="1311"/>
      <c r="K16" s="1311"/>
      <c r="L16" s="1311"/>
      <c r="M16" s="1266"/>
      <c r="N16" s="58"/>
    </row>
    <row r="17" spans="1:14" ht="27.95" customHeight="1">
      <c r="B17" s="58"/>
      <c r="C17" s="445"/>
      <c r="D17" s="401" t="s">
        <v>3243</v>
      </c>
      <c r="F17" s="280"/>
      <c r="H17" s="1291"/>
      <c r="I17" s="1292"/>
      <c r="J17" s="1292"/>
      <c r="K17" s="1293"/>
      <c r="L17" s="1293"/>
      <c r="M17" s="785"/>
      <c r="N17" s="58"/>
    </row>
    <row r="18" spans="1:14" ht="8.1" customHeight="1">
      <c r="A18" s="3"/>
      <c r="B18" s="726"/>
      <c r="C18" s="1264"/>
      <c r="D18" s="1264"/>
      <c r="E18" s="772"/>
      <c r="F18" s="781"/>
      <c r="G18" s="1265"/>
      <c r="H18" s="1267"/>
      <c r="I18" s="1267"/>
      <c r="J18" s="1267"/>
      <c r="K18" s="1267"/>
      <c r="L18" s="1267"/>
      <c r="M18" s="1267"/>
      <c r="N18" s="727"/>
    </row>
    <row r="19" spans="1:14" ht="25.5" customHeight="1">
      <c r="B19" s="58"/>
      <c r="C19" s="1298" t="s">
        <v>47</v>
      </c>
      <c r="D19" s="1299"/>
      <c r="E19" s="1298" t="s">
        <v>1965</v>
      </c>
      <c r="F19" s="1300"/>
      <c r="G19" s="1299"/>
      <c r="H19" s="1301" t="s">
        <v>152</v>
      </c>
      <c r="I19" s="1301" t="s">
        <v>151</v>
      </c>
      <c r="J19" s="1298" t="s">
        <v>106</v>
      </c>
      <c r="K19" s="1302"/>
      <c r="L19" s="1298" t="s">
        <v>99</v>
      </c>
      <c r="M19" s="1302"/>
      <c r="N19" s="58"/>
    </row>
    <row r="20" spans="1:14" ht="15.75" customHeight="1">
      <c r="B20" s="58"/>
      <c r="C20" s="1321" t="s">
        <v>9</v>
      </c>
      <c r="D20" s="1322"/>
      <c r="E20" s="1321" t="s">
        <v>1964</v>
      </c>
      <c r="F20" s="1323"/>
      <c r="G20" s="1322"/>
      <c r="H20" s="1324" t="s">
        <v>76</v>
      </c>
      <c r="I20" s="1324" t="s">
        <v>19</v>
      </c>
      <c r="J20" s="1321" t="s">
        <v>1978</v>
      </c>
      <c r="K20" s="1325"/>
      <c r="L20" s="1321" t="s">
        <v>1985</v>
      </c>
      <c r="M20" s="1325"/>
      <c r="N20" s="58"/>
    </row>
    <row r="21" spans="1:14" ht="27" customHeight="1">
      <c r="B21" s="5"/>
      <c r="C21" s="1839"/>
      <c r="D21" s="1840"/>
      <c r="E21" s="1843"/>
      <c r="F21" s="1844"/>
      <c r="G21" s="1845"/>
      <c r="H21" s="1303"/>
      <c r="I21" s="1304"/>
      <c r="J21" s="1837"/>
      <c r="K21" s="1838"/>
      <c r="L21" s="1842"/>
      <c r="M21" s="1838"/>
      <c r="N21" s="5"/>
    </row>
    <row r="22" spans="1:14" ht="27" customHeight="1">
      <c r="B22" s="5"/>
      <c r="C22" s="1839"/>
      <c r="D22" s="1840"/>
      <c r="E22" s="1315"/>
      <c r="F22" s="1316"/>
      <c r="G22" s="1317"/>
      <c r="H22" s="1303"/>
      <c r="I22" s="1304"/>
      <c r="J22" s="1307"/>
      <c r="K22" s="1306"/>
      <c r="L22" s="1305"/>
      <c r="M22" s="1306"/>
      <c r="N22" s="5"/>
    </row>
    <row r="23" spans="1:14" ht="27" customHeight="1">
      <c r="B23" s="5"/>
      <c r="C23" s="1839"/>
      <c r="D23" s="1840"/>
      <c r="E23" s="1315"/>
      <c r="F23" s="1316"/>
      <c r="G23" s="1317"/>
      <c r="H23" s="1303"/>
      <c r="I23" s="1304"/>
      <c r="J23" s="1307"/>
      <c r="K23" s="1306"/>
      <c r="L23" s="1305"/>
      <c r="M23" s="1306"/>
      <c r="N23" s="5"/>
    </row>
    <row r="24" spans="1:14" ht="27" customHeight="1">
      <c r="B24" s="5"/>
      <c r="C24" s="1839"/>
      <c r="D24" s="1840"/>
      <c r="E24" s="1315"/>
      <c r="F24" s="1316"/>
      <c r="G24" s="1317"/>
      <c r="H24" s="1303"/>
      <c r="I24" s="1304"/>
      <c r="J24" s="1307"/>
      <c r="K24" s="1306"/>
      <c r="L24" s="1305"/>
      <c r="M24" s="1306"/>
      <c r="N24" s="5"/>
    </row>
    <row r="25" spans="1:14" ht="27" customHeight="1">
      <c r="B25" s="5"/>
      <c r="C25" s="1839"/>
      <c r="D25" s="1840"/>
      <c r="E25" s="1315"/>
      <c r="F25" s="1316"/>
      <c r="G25" s="1317"/>
      <c r="H25" s="1303"/>
      <c r="I25" s="1304"/>
      <c r="J25" s="1307"/>
      <c r="K25" s="1306"/>
      <c r="L25" s="1305"/>
      <c r="M25" s="1306"/>
      <c r="N25" s="5"/>
    </row>
    <row r="26" spans="1:14" ht="27" customHeight="1">
      <c r="B26" s="5"/>
      <c r="C26" s="1839"/>
      <c r="D26" s="1840"/>
      <c r="E26" s="1315"/>
      <c r="F26" s="1316"/>
      <c r="G26" s="1317"/>
      <c r="H26" s="1303"/>
      <c r="I26" s="1304"/>
      <c r="J26" s="1307"/>
      <c r="K26" s="1306"/>
      <c r="L26" s="1305"/>
      <c r="M26" s="1306"/>
      <c r="N26" s="5"/>
    </row>
    <row r="27" spans="1:14" ht="27" customHeight="1">
      <c r="B27" s="5"/>
      <c r="C27" s="1839"/>
      <c r="D27" s="1840"/>
      <c r="E27" s="1315"/>
      <c r="F27" s="1316"/>
      <c r="G27" s="1317"/>
      <c r="H27" s="1303"/>
      <c r="I27" s="1304"/>
      <c r="J27" s="1307"/>
      <c r="K27" s="1306"/>
      <c r="L27" s="1305"/>
      <c r="M27" s="1306"/>
      <c r="N27" s="5"/>
    </row>
    <row r="28" spans="1:14" ht="27" customHeight="1">
      <c r="B28" s="5"/>
      <c r="C28" s="1839"/>
      <c r="D28" s="1840"/>
      <c r="E28" s="1315"/>
      <c r="F28" s="1316"/>
      <c r="G28" s="1317"/>
      <c r="H28" s="1303"/>
      <c r="I28" s="1304"/>
      <c r="J28" s="1307"/>
      <c r="K28" s="1306"/>
      <c r="L28" s="1305"/>
      <c r="M28" s="1306"/>
      <c r="N28" s="5"/>
    </row>
    <row r="29" spans="1:14" ht="27" customHeight="1">
      <c r="B29" s="5"/>
      <c r="C29" s="1839"/>
      <c r="D29" s="1840"/>
      <c r="E29" s="1315"/>
      <c r="F29" s="1316"/>
      <c r="G29" s="1317"/>
      <c r="H29" s="1303"/>
      <c r="I29" s="1304"/>
      <c r="J29" s="1307"/>
      <c r="K29" s="1306"/>
      <c r="L29" s="1305"/>
      <c r="M29" s="1306"/>
      <c r="N29" s="5"/>
    </row>
    <row r="30" spans="1:14" ht="27" customHeight="1">
      <c r="B30" s="5"/>
      <c r="C30" s="1839"/>
      <c r="D30" s="1840"/>
      <c r="E30" s="1315"/>
      <c r="F30" s="1316"/>
      <c r="G30" s="1317"/>
      <c r="H30" s="1303"/>
      <c r="I30" s="1304"/>
      <c r="J30" s="1307"/>
      <c r="K30" s="1306"/>
      <c r="L30" s="1305"/>
      <c r="M30" s="1306"/>
      <c r="N30" s="5"/>
    </row>
    <row r="31" spans="1:14" ht="27" customHeight="1">
      <c r="B31" s="5"/>
      <c r="C31" s="1839"/>
      <c r="D31" s="1840"/>
      <c r="E31" s="1315"/>
      <c r="F31" s="1316"/>
      <c r="G31" s="1317"/>
      <c r="H31" s="1303"/>
      <c r="I31" s="1304"/>
      <c r="J31" s="1307"/>
      <c r="K31" s="1306"/>
      <c r="L31" s="1305"/>
      <c r="M31" s="1306"/>
      <c r="N31" s="5"/>
    </row>
    <row r="32" spans="1:14" ht="27" customHeight="1">
      <c r="B32" s="5"/>
      <c r="C32" s="1839"/>
      <c r="D32" s="1840"/>
      <c r="E32" s="1315"/>
      <c r="F32" s="1316"/>
      <c r="G32" s="1317"/>
      <c r="H32" s="1303"/>
      <c r="I32" s="1304"/>
      <c r="J32" s="1307"/>
      <c r="K32" s="1306"/>
      <c r="L32" s="1305"/>
      <c r="M32" s="1306"/>
      <c r="N32" s="5"/>
    </row>
    <row r="33" spans="2:14" ht="27" customHeight="1">
      <c r="B33" s="5"/>
      <c r="C33" s="1839"/>
      <c r="D33" s="1840"/>
      <c r="E33" s="1315"/>
      <c r="F33" s="1316"/>
      <c r="G33" s="1317"/>
      <c r="H33" s="1303"/>
      <c r="I33" s="1304"/>
      <c r="J33" s="1307"/>
      <c r="K33" s="1306"/>
      <c r="L33" s="1305"/>
      <c r="M33" s="1306"/>
      <c r="N33" s="5"/>
    </row>
    <row r="34" spans="2:14" ht="27" customHeight="1">
      <c r="B34" s="5"/>
      <c r="C34" s="1839"/>
      <c r="D34" s="1840"/>
      <c r="E34" s="1315"/>
      <c r="F34" s="1316"/>
      <c r="G34" s="1317"/>
      <c r="H34" s="1303"/>
      <c r="I34" s="1304"/>
      <c r="J34" s="1307"/>
      <c r="K34" s="1306"/>
      <c r="L34" s="1305"/>
      <c r="M34" s="1306"/>
      <c r="N34" s="5"/>
    </row>
    <row r="35" spans="2:14" ht="27" hidden="1" customHeight="1">
      <c r="B35" s="5"/>
      <c r="C35" s="1839"/>
      <c r="D35" s="1840"/>
      <c r="E35" s="1315"/>
      <c r="F35" s="1316"/>
      <c r="G35" s="1317"/>
      <c r="H35" s="1303"/>
      <c r="I35" s="1304"/>
      <c r="J35" s="1307"/>
      <c r="K35" s="1306"/>
      <c r="L35" s="1305"/>
      <c r="M35" s="1306"/>
      <c r="N35" s="5"/>
    </row>
    <row r="36" spans="2:14" ht="27" hidden="1" customHeight="1">
      <c r="B36" s="5"/>
      <c r="C36" s="1839"/>
      <c r="D36" s="1840"/>
      <c r="E36" s="1315"/>
      <c r="F36" s="1316"/>
      <c r="G36" s="1317"/>
      <c r="H36" s="1303"/>
      <c r="I36" s="1304"/>
      <c r="J36" s="1307"/>
      <c r="K36" s="1306"/>
      <c r="L36" s="1305"/>
      <c r="M36" s="1306"/>
      <c r="N36" s="5"/>
    </row>
    <row r="37" spans="2:14" ht="27" hidden="1" customHeight="1">
      <c r="B37" s="5"/>
      <c r="C37" s="1839"/>
      <c r="D37" s="1840"/>
      <c r="E37" s="1315"/>
      <c r="F37" s="1316"/>
      <c r="G37" s="1317"/>
      <c r="H37" s="1303"/>
      <c r="I37" s="1304"/>
      <c r="J37" s="1307"/>
      <c r="K37" s="1306"/>
      <c r="L37" s="1305"/>
      <c r="M37" s="1306"/>
      <c r="N37" s="5"/>
    </row>
    <row r="38" spans="2:14" ht="27" hidden="1" customHeight="1">
      <c r="B38" s="5"/>
      <c r="C38" s="1839"/>
      <c r="D38" s="1840"/>
      <c r="E38" s="1315"/>
      <c r="F38" s="1316"/>
      <c r="G38" s="1317"/>
      <c r="H38" s="1303"/>
      <c r="I38" s="1304"/>
      <c r="J38" s="1307"/>
      <c r="K38" s="1306"/>
      <c r="L38" s="1305"/>
      <c r="M38" s="1306"/>
      <c r="N38" s="5"/>
    </row>
    <row r="39" spans="2:14" ht="27" hidden="1" customHeight="1">
      <c r="B39" s="5"/>
      <c r="C39" s="1839"/>
      <c r="D39" s="1840"/>
      <c r="E39" s="1315"/>
      <c r="F39" s="1316"/>
      <c r="G39" s="1317"/>
      <c r="H39" s="1303"/>
      <c r="I39" s="1304"/>
      <c r="J39" s="1307"/>
      <c r="K39" s="1306"/>
      <c r="L39" s="1305"/>
      <c r="M39" s="1306"/>
      <c r="N39" s="5"/>
    </row>
    <row r="40" spans="2:14" ht="27" hidden="1" customHeight="1">
      <c r="B40" s="5"/>
      <c r="C40" s="1839"/>
      <c r="D40" s="1840"/>
      <c r="E40" s="1315"/>
      <c r="F40" s="1316"/>
      <c r="G40" s="1317"/>
      <c r="H40" s="1303"/>
      <c r="I40" s="1304"/>
      <c r="J40" s="1307"/>
      <c r="K40" s="1306"/>
      <c r="L40" s="1305"/>
      <c r="M40" s="1306"/>
      <c r="N40" s="5"/>
    </row>
    <row r="41" spans="2:14" ht="27" hidden="1" customHeight="1">
      <c r="B41" s="5"/>
      <c r="C41" s="1839"/>
      <c r="D41" s="1840"/>
      <c r="E41" s="1315"/>
      <c r="F41" s="1316"/>
      <c r="G41" s="1317"/>
      <c r="H41" s="1303"/>
      <c r="I41" s="1304"/>
      <c r="J41" s="1307"/>
      <c r="K41" s="1306"/>
      <c r="L41" s="1305"/>
      <c r="M41" s="1306"/>
      <c r="N41" s="5"/>
    </row>
    <row r="42" spans="2:14" ht="27" hidden="1" customHeight="1">
      <c r="B42" s="5"/>
      <c r="C42" s="1839"/>
      <c r="D42" s="1840"/>
      <c r="E42" s="1315"/>
      <c r="F42" s="1316"/>
      <c r="G42" s="1317"/>
      <c r="H42" s="1303"/>
      <c r="I42" s="1304"/>
      <c r="J42" s="1307"/>
      <c r="K42" s="1306"/>
      <c r="L42" s="1305"/>
      <c r="M42" s="1306"/>
      <c r="N42" s="5"/>
    </row>
    <row r="43" spans="2:14" ht="27" hidden="1" customHeight="1">
      <c r="B43" s="5"/>
      <c r="C43" s="1839"/>
      <c r="D43" s="1840"/>
      <c r="E43" s="1315"/>
      <c r="F43" s="1316"/>
      <c r="G43" s="1317"/>
      <c r="H43" s="1303"/>
      <c r="I43" s="1304"/>
      <c r="J43" s="1307"/>
      <c r="K43" s="1306"/>
      <c r="L43" s="1305"/>
      <c r="M43" s="1306"/>
      <c r="N43" s="5"/>
    </row>
    <row r="44" spans="2:14" ht="27" hidden="1" customHeight="1">
      <c r="B44" s="5"/>
      <c r="C44" s="1839"/>
      <c r="D44" s="1840"/>
      <c r="E44" s="1315"/>
      <c r="F44" s="1316"/>
      <c r="G44" s="1317"/>
      <c r="H44" s="1303"/>
      <c r="I44" s="1304"/>
      <c r="J44" s="1307"/>
      <c r="K44" s="1306"/>
      <c r="L44" s="1305"/>
      <c r="M44" s="1306"/>
      <c r="N44" s="5"/>
    </row>
    <row r="45" spans="2:14" ht="27" hidden="1" customHeight="1">
      <c r="B45" s="5"/>
      <c r="C45" s="1839"/>
      <c r="D45" s="1840"/>
      <c r="E45" s="1315"/>
      <c r="F45" s="1316"/>
      <c r="G45" s="1317"/>
      <c r="H45" s="1303"/>
      <c r="I45" s="1304"/>
      <c r="J45" s="1307"/>
      <c r="K45" s="1306"/>
      <c r="L45" s="1305"/>
      <c r="M45" s="1306"/>
      <c r="N45" s="5"/>
    </row>
    <row r="46" spans="2:14" ht="27" hidden="1" customHeight="1">
      <c r="B46" s="5"/>
      <c r="C46" s="1839"/>
      <c r="D46" s="1840"/>
      <c r="E46" s="1315"/>
      <c r="F46" s="1316"/>
      <c r="G46" s="1317"/>
      <c r="H46" s="1303"/>
      <c r="I46" s="1304"/>
      <c r="J46" s="1307"/>
      <c r="K46" s="1306"/>
      <c r="L46" s="1305"/>
      <c r="M46" s="1306"/>
      <c r="N46" s="5"/>
    </row>
    <row r="47" spans="2:14" ht="27" hidden="1" customHeight="1">
      <c r="B47" s="5"/>
      <c r="C47" s="1839"/>
      <c r="D47" s="1840"/>
      <c r="E47" s="1315"/>
      <c r="F47" s="1316"/>
      <c r="G47" s="1317"/>
      <c r="H47" s="1303"/>
      <c r="I47" s="1304"/>
      <c r="J47" s="1307"/>
      <c r="K47" s="1306"/>
      <c r="L47" s="1305"/>
      <c r="M47" s="1306"/>
      <c r="N47" s="5"/>
    </row>
    <row r="48" spans="2:14" ht="27" hidden="1" customHeight="1">
      <c r="B48" s="5"/>
      <c r="C48" s="1839"/>
      <c r="D48" s="1840"/>
      <c r="E48" s="1315"/>
      <c r="F48" s="1316"/>
      <c r="G48" s="1317"/>
      <c r="H48" s="1303"/>
      <c r="I48" s="1304"/>
      <c r="J48" s="1307"/>
      <c r="K48" s="1306"/>
      <c r="L48" s="1305"/>
      <c r="M48" s="1306"/>
      <c r="N48" s="5"/>
    </row>
    <row r="49" spans="2:14" ht="27" hidden="1" customHeight="1">
      <c r="B49" s="5"/>
      <c r="C49" s="1839"/>
      <c r="D49" s="1840"/>
      <c r="E49" s="1315"/>
      <c r="F49" s="1316"/>
      <c r="G49" s="1317"/>
      <c r="H49" s="1303"/>
      <c r="I49" s="1304"/>
      <c r="J49" s="1307"/>
      <c r="K49" s="1306"/>
      <c r="L49" s="1305"/>
      <c r="M49" s="1306"/>
      <c r="N49" s="5"/>
    </row>
    <row r="50" spans="2:14" ht="27" hidden="1" customHeight="1">
      <c r="B50" s="5"/>
      <c r="C50" s="1839"/>
      <c r="D50" s="1840"/>
      <c r="E50" s="1315"/>
      <c r="F50" s="1316"/>
      <c r="G50" s="1317"/>
      <c r="H50" s="1303"/>
      <c r="I50" s="1304"/>
      <c r="J50" s="1307"/>
      <c r="K50" s="1306"/>
      <c r="L50" s="1305"/>
      <c r="M50" s="1306"/>
      <c r="N50" s="5"/>
    </row>
    <row r="51" spans="2:14" ht="27" hidden="1" customHeight="1">
      <c r="B51" s="5"/>
      <c r="C51" s="1839"/>
      <c r="D51" s="1840"/>
      <c r="E51" s="1315"/>
      <c r="F51" s="1316"/>
      <c r="G51" s="1317"/>
      <c r="H51" s="1303"/>
      <c r="I51" s="1304"/>
      <c r="J51" s="1307"/>
      <c r="K51" s="1306"/>
      <c r="L51" s="1305"/>
      <c r="M51" s="1306"/>
      <c r="N51" s="5"/>
    </row>
    <row r="52" spans="2:14" ht="27" hidden="1" customHeight="1">
      <c r="B52" s="5"/>
      <c r="C52" s="1839"/>
      <c r="D52" s="1840"/>
      <c r="E52" s="1315"/>
      <c r="F52" s="1316"/>
      <c r="G52" s="1317"/>
      <c r="H52" s="1303"/>
      <c r="I52" s="1304"/>
      <c r="J52" s="1307"/>
      <c r="K52" s="1306"/>
      <c r="L52" s="1305"/>
      <c r="M52" s="1306"/>
      <c r="N52" s="5"/>
    </row>
    <row r="53" spans="2:14" ht="27" hidden="1" customHeight="1">
      <c r="B53" s="5"/>
      <c r="C53" s="1839"/>
      <c r="D53" s="1840"/>
      <c r="E53" s="1315"/>
      <c r="F53" s="1316"/>
      <c r="G53" s="1317"/>
      <c r="H53" s="1303"/>
      <c r="I53" s="1304"/>
      <c r="J53" s="1307"/>
      <c r="K53" s="1306"/>
      <c r="L53" s="1305"/>
      <c r="M53" s="1306"/>
      <c r="N53" s="5"/>
    </row>
    <row r="54" spans="2:14" ht="27" hidden="1" customHeight="1">
      <c r="B54" s="5"/>
      <c r="C54" s="1839"/>
      <c r="D54" s="1840"/>
      <c r="E54" s="1315"/>
      <c r="F54" s="1316"/>
      <c r="G54" s="1317"/>
      <c r="H54" s="1303"/>
      <c r="I54" s="1304"/>
      <c r="J54" s="1307"/>
      <c r="K54" s="1306"/>
      <c r="L54" s="1305"/>
      <c r="M54" s="1306"/>
      <c r="N54" s="5"/>
    </row>
    <row r="55" spans="2:14" ht="27" hidden="1" customHeight="1">
      <c r="B55" s="5"/>
      <c r="C55" s="1839"/>
      <c r="D55" s="1840"/>
      <c r="E55" s="1315"/>
      <c r="F55" s="1316"/>
      <c r="G55" s="1317"/>
      <c r="H55" s="1303"/>
      <c r="I55" s="1304"/>
      <c r="J55" s="1307"/>
      <c r="K55" s="1306"/>
      <c r="L55" s="1305"/>
      <c r="M55" s="1306"/>
      <c r="N55" s="5"/>
    </row>
    <row r="56" spans="2:14" ht="27" hidden="1" customHeight="1">
      <c r="B56" s="5"/>
      <c r="C56" s="1839"/>
      <c r="D56" s="1840"/>
      <c r="E56" s="1315"/>
      <c r="F56" s="1316"/>
      <c r="G56" s="1317"/>
      <c r="H56" s="1303"/>
      <c r="I56" s="1304"/>
      <c r="J56" s="1307"/>
      <c r="K56" s="1306"/>
      <c r="L56" s="1305"/>
      <c r="M56" s="1306"/>
      <c r="N56" s="5"/>
    </row>
    <row r="57" spans="2:14" ht="27" hidden="1" customHeight="1">
      <c r="B57" s="5"/>
      <c r="C57" s="1839"/>
      <c r="D57" s="1840"/>
      <c r="E57" s="1315"/>
      <c r="F57" s="1316"/>
      <c r="G57" s="1317"/>
      <c r="H57" s="1303"/>
      <c r="I57" s="1304"/>
      <c r="J57" s="1307"/>
      <c r="K57" s="1306"/>
      <c r="L57" s="1305"/>
      <c r="M57" s="1306"/>
      <c r="N57" s="5"/>
    </row>
    <row r="58" spans="2:14" ht="27" hidden="1" customHeight="1">
      <c r="B58" s="5"/>
      <c r="C58" s="1839"/>
      <c r="D58" s="1840"/>
      <c r="E58" s="1315"/>
      <c r="F58" s="1316"/>
      <c r="G58" s="1317"/>
      <c r="H58" s="1303"/>
      <c r="I58" s="1304"/>
      <c r="J58" s="1307"/>
      <c r="K58" s="1306"/>
      <c r="L58" s="1305"/>
      <c r="M58" s="1306"/>
      <c r="N58" s="5"/>
    </row>
    <row r="59" spans="2:14" ht="27" hidden="1" customHeight="1">
      <c r="B59" s="5"/>
      <c r="C59" s="1839"/>
      <c r="D59" s="1840"/>
      <c r="E59" s="1315"/>
      <c r="F59" s="1316"/>
      <c r="G59" s="1317"/>
      <c r="H59" s="1303"/>
      <c r="I59" s="1304"/>
      <c r="J59" s="1307"/>
      <c r="K59" s="1306"/>
      <c r="L59" s="1305"/>
      <c r="M59" s="1306"/>
      <c r="N59" s="5"/>
    </row>
    <row r="60" spans="2:14" ht="27" hidden="1" customHeight="1">
      <c r="B60" s="5"/>
      <c r="C60" s="1839"/>
      <c r="D60" s="1840"/>
      <c r="E60" s="1315"/>
      <c r="F60" s="1316"/>
      <c r="G60" s="1317"/>
      <c r="H60" s="1303"/>
      <c r="I60" s="1304"/>
      <c r="J60" s="1307"/>
      <c r="K60" s="1306"/>
      <c r="L60" s="1305"/>
      <c r="M60" s="1306"/>
      <c r="N60" s="5"/>
    </row>
    <row r="61" spans="2:14" ht="27" hidden="1" customHeight="1">
      <c r="B61" s="5"/>
      <c r="C61" s="1839"/>
      <c r="D61" s="1840"/>
      <c r="E61" s="1315"/>
      <c r="F61" s="1316"/>
      <c r="G61" s="1317"/>
      <c r="H61" s="1303"/>
      <c r="I61" s="1304"/>
      <c r="J61" s="1307"/>
      <c r="K61" s="1306"/>
      <c r="L61" s="1305"/>
      <c r="M61" s="1306"/>
      <c r="N61" s="5"/>
    </row>
    <row r="62" spans="2:14" ht="27" hidden="1" customHeight="1">
      <c r="B62" s="5"/>
      <c r="C62" s="1839"/>
      <c r="D62" s="1840"/>
      <c r="E62" s="1315"/>
      <c r="F62" s="1316"/>
      <c r="G62" s="1317"/>
      <c r="H62" s="1303"/>
      <c r="I62" s="1304"/>
      <c r="J62" s="1307"/>
      <c r="K62" s="1306"/>
      <c r="L62" s="1305"/>
      <c r="M62" s="1306"/>
      <c r="N62" s="5"/>
    </row>
    <row r="63" spans="2:14" ht="27" hidden="1" customHeight="1">
      <c r="B63" s="5"/>
      <c r="C63" s="1839"/>
      <c r="D63" s="1840"/>
      <c r="E63" s="1315"/>
      <c r="F63" s="1316"/>
      <c r="G63" s="1317"/>
      <c r="H63" s="1303"/>
      <c r="I63" s="1304"/>
      <c r="J63" s="1307"/>
      <c r="K63" s="1306"/>
      <c r="L63" s="1305"/>
      <c r="M63" s="1306"/>
      <c r="N63" s="5"/>
    </row>
    <row r="64" spans="2:14" ht="27" hidden="1" customHeight="1">
      <c r="B64" s="5"/>
      <c r="C64" s="1839"/>
      <c r="D64" s="1840"/>
      <c r="E64" s="1315"/>
      <c r="F64" s="1316"/>
      <c r="G64" s="1317"/>
      <c r="H64" s="1303"/>
      <c r="I64" s="1304"/>
      <c r="J64" s="1307"/>
      <c r="K64" s="1306"/>
      <c r="L64" s="1305"/>
      <c r="M64" s="1306"/>
      <c r="N64" s="5"/>
    </row>
    <row r="65" spans="2:14" ht="27" hidden="1" customHeight="1">
      <c r="B65" s="5"/>
      <c r="C65" s="1839"/>
      <c r="D65" s="1840"/>
      <c r="E65" s="1315"/>
      <c r="F65" s="1316"/>
      <c r="G65" s="1317"/>
      <c r="H65" s="1303"/>
      <c r="I65" s="1304"/>
      <c r="J65" s="1307"/>
      <c r="K65" s="1306"/>
      <c r="L65" s="1305"/>
      <c r="M65" s="1306"/>
      <c r="N65" s="5"/>
    </row>
    <row r="66" spans="2:14" ht="27" hidden="1" customHeight="1">
      <c r="B66" s="5"/>
      <c r="C66" s="1839"/>
      <c r="D66" s="1840"/>
      <c r="E66" s="1315"/>
      <c r="F66" s="1316"/>
      <c r="G66" s="1317"/>
      <c r="H66" s="1303"/>
      <c r="I66" s="1304"/>
      <c r="J66" s="1307"/>
      <c r="K66" s="1306"/>
      <c r="L66" s="1305"/>
      <c r="M66" s="1306"/>
      <c r="N66" s="5"/>
    </row>
    <row r="67" spans="2:14" ht="27" hidden="1" customHeight="1">
      <c r="B67" s="5"/>
      <c r="C67" s="1839"/>
      <c r="D67" s="1840"/>
      <c r="E67" s="1315"/>
      <c r="F67" s="1316"/>
      <c r="G67" s="1317"/>
      <c r="H67" s="1303"/>
      <c r="I67" s="1304"/>
      <c r="J67" s="1307"/>
      <c r="K67" s="1306"/>
      <c r="L67" s="1305"/>
      <c r="M67" s="1306"/>
      <c r="N67" s="5"/>
    </row>
    <row r="68" spans="2:14" ht="27" hidden="1" customHeight="1">
      <c r="B68" s="5"/>
      <c r="C68" s="1839"/>
      <c r="D68" s="1840"/>
      <c r="E68" s="1315"/>
      <c r="F68" s="1316"/>
      <c r="G68" s="1317"/>
      <c r="H68" s="1303"/>
      <c r="I68" s="1304"/>
      <c r="J68" s="1307"/>
      <c r="K68" s="1306"/>
      <c r="L68" s="1305"/>
      <c r="M68" s="1306"/>
      <c r="N68" s="5"/>
    </row>
    <row r="69" spans="2:14" ht="27" hidden="1" customHeight="1">
      <c r="B69" s="5"/>
      <c r="C69" s="1839"/>
      <c r="D69" s="1840"/>
      <c r="E69" s="1315"/>
      <c r="F69" s="1316"/>
      <c r="G69" s="1317"/>
      <c r="H69" s="1303"/>
      <c r="I69" s="1304"/>
      <c r="J69" s="1307"/>
      <c r="K69" s="1306"/>
      <c r="L69" s="1305"/>
      <c r="M69" s="1306"/>
      <c r="N69" s="5"/>
    </row>
    <row r="70" spans="2:14" ht="27" hidden="1" customHeight="1">
      <c r="B70" s="5"/>
      <c r="C70" s="1839"/>
      <c r="D70" s="1840"/>
      <c r="E70" s="1315"/>
      <c r="F70" s="1316"/>
      <c r="G70" s="1317"/>
      <c r="H70" s="1303"/>
      <c r="I70" s="1304"/>
      <c r="J70" s="1307"/>
      <c r="K70" s="1306"/>
      <c r="L70" s="1305"/>
      <c r="M70" s="1306"/>
      <c r="N70" s="5"/>
    </row>
    <row r="71" spans="2:14" ht="27" hidden="1" customHeight="1">
      <c r="B71" s="5"/>
      <c r="C71" s="1839"/>
      <c r="D71" s="1840"/>
      <c r="E71" s="1315"/>
      <c r="F71" s="1316"/>
      <c r="G71" s="1317"/>
      <c r="H71" s="1303"/>
      <c r="I71" s="1304"/>
      <c r="J71" s="1307"/>
      <c r="K71" s="1306"/>
      <c r="L71" s="1305"/>
      <c r="M71" s="1306"/>
      <c r="N71" s="5"/>
    </row>
    <row r="72" spans="2:14" ht="27" hidden="1" customHeight="1">
      <c r="B72" s="5"/>
      <c r="C72" s="1839"/>
      <c r="D72" s="1840"/>
      <c r="E72" s="1315"/>
      <c r="F72" s="1316"/>
      <c r="G72" s="1317"/>
      <c r="H72" s="1303"/>
      <c r="I72" s="1304"/>
      <c r="J72" s="1307"/>
      <c r="K72" s="1306"/>
      <c r="L72" s="1305"/>
      <c r="M72" s="1306"/>
      <c r="N72" s="5"/>
    </row>
    <row r="73" spans="2:14" ht="27" hidden="1" customHeight="1">
      <c r="B73" s="5"/>
      <c r="C73" s="1839"/>
      <c r="D73" s="1840"/>
      <c r="E73" s="1315"/>
      <c r="F73" s="1316"/>
      <c r="G73" s="1317"/>
      <c r="H73" s="1303"/>
      <c r="I73" s="1304"/>
      <c r="J73" s="1307"/>
      <c r="K73" s="1306"/>
      <c r="L73" s="1305"/>
      <c r="M73" s="1306"/>
      <c r="N73" s="5"/>
    </row>
    <row r="74" spans="2:14" ht="27" hidden="1" customHeight="1">
      <c r="B74" s="5"/>
      <c r="C74" s="1839"/>
      <c r="D74" s="1840"/>
      <c r="E74" s="1315"/>
      <c r="F74" s="1316"/>
      <c r="G74" s="1317"/>
      <c r="H74" s="1303"/>
      <c r="I74" s="1304"/>
      <c r="J74" s="1307"/>
      <c r="K74" s="1306"/>
      <c r="L74" s="1305"/>
      <c r="M74" s="1306"/>
      <c r="N74" s="5"/>
    </row>
    <row r="75" spans="2:14" ht="27" hidden="1" customHeight="1">
      <c r="B75" s="5"/>
      <c r="C75" s="1839"/>
      <c r="D75" s="1840"/>
      <c r="E75" s="1315"/>
      <c r="F75" s="1316"/>
      <c r="G75" s="1317"/>
      <c r="H75" s="1303"/>
      <c r="I75" s="1304"/>
      <c r="J75" s="1307"/>
      <c r="K75" s="1306"/>
      <c r="L75" s="1305"/>
      <c r="M75" s="1306"/>
      <c r="N75" s="5"/>
    </row>
    <row r="76" spans="2:14" ht="27" hidden="1" customHeight="1">
      <c r="B76" s="5"/>
      <c r="C76" s="1839"/>
      <c r="D76" s="1840"/>
      <c r="E76" s="1315"/>
      <c r="F76" s="1316"/>
      <c r="G76" s="1317"/>
      <c r="H76" s="1303"/>
      <c r="I76" s="1304"/>
      <c r="J76" s="1307"/>
      <c r="K76" s="1306"/>
      <c r="L76" s="1305"/>
      <c r="M76" s="1306"/>
      <c r="N76" s="5"/>
    </row>
    <row r="77" spans="2:14" ht="27" hidden="1" customHeight="1">
      <c r="B77" s="5"/>
      <c r="C77" s="1839"/>
      <c r="D77" s="1840"/>
      <c r="E77" s="1315"/>
      <c r="F77" s="1316"/>
      <c r="G77" s="1317"/>
      <c r="H77" s="1303"/>
      <c r="I77" s="1304"/>
      <c r="J77" s="1307"/>
      <c r="K77" s="1306"/>
      <c r="L77" s="1305"/>
      <c r="M77" s="1306"/>
      <c r="N77" s="5"/>
    </row>
    <row r="78" spans="2:14" ht="27" hidden="1" customHeight="1">
      <c r="B78" s="5"/>
      <c r="C78" s="1839"/>
      <c r="D78" s="1840"/>
      <c r="E78" s="1315"/>
      <c r="F78" s="1316"/>
      <c r="G78" s="1317"/>
      <c r="H78" s="1303"/>
      <c r="I78" s="1304"/>
      <c r="J78" s="1307"/>
      <c r="K78" s="1306"/>
      <c r="L78" s="1305"/>
      <c r="M78" s="1306"/>
      <c r="N78" s="5"/>
    </row>
    <row r="79" spans="2:14" ht="27" hidden="1" customHeight="1">
      <c r="B79" s="5"/>
      <c r="C79" s="1839"/>
      <c r="D79" s="1840"/>
      <c r="E79" s="1315"/>
      <c r="F79" s="1316"/>
      <c r="G79" s="1317"/>
      <c r="H79" s="1303"/>
      <c r="I79" s="1304"/>
      <c r="J79" s="1307"/>
      <c r="K79" s="1306"/>
      <c r="L79" s="1305"/>
      <c r="M79" s="1306"/>
      <c r="N79" s="5"/>
    </row>
    <row r="80" spans="2:14" ht="27" hidden="1" customHeight="1">
      <c r="B80" s="5"/>
      <c r="C80" s="1839"/>
      <c r="D80" s="1840"/>
      <c r="E80" s="1315"/>
      <c r="F80" s="1316"/>
      <c r="G80" s="1317"/>
      <c r="H80" s="1303"/>
      <c r="I80" s="1304"/>
      <c r="J80" s="1307"/>
      <c r="K80" s="1306"/>
      <c r="L80" s="1305"/>
      <c r="M80" s="1306"/>
      <c r="N80" s="5"/>
    </row>
    <row r="81" spans="2:14" ht="27" hidden="1" customHeight="1">
      <c r="B81" s="5"/>
      <c r="C81" s="1839"/>
      <c r="D81" s="1840"/>
      <c r="E81" s="1315"/>
      <c r="F81" s="1316"/>
      <c r="G81" s="1317"/>
      <c r="H81" s="1303"/>
      <c r="I81" s="1304"/>
      <c r="J81" s="1307"/>
      <c r="K81" s="1306"/>
      <c r="L81" s="1305"/>
      <c r="M81" s="1306"/>
      <c r="N81" s="5"/>
    </row>
    <row r="82" spans="2:14" ht="27" hidden="1" customHeight="1">
      <c r="B82" s="5"/>
      <c r="C82" s="1839"/>
      <c r="D82" s="1840"/>
      <c r="E82" s="1315"/>
      <c r="F82" s="1316"/>
      <c r="G82" s="1317"/>
      <c r="H82" s="1303"/>
      <c r="I82" s="1304"/>
      <c r="J82" s="1307"/>
      <c r="K82" s="1306"/>
      <c r="L82" s="1305"/>
      <c r="M82" s="1306"/>
      <c r="N82" s="5"/>
    </row>
    <row r="83" spans="2:14" ht="27" hidden="1" customHeight="1">
      <c r="B83" s="5"/>
      <c r="C83" s="1839"/>
      <c r="D83" s="1840"/>
      <c r="E83" s="1315"/>
      <c r="F83" s="1316"/>
      <c r="G83" s="1317"/>
      <c r="H83" s="1303"/>
      <c r="I83" s="1304"/>
      <c r="J83" s="1307"/>
      <c r="K83" s="1306"/>
      <c r="L83" s="1305"/>
      <c r="M83" s="1306"/>
      <c r="N83" s="5"/>
    </row>
    <row r="84" spans="2:14" ht="27" hidden="1" customHeight="1">
      <c r="B84" s="5"/>
      <c r="C84" s="1839"/>
      <c r="D84" s="1840"/>
      <c r="E84" s="1315"/>
      <c r="F84" s="1316"/>
      <c r="G84" s="1317"/>
      <c r="H84" s="1303"/>
      <c r="I84" s="1304"/>
      <c r="J84" s="1307"/>
      <c r="K84" s="1306"/>
      <c r="L84" s="1305"/>
      <c r="M84" s="1306"/>
      <c r="N84" s="5"/>
    </row>
    <row r="85" spans="2:14" ht="27" hidden="1" customHeight="1">
      <c r="B85" s="5"/>
      <c r="C85" s="1839"/>
      <c r="D85" s="1840"/>
      <c r="E85" s="1315"/>
      <c r="F85" s="1316"/>
      <c r="G85" s="1317"/>
      <c r="H85" s="1303"/>
      <c r="I85" s="1304"/>
      <c r="J85" s="1307"/>
      <c r="K85" s="1306"/>
      <c r="L85" s="1305"/>
      <c r="M85" s="1306"/>
      <c r="N85" s="5"/>
    </row>
    <row r="86" spans="2:14" ht="27" hidden="1" customHeight="1">
      <c r="B86" s="5"/>
      <c r="C86" s="1839"/>
      <c r="D86" s="1840"/>
      <c r="E86" s="1315"/>
      <c r="F86" s="1316"/>
      <c r="G86" s="1317"/>
      <c r="H86" s="1303"/>
      <c r="I86" s="1304"/>
      <c r="J86" s="1307"/>
      <c r="K86" s="1306"/>
      <c r="L86" s="1305"/>
      <c r="M86" s="1306"/>
      <c r="N86" s="5"/>
    </row>
    <row r="87" spans="2:14" ht="27" hidden="1" customHeight="1">
      <c r="B87" s="5"/>
      <c r="C87" s="1839"/>
      <c r="D87" s="1840"/>
      <c r="E87" s="1315"/>
      <c r="F87" s="1316"/>
      <c r="G87" s="1317"/>
      <c r="H87" s="1303"/>
      <c r="I87" s="1304"/>
      <c r="J87" s="1307"/>
      <c r="K87" s="1306"/>
      <c r="L87" s="1305"/>
      <c r="M87" s="1306"/>
      <c r="N87" s="5"/>
    </row>
    <row r="88" spans="2:14" ht="27" hidden="1" customHeight="1">
      <c r="B88" s="5"/>
      <c r="C88" s="1839"/>
      <c r="D88" s="1840"/>
      <c r="E88" s="1315"/>
      <c r="F88" s="1316"/>
      <c r="G88" s="1317"/>
      <c r="H88" s="1303"/>
      <c r="I88" s="1304"/>
      <c r="J88" s="1307"/>
      <c r="K88" s="1306"/>
      <c r="L88" s="1305"/>
      <c r="M88" s="1306"/>
      <c r="N88" s="5"/>
    </row>
    <row r="89" spans="2:14" ht="27" hidden="1" customHeight="1">
      <c r="B89" s="5"/>
      <c r="C89" s="1839"/>
      <c r="D89" s="1840"/>
      <c r="E89" s="1315"/>
      <c r="F89" s="1316"/>
      <c r="G89" s="1317"/>
      <c r="H89" s="1303"/>
      <c r="I89" s="1304"/>
      <c r="J89" s="1307"/>
      <c r="K89" s="1306"/>
      <c r="L89" s="1305"/>
      <c r="M89" s="1306"/>
      <c r="N89" s="5"/>
    </row>
    <row r="90" spans="2:14" ht="27" hidden="1" customHeight="1">
      <c r="B90" s="5"/>
      <c r="C90" s="1839"/>
      <c r="D90" s="1840"/>
      <c r="E90" s="1315"/>
      <c r="F90" s="1316"/>
      <c r="G90" s="1317"/>
      <c r="H90" s="1303"/>
      <c r="I90" s="1304"/>
      <c r="J90" s="1307"/>
      <c r="K90" s="1306"/>
      <c r="L90" s="1305"/>
      <c r="M90" s="1306"/>
      <c r="N90" s="5"/>
    </row>
    <row r="91" spans="2:14" ht="27" hidden="1" customHeight="1">
      <c r="B91" s="5"/>
      <c r="C91" s="1839"/>
      <c r="D91" s="1840"/>
      <c r="E91" s="1315"/>
      <c r="F91" s="1316"/>
      <c r="G91" s="1317"/>
      <c r="H91" s="1303"/>
      <c r="I91" s="1304"/>
      <c r="J91" s="1307"/>
      <c r="K91" s="1306"/>
      <c r="L91" s="1305"/>
      <c r="M91" s="1306"/>
      <c r="N91" s="5"/>
    </row>
    <row r="92" spans="2:14" ht="27" hidden="1" customHeight="1">
      <c r="B92" s="5"/>
      <c r="C92" s="1839"/>
      <c r="D92" s="1840"/>
      <c r="E92" s="1315"/>
      <c r="F92" s="1316"/>
      <c r="G92" s="1317"/>
      <c r="H92" s="1303"/>
      <c r="I92" s="1304"/>
      <c r="J92" s="1307"/>
      <c r="K92" s="1306"/>
      <c r="L92" s="1305"/>
      <c r="M92" s="1306"/>
      <c r="N92" s="5"/>
    </row>
    <row r="93" spans="2:14" ht="27" hidden="1" customHeight="1">
      <c r="B93" s="5"/>
      <c r="C93" s="1839"/>
      <c r="D93" s="1840"/>
      <c r="E93" s="1315"/>
      <c r="F93" s="1316"/>
      <c r="G93" s="1317"/>
      <c r="H93" s="1303"/>
      <c r="I93" s="1304"/>
      <c r="J93" s="1307"/>
      <c r="K93" s="1306"/>
      <c r="L93" s="1305"/>
      <c r="M93" s="1306"/>
      <c r="N93" s="5"/>
    </row>
    <row r="94" spans="2:14" ht="27" hidden="1" customHeight="1">
      <c r="B94" s="5"/>
      <c r="C94" s="1839"/>
      <c r="D94" s="1840"/>
      <c r="E94" s="1315"/>
      <c r="F94" s="1316"/>
      <c r="G94" s="1317"/>
      <c r="H94" s="1303"/>
      <c r="I94" s="1304"/>
      <c r="J94" s="1307"/>
      <c r="K94" s="1306"/>
      <c r="L94" s="1305"/>
      <c r="M94" s="1306"/>
      <c r="N94" s="5"/>
    </row>
    <row r="95" spans="2:14" ht="27" hidden="1" customHeight="1">
      <c r="B95" s="5"/>
      <c r="C95" s="1839"/>
      <c r="D95" s="1840"/>
      <c r="E95" s="1315"/>
      <c r="F95" s="1316"/>
      <c r="G95" s="1317"/>
      <c r="H95" s="1303"/>
      <c r="I95" s="1304"/>
      <c r="J95" s="1307"/>
      <c r="K95" s="1306"/>
      <c r="L95" s="1305"/>
      <c r="M95" s="1306"/>
      <c r="N95" s="5"/>
    </row>
    <row r="96" spans="2:14" ht="27" hidden="1" customHeight="1">
      <c r="B96" s="5"/>
      <c r="C96" s="1839"/>
      <c r="D96" s="1840"/>
      <c r="E96" s="1843"/>
      <c r="F96" s="1844"/>
      <c r="G96" s="1845"/>
      <c r="H96" s="1303"/>
      <c r="I96" s="1304"/>
      <c r="J96" s="1837"/>
      <c r="K96" s="1838"/>
      <c r="L96" s="1842"/>
      <c r="M96" s="1838"/>
      <c r="N96" s="5"/>
    </row>
    <row r="97" spans="1:14" ht="27" hidden="1" customHeight="1">
      <c r="B97" s="5"/>
      <c r="C97" s="1839"/>
      <c r="D97" s="1840"/>
      <c r="E97" s="1843"/>
      <c r="F97" s="1844"/>
      <c r="G97" s="1845"/>
      <c r="H97" s="1303"/>
      <c r="I97" s="1304"/>
      <c r="J97" s="1837"/>
      <c r="K97" s="1838"/>
      <c r="L97" s="1842"/>
      <c r="M97" s="1838"/>
      <c r="N97" s="5"/>
    </row>
    <row r="98" spans="1:14" ht="27" hidden="1" customHeight="1">
      <c r="A98" s="4"/>
      <c r="B98" s="5"/>
      <c r="C98" s="1839"/>
      <c r="D98" s="1840"/>
      <c r="E98" s="1843"/>
      <c r="F98" s="1844"/>
      <c r="G98" s="1845"/>
      <c r="H98" s="1303"/>
      <c r="I98" s="1304"/>
      <c r="J98" s="1837"/>
      <c r="K98" s="1838"/>
      <c r="L98" s="1842"/>
      <c r="M98" s="1838"/>
      <c r="N98" s="4"/>
    </row>
    <row r="99" spans="1:14" ht="27" hidden="1" customHeight="1">
      <c r="A99" s="698"/>
      <c r="B99" s="5"/>
      <c r="C99" s="1839"/>
      <c r="D99" s="1840"/>
      <c r="E99" s="1843"/>
      <c r="F99" s="1844"/>
      <c r="G99" s="1845"/>
      <c r="H99" s="1303"/>
      <c r="I99" s="1304"/>
      <c r="J99" s="1837"/>
      <c r="K99" s="1838"/>
      <c r="L99" s="1842"/>
      <c r="M99" s="1838"/>
      <c r="N99" s="698"/>
    </row>
    <row r="100" spans="1:14" ht="27" hidden="1" customHeight="1">
      <c r="A100" s="700"/>
      <c r="B100" s="5"/>
      <c r="C100" s="1839"/>
      <c r="D100" s="1840"/>
      <c r="E100" s="1843"/>
      <c r="F100" s="1844"/>
      <c r="G100" s="1845"/>
      <c r="H100" s="1303"/>
      <c r="I100" s="1304"/>
      <c r="J100" s="1837"/>
      <c r="K100" s="1838"/>
      <c r="L100" s="1842"/>
      <c r="M100" s="1838"/>
      <c r="N100" s="700"/>
    </row>
    <row r="101" spans="1:14" ht="27" hidden="1" customHeight="1">
      <c r="A101" s="769"/>
      <c r="B101" s="5"/>
      <c r="C101" s="1839"/>
      <c r="D101" s="1840"/>
      <c r="E101" s="1843"/>
      <c r="F101" s="1844"/>
      <c r="G101" s="1845"/>
      <c r="H101" s="1303"/>
      <c r="I101" s="1304"/>
      <c r="J101" s="1837"/>
      <c r="K101" s="1838"/>
      <c r="L101" s="1842"/>
      <c r="M101" s="1838"/>
      <c r="N101" s="700"/>
    </row>
    <row r="102" spans="1:14" ht="27" hidden="1" customHeight="1">
      <c r="A102" s="769"/>
      <c r="B102" s="5"/>
      <c r="C102" s="1839"/>
      <c r="D102" s="1840"/>
      <c r="E102" s="1843"/>
      <c r="F102" s="1844"/>
      <c r="G102" s="1845"/>
      <c r="H102" s="1303"/>
      <c r="I102" s="1304"/>
      <c r="J102" s="1837"/>
      <c r="K102" s="1838"/>
      <c r="L102" s="1842"/>
      <c r="M102" s="1838"/>
      <c r="N102" s="700"/>
    </row>
    <row r="103" spans="1:14" ht="27" hidden="1" customHeight="1">
      <c r="A103" s="769"/>
      <c r="B103" s="5"/>
      <c r="C103" s="1839"/>
      <c r="D103" s="1840"/>
      <c r="E103" s="1843"/>
      <c r="F103" s="1844"/>
      <c r="G103" s="1845"/>
      <c r="H103" s="1303"/>
      <c r="I103" s="1304"/>
      <c r="J103" s="1837"/>
      <c r="K103" s="1838"/>
      <c r="L103" s="1842"/>
      <c r="M103" s="1838"/>
      <c r="N103" s="700"/>
    </row>
    <row r="104" spans="1:14" ht="27" hidden="1" customHeight="1">
      <c r="A104" s="769"/>
      <c r="B104" s="5"/>
      <c r="C104" s="1839"/>
      <c r="D104" s="1840"/>
      <c r="E104" s="1315"/>
      <c r="F104" s="1316"/>
      <c r="G104" s="1317"/>
      <c r="H104" s="1303"/>
      <c r="I104" s="1304"/>
      <c r="J104" s="1307"/>
      <c r="K104" s="1306"/>
      <c r="L104" s="1305"/>
      <c r="M104" s="1306"/>
      <c r="N104" s="700"/>
    </row>
    <row r="105" spans="1:14" ht="27" hidden="1" customHeight="1">
      <c r="A105" s="769"/>
      <c r="B105" s="5"/>
      <c r="C105" s="1839"/>
      <c r="D105" s="1840"/>
      <c r="E105" s="1315"/>
      <c r="F105" s="1316"/>
      <c r="G105" s="1317"/>
      <c r="H105" s="1303"/>
      <c r="I105" s="1304"/>
      <c r="J105" s="1307"/>
      <c r="K105" s="1306"/>
      <c r="L105" s="1305"/>
      <c r="M105" s="1306"/>
      <c r="N105" s="700"/>
    </row>
    <row r="106" spans="1:14" ht="27" hidden="1" customHeight="1">
      <c r="A106" s="769"/>
      <c r="B106" s="5"/>
      <c r="C106" s="1839"/>
      <c r="D106" s="1840"/>
      <c r="E106" s="1315"/>
      <c r="F106" s="1316"/>
      <c r="G106" s="1317"/>
      <c r="H106" s="1303"/>
      <c r="I106" s="1304"/>
      <c r="J106" s="1307"/>
      <c r="K106" s="1306"/>
      <c r="L106" s="1305"/>
      <c r="M106" s="1306"/>
      <c r="N106" s="700"/>
    </row>
    <row r="107" spans="1:14" ht="27" hidden="1" customHeight="1">
      <c r="A107" s="769"/>
      <c r="B107" s="5"/>
      <c r="C107" s="1839"/>
      <c r="D107" s="1840"/>
      <c r="E107" s="1315"/>
      <c r="F107" s="1316"/>
      <c r="G107" s="1317"/>
      <c r="H107" s="1303"/>
      <c r="I107" s="1304"/>
      <c r="J107" s="1307"/>
      <c r="K107" s="1306"/>
      <c r="L107" s="1305"/>
      <c r="M107" s="1306"/>
      <c r="N107" s="700"/>
    </row>
    <row r="108" spans="1:14" ht="27" hidden="1" customHeight="1">
      <c r="A108" s="769"/>
      <c r="B108" s="5"/>
      <c r="C108" s="1839"/>
      <c r="D108" s="1840"/>
      <c r="E108" s="1315"/>
      <c r="F108" s="1316"/>
      <c r="G108" s="1317"/>
      <c r="H108" s="1303"/>
      <c r="I108" s="1304"/>
      <c r="J108" s="1307"/>
      <c r="K108" s="1306"/>
      <c r="L108" s="1305"/>
      <c r="M108" s="1306"/>
      <c r="N108" s="700"/>
    </row>
    <row r="109" spans="1:14" ht="27" hidden="1" customHeight="1">
      <c r="A109" s="769"/>
      <c r="B109" s="5"/>
      <c r="C109" s="1839"/>
      <c r="D109" s="1840"/>
      <c r="E109" s="1315"/>
      <c r="F109" s="1316"/>
      <c r="G109" s="1317"/>
      <c r="H109" s="1303"/>
      <c r="I109" s="1304"/>
      <c r="J109" s="1307"/>
      <c r="K109" s="1306"/>
      <c r="L109" s="1305"/>
      <c r="M109" s="1306"/>
      <c r="N109" s="700"/>
    </row>
    <row r="110" spans="1:14" ht="27" hidden="1" customHeight="1">
      <c r="A110" s="769"/>
      <c r="B110" s="5"/>
      <c r="C110" s="1839"/>
      <c r="D110" s="1840"/>
      <c r="E110" s="1843"/>
      <c r="F110" s="1844"/>
      <c r="G110" s="1845"/>
      <c r="H110" s="1303"/>
      <c r="I110" s="1304"/>
      <c r="J110" s="1837"/>
      <c r="K110" s="1838"/>
      <c r="L110" s="1842"/>
      <c r="M110" s="1838"/>
      <c r="N110" s="700"/>
    </row>
    <row r="111" spans="1:14" ht="27" hidden="1" customHeight="1">
      <c r="A111" s="769"/>
      <c r="B111" s="5"/>
      <c r="C111" s="1839"/>
      <c r="D111" s="1840"/>
      <c r="E111" s="1843"/>
      <c r="F111" s="1844"/>
      <c r="G111" s="1845"/>
      <c r="H111" s="1303"/>
      <c r="I111" s="1304"/>
      <c r="J111" s="1837"/>
      <c r="K111" s="1838"/>
      <c r="L111" s="1842"/>
      <c r="M111" s="1838"/>
      <c r="N111" s="700"/>
    </row>
    <row r="112" spans="1:14" ht="27" hidden="1" customHeight="1">
      <c r="A112" s="769"/>
      <c r="B112" s="5"/>
      <c r="C112" s="1839"/>
      <c r="D112" s="1840"/>
      <c r="E112" s="1315"/>
      <c r="F112" s="1316"/>
      <c r="G112" s="1317"/>
      <c r="H112" s="1303"/>
      <c r="I112" s="1304"/>
      <c r="J112" s="1307"/>
      <c r="K112" s="1306"/>
      <c r="L112" s="1305"/>
      <c r="M112" s="1306"/>
      <c r="N112" s="700"/>
    </row>
    <row r="113" spans="1:14" ht="27" hidden="1" customHeight="1">
      <c r="A113" s="769"/>
      <c r="B113" s="5"/>
      <c r="C113" s="1839"/>
      <c r="D113" s="1840"/>
      <c r="E113" s="1315"/>
      <c r="F113" s="1316"/>
      <c r="G113" s="1317"/>
      <c r="H113" s="1303"/>
      <c r="I113" s="1304"/>
      <c r="J113" s="1307"/>
      <c r="K113" s="1306"/>
      <c r="L113" s="1305"/>
      <c r="M113" s="1306"/>
      <c r="N113" s="700"/>
    </row>
    <row r="114" spans="1:14" ht="27" hidden="1" customHeight="1">
      <c r="A114" s="769"/>
      <c r="B114" s="5"/>
      <c r="C114" s="1839"/>
      <c r="D114" s="1840"/>
      <c r="E114" s="1843"/>
      <c r="F114" s="1844"/>
      <c r="G114" s="1845"/>
      <c r="H114" s="1303"/>
      <c r="I114" s="1304"/>
      <c r="J114" s="1837"/>
      <c r="K114" s="1838"/>
      <c r="L114" s="1842"/>
      <c r="M114" s="1838"/>
      <c r="N114" s="700"/>
    </row>
    <row r="115" spans="1:14" ht="27" hidden="1" customHeight="1">
      <c r="A115" s="769"/>
      <c r="B115" s="5"/>
      <c r="C115" s="1839"/>
      <c r="D115" s="1840"/>
      <c r="E115" s="1843"/>
      <c r="F115" s="1844"/>
      <c r="G115" s="1845"/>
      <c r="H115" s="1303"/>
      <c r="I115" s="1304"/>
      <c r="J115" s="1837"/>
      <c r="K115" s="1838"/>
      <c r="L115" s="1842"/>
      <c r="M115" s="1838"/>
      <c r="N115" s="700"/>
    </row>
    <row r="116" spans="1:14" ht="27" hidden="1" customHeight="1">
      <c r="A116" s="769"/>
      <c r="B116" s="5"/>
      <c r="C116" s="1839"/>
      <c r="D116" s="1840"/>
      <c r="E116" s="1843"/>
      <c r="F116" s="1844"/>
      <c r="G116" s="1845"/>
      <c r="H116" s="1303"/>
      <c r="I116" s="1304"/>
      <c r="J116" s="1837"/>
      <c r="K116" s="1838"/>
      <c r="L116" s="1842"/>
      <c r="M116" s="1838"/>
      <c r="N116" s="700"/>
    </row>
    <row r="117" spans="1:14" ht="27.95" customHeight="1">
      <c r="A117" s="769"/>
      <c r="B117" s="700"/>
      <c r="C117" s="1289" t="s">
        <v>3236</v>
      </c>
      <c r="E117" s="1283"/>
      <c r="F117"/>
      <c r="G117" s="1288"/>
      <c r="H117" s="1327" t="s">
        <v>780</v>
      </c>
      <c r="I117" s="1294"/>
      <c r="J117" s="1294"/>
      <c r="K117" s="1319" t="s">
        <v>3447</v>
      </c>
      <c r="L117" s="1835"/>
      <c r="M117" s="1836"/>
      <c r="N117" s="700"/>
    </row>
    <row r="118" spans="1:14" ht="27.95" customHeight="1">
      <c r="A118" s="769"/>
      <c r="B118" s="700"/>
      <c r="C118" s="1320" t="s">
        <v>3245</v>
      </c>
      <c r="D118" s="1273"/>
      <c r="E118" s="1274"/>
      <c r="F118" s="1274"/>
      <c r="G118" s="1274"/>
      <c r="H118" s="1274"/>
      <c r="I118" s="1295"/>
      <c r="J118" s="1295"/>
      <c r="K118" s="366" t="s">
        <v>3448</v>
      </c>
      <c r="L118" s="1835"/>
      <c r="M118" s="1836"/>
      <c r="N118" s="700"/>
    </row>
    <row r="119" spans="1:14" ht="27.95" customHeight="1">
      <c r="A119" s="769"/>
      <c r="B119" s="700"/>
      <c r="C119" s="1273"/>
      <c r="D119" s="1273"/>
      <c r="E119" s="1274"/>
      <c r="F119" s="1274"/>
      <c r="G119" s="1274"/>
      <c r="I119" s="1268"/>
      <c r="J119" s="1268"/>
      <c r="K119" s="366" t="s">
        <v>3449</v>
      </c>
      <c r="L119" s="1835"/>
      <c r="M119" s="1836"/>
      <c r="N119" s="700"/>
    </row>
    <row r="120" spans="1:14" ht="30" customHeight="1">
      <c r="A120" s="769"/>
      <c r="B120" s="700"/>
      <c r="C120" s="1273"/>
      <c r="D120" s="1273"/>
      <c r="E120" s="1274"/>
      <c r="F120" s="1274"/>
      <c r="G120" s="1274"/>
      <c r="I120" s="1268"/>
      <c r="J120" s="1268"/>
      <c r="K120" s="366" t="s">
        <v>3450</v>
      </c>
      <c r="L120" s="1835"/>
      <c r="M120" s="1836"/>
      <c r="N120" s="700"/>
    </row>
    <row r="121" spans="1:14" ht="30" hidden="1" customHeight="1">
      <c r="A121" s="769"/>
      <c r="B121" s="700"/>
      <c r="C121" s="1273"/>
      <c r="D121" s="1273"/>
      <c r="E121" s="1274"/>
      <c r="F121" s="1274"/>
      <c r="G121" s="1274"/>
      <c r="H121" s="1275"/>
      <c r="I121" s="1268"/>
      <c r="J121" s="1268"/>
      <c r="K121" s="366" t="s">
        <v>3450</v>
      </c>
      <c r="L121" s="1276"/>
      <c r="M121" s="1276"/>
      <c r="N121" s="700"/>
    </row>
    <row r="122" spans="1:14" ht="30" hidden="1" customHeight="1">
      <c r="A122" s="769"/>
      <c r="B122" s="700"/>
      <c r="C122" s="1273"/>
      <c r="D122" s="1273"/>
      <c r="E122" s="1274"/>
      <c r="F122" s="1274"/>
      <c r="G122" s="1274"/>
      <c r="H122" s="1275"/>
      <c r="I122" s="1268"/>
      <c r="J122" s="1268"/>
      <c r="K122" s="366" t="s">
        <v>3450</v>
      </c>
      <c r="L122" s="1276"/>
      <c r="M122" s="1276"/>
      <c r="N122" s="700"/>
    </row>
    <row r="123" spans="1:14" ht="30" hidden="1" customHeight="1">
      <c r="A123" s="769"/>
      <c r="B123" s="700"/>
      <c r="C123" s="1273"/>
      <c r="D123" s="1273"/>
      <c r="E123" s="1274"/>
      <c r="F123" s="1274"/>
      <c r="G123" s="1274"/>
      <c r="H123" s="1275"/>
      <c r="I123" s="1268"/>
      <c r="J123" s="1268"/>
      <c r="K123" s="366" t="s">
        <v>3450</v>
      </c>
      <c r="L123" s="1276"/>
      <c r="M123" s="1276"/>
      <c r="N123" s="700"/>
    </row>
    <row r="124" spans="1:14" ht="30" hidden="1" customHeight="1">
      <c r="A124" s="769"/>
      <c r="B124" s="700"/>
      <c r="C124" s="1273"/>
      <c r="D124" s="1273"/>
      <c r="E124" s="1274"/>
      <c r="F124" s="1274"/>
      <c r="G124" s="1274"/>
      <c r="H124" s="1275"/>
      <c r="I124" s="1268"/>
      <c r="J124" s="1268"/>
      <c r="K124" s="366" t="s">
        <v>3450</v>
      </c>
      <c r="L124" s="1276"/>
      <c r="M124" s="1276"/>
      <c r="N124" s="700"/>
    </row>
    <row r="125" spans="1:14" ht="30" hidden="1" customHeight="1">
      <c r="A125" s="769"/>
      <c r="B125" s="700"/>
      <c r="C125" s="1273"/>
      <c r="D125" s="1273"/>
      <c r="E125" s="1274"/>
      <c r="F125" s="1274"/>
      <c r="G125" s="1274"/>
      <c r="H125" s="1275"/>
      <c r="I125" s="1268"/>
      <c r="J125" s="1268"/>
      <c r="K125" s="366" t="s">
        <v>3450</v>
      </c>
      <c r="L125" s="1276"/>
      <c r="M125" s="1276"/>
      <c r="N125" s="700"/>
    </row>
    <row r="126" spans="1:14" ht="30" hidden="1" customHeight="1">
      <c r="A126" s="769"/>
      <c r="B126" s="700"/>
      <c r="C126" s="1273"/>
      <c r="D126" s="1273"/>
      <c r="E126" s="1274"/>
      <c r="F126" s="1274"/>
      <c r="G126" s="1274"/>
      <c r="H126" s="1275"/>
      <c r="I126" s="1268"/>
      <c r="J126" s="1268"/>
      <c r="K126" s="366" t="s">
        <v>3450</v>
      </c>
      <c r="L126" s="1276"/>
      <c r="M126" s="1276"/>
      <c r="N126" s="700"/>
    </row>
    <row r="127" spans="1:14" ht="30" hidden="1" customHeight="1">
      <c r="A127" s="769"/>
      <c r="B127" s="700"/>
      <c r="C127" s="1273"/>
      <c r="D127" s="1273"/>
      <c r="E127" s="1274"/>
      <c r="F127" s="1274"/>
      <c r="G127" s="1274"/>
      <c r="H127" s="1275"/>
      <c r="I127" s="1268"/>
      <c r="J127" s="1268"/>
      <c r="K127" s="366" t="s">
        <v>3450</v>
      </c>
      <c r="L127" s="1276"/>
      <c r="M127" s="1276"/>
      <c r="N127" s="700"/>
    </row>
    <row r="128" spans="1:14" ht="30" hidden="1" customHeight="1">
      <c r="A128" s="769"/>
      <c r="B128" s="700"/>
      <c r="C128" s="1273"/>
      <c r="D128" s="1273"/>
      <c r="E128" s="1274"/>
      <c r="F128" s="1274"/>
      <c r="G128" s="1274"/>
      <c r="H128" s="1275"/>
      <c r="I128" s="1268"/>
      <c r="J128" s="1268"/>
      <c r="K128" s="366" t="s">
        <v>3450</v>
      </c>
      <c r="L128" s="1276"/>
      <c r="M128" s="1276"/>
      <c r="N128" s="700"/>
    </row>
    <row r="129" spans="1:14" ht="30" hidden="1" customHeight="1">
      <c r="A129" s="769"/>
      <c r="B129" s="700"/>
      <c r="C129" s="1273"/>
      <c r="D129" s="1273"/>
      <c r="E129" s="1274"/>
      <c r="F129" s="1274"/>
      <c r="G129" s="1274"/>
      <c r="H129" s="1275"/>
      <c r="I129" s="1268"/>
      <c r="J129" s="1268"/>
      <c r="K129" s="366" t="s">
        <v>3450</v>
      </c>
      <c r="L129" s="1276"/>
      <c r="M129" s="1276"/>
      <c r="N129" s="700"/>
    </row>
    <row r="130" spans="1:14" ht="30" hidden="1" customHeight="1">
      <c r="A130" s="769"/>
      <c r="B130" s="700"/>
      <c r="C130" s="1273"/>
      <c r="D130" s="1273"/>
      <c r="E130" s="1274"/>
      <c r="F130" s="1274"/>
      <c r="G130" s="1274"/>
      <c r="H130" s="1275"/>
      <c r="I130" s="1268"/>
      <c r="J130" s="1268"/>
      <c r="K130" s="366" t="s">
        <v>3450</v>
      </c>
      <c r="L130" s="1276"/>
      <c r="M130" s="1276"/>
      <c r="N130" s="700"/>
    </row>
    <row r="131" spans="1:14" ht="30" hidden="1" customHeight="1">
      <c r="A131" s="769"/>
      <c r="B131" s="700"/>
      <c r="C131" s="1273"/>
      <c r="D131" s="1273"/>
      <c r="E131" s="1274"/>
      <c r="F131" s="1274"/>
      <c r="G131" s="1274"/>
      <c r="H131" s="1275"/>
      <c r="I131" s="1268"/>
      <c r="J131" s="1268"/>
      <c r="K131" s="366" t="s">
        <v>3450</v>
      </c>
      <c r="L131" s="1276"/>
      <c r="M131" s="1276"/>
      <c r="N131" s="700"/>
    </row>
    <row r="132" spans="1:14" ht="30" hidden="1" customHeight="1">
      <c r="A132" s="769"/>
      <c r="B132" s="700"/>
      <c r="C132" s="1273"/>
      <c r="D132" s="1273"/>
      <c r="E132" s="1274"/>
      <c r="F132" s="1274"/>
      <c r="G132" s="1274"/>
      <c r="H132" s="1275"/>
      <c r="I132" s="1268"/>
      <c r="J132" s="1268"/>
      <c r="K132" s="366" t="s">
        <v>3450</v>
      </c>
      <c r="L132" s="1276"/>
      <c r="M132" s="1276"/>
      <c r="N132" s="700"/>
    </row>
    <row r="133" spans="1:14" ht="30" hidden="1" customHeight="1">
      <c r="A133" s="769"/>
      <c r="B133" s="700"/>
      <c r="C133" s="1273"/>
      <c r="D133" s="1273"/>
      <c r="E133" s="1274"/>
      <c r="F133" s="1274"/>
      <c r="G133" s="1274"/>
      <c r="H133" s="1275"/>
      <c r="I133" s="1268"/>
      <c r="J133" s="1268"/>
      <c r="K133" s="366" t="s">
        <v>3450</v>
      </c>
      <c r="L133" s="1276"/>
      <c r="M133" s="1276"/>
      <c r="N133" s="700"/>
    </row>
    <row r="134" spans="1:14" ht="30" hidden="1" customHeight="1">
      <c r="A134" s="769"/>
      <c r="B134" s="700"/>
      <c r="C134" s="1273"/>
      <c r="D134" s="1273"/>
      <c r="E134" s="1274"/>
      <c r="F134" s="1274"/>
      <c r="G134" s="1274"/>
      <c r="H134" s="1275"/>
      <c r="I134" s="1268"/>
      <c r="J134" s="1268"/>
      <c r="K134" s="366" t="s">
        <v>3450</v>
      </c>
      <c r="L134" s="1276"/>
      <c r="M134" s="1276"/>
      <c r="N134" s="700"/>
    </row>
    <row r="135" spans="1:14" ht="30" hidden="1" customHeight="1">
      <c r="A135" s="769"/>
      <c r="B135" s="700"/>
      <c r="C135" s="1273"/>
      <c r="D135" s="1273"/>
      <c r="E135" s="1274"/>
      <c r="F135" s="1274"/>
      <c r="G135" s="1274"/>
      <c r="H135" s="1275"/>
      <c r="I135" s="1268"/>
      <c r="J135" s="1268"/>
      <c r="K135" s="366" t="s">
        <v>3450</v>
      </c>
      <c r="L135" s="1276"/>
      <c r="M135" s="1276"/>
      <c r="N135" s="700"/>
    </row>
    <row r="136" spans="1:14" ht="30" hidden="1" customHeight="1">
      <c r="A136" s="769"/>
      <c r="B136" s="700"/>
      <c r="C136" s="1273"/>
      <c r="D136" s="1273"/>
      <c r="E136" s="1274"/>
      <c r="F136" s="1274"/>
      <c r="G136" s="1274"/>
      <c r="H136" s="1275"/>
      <c r="I136" s="1268"/>
      <c r="J136" s="1268"/>
      <c r="K136" s="366" t="s">
        <v>3450</v>
      </c>
      <c r="L136" s="1276"/>
      <c r="M136" s="1276"/>
      <c r="N136" s="700"/>
    </row>
    <row r="137" spans="1:14" ht="30" hidden="1" customHeight="1">
      <c r="A137" s="700"/>
      <c r="B137" s="700"/>
      <c r="C137" s="1273"/>
      <c r="D137" s="1273"/>
      <c r="E137" s="1274"/>
      <c r="F137" s="1274"/>
      <c r="G137" s="1274"/>
      <c r="H137" s="1275"/>
      <c r="I137" s="1268"/>
      <c r="J137" s="1268"/>
      <c r="K137" s="366" t="s">
        <v>3450</v>
      </c>
      <c r="L137" s="1276"/>
      <c r="M137" s="1276"/>
      <c r="N137" s="700"/>
    </row>
    <row r="138" spans="1:14" ht="30" hidden="1" customHeight="1">
      <c r="A138" s="700"/>
      <c r="B138" s="700"/>
      <c r="C138" s="1273"/>
      <c r="D138" s="1273"/>
      <c r="E138" s="1274"/>
      <c r="F138" s="1274"/>
      <c r="G138" s="1274"/>
      <c r="H138" s="1275"/>
      <c r="I138" s="1268"/>
      <c r="J138" s="1268"/>
      <c r="K138" s="366" t="s">
        <v>3450</v>
      </c>
      <c r="L138" s="1276"/>
      <c r="M138" s="1276"/>
      <c r="N138" s="700"/>
    </row>
    <row r="139" spans="1:14" ht="30" hidden="1" customHeight="1">
      <c r="A139" s="700"/>
      <c r="B139" s="700"/>
      <c r="C139" s="1273"/>
      <c r="D139" s="1273"/>
      <c r="E139" s="1274"/>
      <c r="F139" s="1274"/>
      <c r="G139" s="1274"/>
      <c r="H139" s="1275"/>
      <c r="I139" s="1268"/>
      <c r="J139" s="1268"/>
      <c r="K139" s="366" t="s">
        <v>3450</v>
      </c>
      <c r="L139" s="1276"/>
      <c r="M139" s="1276"/>
      <c r="N139" s="700"/>
    </row>
    <row r="140" spans="1:14" ht="30" hidden="1" customHeight="1">
      <c r="A140" s="700"/>
      <c r="B140" s="700"/>
      <c r="C140" s="1273"/>
      <c r="D140" s="1273"/>
      <c r="E140" s="1274"/>
      <c r="F140" s="1274"/>
      <c r="G140" s="1274"/>
      <c r="H140" s="1275"/>
      <c r="I140" s="1268"/>
      <c r="J140" s="1268"/>
      <c r="K140" s="366" t="s">
        <v>3450</v>
      </c>
      <c r="L140" s="1276"/>
      <c r="M140" s="1276"/>
      <c r="N140" s="700"/>
    </row>
    <row r="141" spans="1:14" ht="30" hidden="1" customHeight="1">
      <c r="A141" s="700"/>
      <c r="B141" s="700"/>
      <c r="C141" s="1273"/>
      <c r="D141" s="1273"/>
      <c r="E141" s="1274"/>
      <c r="F141" s="1274"/>
      <c r="G141" s="1274"/>
      <c r="H141" s="1275"/>
      <c r="I141" s="1268"/>
      <c r="J141" s="1268"/>
      <c r="K141" s="366" t="s">
        <v>3450</v>
      </c>
      <c r="L141" s="1276"/>
      <c r="M141" s="1276"/>
      <c r="N141" s="700"/>
    </row>
    <row r="142" spans="1:14" ht="30" hidden="1" customHeight="1">
      <c r="A142" s="700"/>
      <c r="B142" s="700"/>
      <c r="C142" s="1273"/>
      <c r="D142" s="1273"/>
      <c r="E142" s="1274"/>
      <c r="F142" s="1274"/>
      <c r="G142" s="1274"/>
      <c r="H142" s="1275"/>
      <c r="I142" s="1268"/>
      <c r="J142" s="1268"/>
      <c r="K142" s="366" t="s">
        <v>3450</v>
      </c>
      <c r="L142" s="1276"/>
      <c r="M142" s="1276"/>
      <c r="N142" s="700"/>
    </row>
    <row r="143" spans="1:14" ht="30" hidden="1" customHeight="1">
      <c r="A143" s="700"/>
      <c r="B143" s="700"/>
      <c r="C143" s="1273"/>
      <c r="D143" s="1273"/>
      <c r="E143" s="1274"/>
      <c r="F143" s="1274"/>
      <c r="G143" s="1274"/>
      <c r="H143" s="1275"/>
      <c r="I143" s="1268"/>
      <c r="J143" s="1268"/>
      <c r="K143" s="366" t="s">
        <v>3450</v>
      </c>
      <c r="L143" s="1276"/>
      <c r="M143" s="1276"/>
      <c r="N143" s="700"/>
    </row>
    <row r="144" spans="1:14" ht="30" hidden="1" customHeight="1">
      <c r="A144" s="700"/>
      <c r="B144" s="700"/>
      <c r="C144" s="1273"/>
      <c r="D144" s="1273"/>
      <c r="E144" s="1274"/>
      <c r="F144" s="1274"/>
      <c r="G144" s="1274"/>
      <c r="H144" s="1275"/>
      <c r="I144" s="1268"/>
      <c r="J144" s="1268"/>
      <c r="K144" s="366" t="s">
        <v>3450</v>
      </c>
      <c r="L144" s="1276"/>
      <c r="M144" s="1276"/>
      <c r="N144" s="700"/>
    </row>
    <row r="145" spans="1:14" ht="30" hidden="1" customHeight="1">
      <c r="A145" s="700"/>
      <c r="B145" s="700"/>
      <c r="C145" s="1273"/>
      <c r="D145" s="1273"/>
      <c r="E145" s="1274"/>
      <c r="F145" s="1274"/>
      <c r="G145" s="1274"/>
      <c r="H145" s="1275"/>
      <c r="I145" s="1268"/>
      <c r="J145" s="1268"/>
      <c r="K145" s="366" t="s">
        <v>3450</v>
      </c>
      <c r="L145" s="1276"/>
      <c r="M145" s="1276"/>
      <c r="N145" s="700"/>
    </row>
    <row r="146" spans="1:14" ht="30" hidden="1" customHeight="1">
      <c r="A146" s="700"/>
      <c r="B146" s="700"/>
      <c r="C146" s="1273"/>
      <c r="D146" s="1273"/>
      <c r="E146" s="1274"/>
      <c r="F146" s="1274"/>
      <c r="G146" s="1274"/>
      <c r="H146" s="1275"/>
      <c r="I146" s="1268"/>
      <c r="J146" s="1268"/>
      <c r="K146" s="366" t="s">
        <v>3450</v>
      </c>
      <c r="L146" s="1276"/>
      <c r="M146" s="1276"/>
      <c r="N146" s="700"/>
    </row>
    <row r="147" spans="1:14" ht="30" hidden="1" customHeight="1">
      <c r="A147" s="700"/>
      <c r="B147" s="700"/>
      <c r="C147" s="1273"/>
      <c r="D147" s="1273"/>
      <c r="E147" s="1274"/>
      <c r="F147" s="1274"/>
      <c r="G147" s="1274"/>
      <c r="H147" s="1275"/>
      <c r="I147" s="1268"/>
      <c r="J147" s="1268"/>
      <c r="K147" s="366" t="s">
        <v>3450</v>
      </c>
      <c r="L147" s="1276"/>
      <c r="M147" s="1276"/>
      <c r="N147" s="700"/>
    </row>
    <row r="148" spans="1:14" ht="30" hidden="1" customHeight="1">
      <c r="A148" s="700"/>
      <c r="B148" s="700"/>
      <c r="C148" s="1273"/>
      <c r="D148" s="1273"/>
      <c r="E148" s="1274"/>
      <c r="F148" s="1274"/>
      <c r="G148" s="1274"/>
      <c r="H148" s="1275"/>
      <c r="I148" s="1268"/>
      <c r="J148" s="1268"/>
      <c r="K148" s="366" t="s">
        <v>3450</v>
      </c>
      <c r="L148" s="1276"/>
      <c r="M148" s="1276"/>
      <c r="N148" s="700"/>
    </row>
    <row r="149" spans="1:14" ht="30" hidden="1" customHeight="1">
      <c r="A149" s="700"/>
      <c r="B149" s="700"/>
      <c r="C149" s="1273"/>
      <c r="D149" s="1273"/>
      <c r="E149" s="1274"/>
      <c r="F149" s="1274"/>
      <c r="G149" s="1274"/>
      <c r="H149" s="1275"/>
      <c r="I149" s="1268"/>
      <c r="J149" s="1268"/>
      <c r="K149" s="366" t="s">
        <v>3450</v>
      </c>
      <c r="L149" s="1276"/>
      <c r="M149" s="1276"/>
      <c r="N149" s="700"/>
    </row>
    <row r="150" spans="1:14" ht="30" hidden="1" customHeight="1">
      <c r="A150" s="700"/>
      <c r="B150" s="700"/>
      <c r="C150" s="1273"/>
      <c r="D150" s="1273"/>
      <c r="E150" s="1274"/>
      <c r="F150" s="1274"/>
      <c r="G150" s="1274"/>
      <c r="H150" s="1275"/>
      <c r="I150" s="1268"/>
      <c r="J150" s="1268"/>
      <c r="K150" s="366" t="s">
        <v>3450</v>
      </c>
      <c r="L150" s="1276"/>
      <c r="M150" s="1276"/>
      <c r="N150" s="700"/>
    </row>
    <row r="151" spans="1:14" ht="30" hidden="1" customHeight="1">
      <c r="A151" s="700"/>
      <c r="B151" s="700"/>
      <c r="C151" s="1273"/>
      <c r="D151" s="1273"/>
      <c r="E151" s="1274"/>
      <c r="F151" s="1274"/>
      <c r="G151" s="1274"/>
      <c r="H151" s="1275"/>
      <c r="I151" s="1268"/>
      <c r="J151" s="1268"/>
      <c r="K151" s="366" t="s">
        <v>3450</v>
      </c>
      <c r="L151" s="1276"/>
      <c r="M151" s="1276"/>
      <c r="N151" s="700"/>
    </row>
    <row r="152" spans="1:14" ht="30" hidden="1" customHeight="1">
      <c r="A152" s="700"/>
      <c r="B152" s="700"/>
      <c r="C152" s="1273"/>
      <c r="D152" s="1273"/>
      <c r="E152" s="1274"/>
      <c r="F152" s="1274"/>
      <c r="G152" s="1274"/>
      <c r="H152" s="1275"/>
      <c r="I152" s="1268"/>
      <c r="J152" s="1268"/>
      <c r="K152" s="366" t="s">
        <v>3450</v>
      </c>
      <c r="L152" s="1276"/>
      <c r="M152" s="1276"/>
      <c r="N152" s="700"/>
    </row>
    <row r="153" spans="1:14" ht="30" hidden="1" customHeight="1">
      <c r="A153" s="700"/>
      <c r="B153" s="700"/>
      <c r="C153" s="1273"/>
      <c r="D153" s="1273"/>
      <c r="E153" s="1274"/>
      <c r="F153" s="1274"/>
      <c r="G153" s="1274"/>
      <c r="H153" s="1275"/>
      <c r="I153" s="1268"/>
      <c r="J153" s="1268"/>
      <c r="K153" s="366" t="s">
        <v>3450</v>
      </c>
      <c r="L153" s="1276"/>
      <c r="M153" s="1276"/>
      <c r="N153" s="700"/>
    </row>
    <row r="154" spans="1:14" ht="30" hidden="1" customHeight="1">
      <c r="A154" s="700"/>
      <c r="B154" s="700"/>
      <c r="C154" s="1273"/>
      <c r="D154" s="1273"/>
      <c r="E154" s="1274"/>
      <c r="F154" s="1274"/>
      <c r="G154" s="1274"/>
      <c r="H154" s="1275"/>
      <c r="I154" s="1268"/>
      <c r="J154" s="1268"/>
      <c r="K154" s="366" t="s">
        <v>3450</v>
      </c>
      <c r="L154" s="1276"/>
      <c r="M154" s="1276"/>
      <c r="N154" s="700"/>
    </row>
    <row r="155" spans="1:14" ht="30" hidden="1" customHeight="1">
      <c r="A155" s="700"/>
      <c r="B155" s="700"/>
      <c r="C155" s="1273"/>
      <c r="D155" s="1273"/>
      <c r="E155" s="1274"/>
      <c r="F155" s="1274"/>
      <c r="G155" s="1274"/>
      <c r="H155" s="1275"/>
      <c r="I155" s="1268"/>
      <c r="J155" s="1268"/>
      <c r="K155" s="366" t="s">
        <v>3450</v>
      </c>
      <c r="L155" s="1276"/>
      <c r="M155" s="1276"/>
      <c r="N155" s="700"/>
    </row>
    <row r="156" spans="1:14" ht="30" hidden="1" customHeight="1">
      <c r="A156" s="700"/>
      <c r="B156" s="700"/>
      <c r="C156" s="1273"/>
      <c r="D156" s="1273"/>
      <c r="E156" s="1274"/>
      <c r="F156" s="1274"/>
      <c r="G156" s="1274"/>
      <c r="H156" s="1275"/>
      <c r="I156" s="1268"/>
      <c r="J156" s="1268"/>
      <c r="K156" s="366" t="s">
        <v>3450</v>
      </c>
      <c r="L156" s="1276"/>
      <c r="M156" s="1276"/>
      <c r="N156" s="700"/>
    </row>
    <row r="157" spans="1:14" ht="30" hidden="1" customHeight="1">
      <c r="A157" s="700"/>
      <c r="B157" s="700"/>
      <c r="C157" s="1273"/>
      <c r="D157" s="1273"/>
      <c r="E157" s="1274"/>
      <c r="F157" s="1274"/>
      <c r="G157" s="1274"/>
      <c r="H157" s="1275"/>
      <c r="I157" s="1268"/>
      <c r="J157" s="1268"/>
      <c r="K157" s="366" t="s">
        <v>3450</v>
      </c>
      <c r="L157" s="1276"/>
      <c r="M157" s="1276"/>
      <c r="N157" s="700"/>
    </row>
    <row r="158" spans="1:14" ht="30" hidden="1" customHeight="1">
      <c r="A158" s="700"/>
      <c r="B158" s="700"/>
      <c r="C158" s="1273"/>
      <c r="D158" s="1273"/>
      <c r="E158" s="1274"/>
      <c r="F158" s="1274"/>
      <c r="G158" s="1274"/>
      <c r="H158" s="1275"/>
      <c r="I158" s="1268"/>
      <c r="J158" s="1268"/>
      <c r="K158" s="366" t="s">
        <v>3450</v>
      </c>
      <c r="L158" s="1276"/>
      <c r="M158" s="1276"/>
      <c r="N158" s="700"/>
    </row>
    <row r="159" spans="1:14" ht="30" hidden="1" customHeight="1">
      <c r="A159" s="700"/>
      <c r="B159" s="700"/>
      <c r="C159" s="1273"/>
      <c r="D159" s="1273"/>
      <c r="E159" s="1274"/>
      <c r="F159" s="1274"/>
      <c r="G159" s="1274"/>
      <c r="H159" s="1275"/>
      <c r="I159" s="1268"/>
      <c r="J159" s="1268"/>
      <c r="K159" s="366" t="s">
        <v>3450</v>
      </c>
      <c r="L159" s="1276"/>
      <c r="M159" s="1276"/>
      <c r="N159" s="700"/>
    </row>
    <row r="160" spans="1:14" ht="30" hidden="1" customHeight="1">
      <c r="A160" s="700"/>
      <c r="B160" s="700"/>
      <c r="C160" s="1273"/>
      <c r="D160" s="1273"/>
      <c r="E160" s="1274"/>
      <c r="F160" s="1274"/>
      <c r="G160" s="1274"/>
      <c r="H160" s="1275"/>
      <c r="I160" s="1268"/>
      <c r="J160" s="1268"/>
      <c r="K160" s="366" t="s">
        <v>3450</v>
      </c>
      <c r="L160" s="1276"/>
      <c r="M160" s="1276"/>
      <c r="N160" s="700"/>
    </row>
    <row r="161" spans="1:14" ht="30" hidden="1" customHeight="1">
      <c r="A161" s="700"/>
      <c r="B161" s="700"/>
      <c r="C161" s="1273"/>
      <c r="D161" s="1273"/>
      <c r="E161" s="1274"/>
      <c r="F161" s="1274"/>
      <c r="G161" s="1274"/>
      <c r="H161" s="1275"/>
      <c r="I161" s="1268"/>
      <c r="J161" s="1268"/>
      <c r="K161" s="366" t="s">
        <v>3450</v>
      </c>
      <c r="L161" s="1276"/>
      <c r="M161" s="1276"/>
      <c r="N161" s="700"/>
    </row>
    <row r="162" spans="1:14" ht="30" hidden="1" customHeight="1">
      <c r="A162" s="700"/>
      <c r="B162" s="700"/>
      <c r="C162" s="1273"/>
      <c r="D162" s="1273"/>
      <c r="E162" s="1274"/>
      <c r="F162" s="1274"/>
      <c r="G162" s="1274"/>
      <c r="H162" s="1275"/>
      <c r="I162" s="1268"/>
      <c r="J162" s="1268"/>
      <c r="K162" s="366" t="s">
        <v>3450</v>
      </c>
      <c r="L162" s="1276"/>
      <c r="M162" s="1276"/>
      <c r="N162" s="700"/>
    </row>
    <row r="163" spans="1:14" ht="30" hidden="1" customHeight="1">
      <c r="A163" s="700"/>
      <c r="B163" s="700"/>
      <c r="C163" s="1273"/>
      <c r="D163" s="1273"/>
      <c r="E163" s="1274"/>
      <c r="F163" s="1274"/>
      <c r="G163" s="1274"/>
      <c r="H163" s="1275"/>
      <c r="I163" s="1268"/>
      <c r="J163" s="1268"/>
      <c r="K163" s="366" t="s">
        <v>3450</v>
      </c>
      <c r="L163" s="1276"/>
      <c r="M163" s="1276"/>
      <c r="N163" s="700"/>
    </row>
    <row r="164" spans="1:14" ht="30" hidden="1" customHeight="1">
      <c r="A164" s="700"/>
      <c r="B164" s="700"/>
      <c r="C164" s="1273"/>
      <c r="D164" s="1273"/>
      <c r="E164" s="1274"/>
      <c r="F164" s="1274"/>
      <c r="G164" s="1274"/>
      <c r="H164" s="1275"/>
      <c r="I164" s="1268"/>
      <c r="J164" s="1268"/>
      <c r="K164" s="366" t="s">
        <v>3450</v>
      </c>
      <c r="L164" s="1276"/>
      <c r="M164" s="1276"/>
      <c r="N164" s="700"/>
    </row>
    <row r="165" spans="1:14" ht="30" hidden="1" customHeight="1">
      <c r="A165" s="700"/>
      <c r="B165" s="700"/>
      <c r="C165" s="1273"/>
      <c r="D165" s="1273"/>
      <c r="E165" s="1274"/>
      <c r="F165" s="1274"/>
      <c r="G165" s="1274"/>
      <c r="H165" s="1275"/>
      <c r="I165" s="1268"/>
      <c r="J165" s="1268"/>
      <c r="K165" s="366" t="s">
        <v>3450</v>
      </c>
      <c r="L165" s="1276"/>
      <c r="M165" s="1276"/>
      <c r="N165" s="700"/>
    </row>
    <row r="166" spans="1:14" ht="30" hidden="1" customHeight="1">
      <c r="A166" s="700"/>
      <c r="B166" s="700"/>
      <c r="C166" s="1273"/>
      <c r="D166" s="1273"/>
      <c r="E166" s="1274"/>
      <c r="F166" s="1274"/>
      <c r="G166" s="1274"/>
      <c r="H166" s="1275"/>
      <c r="I166" s="1268"/>
      <c r="J166" s="1268"/>
      <c r="K166" s="366" t="s">
        <v>3450</v>
      </c>
      <c r="L166" s="1276"/>
      <c r="M166" s="1276"/>
      <c r="N166" s="700"/>
    </row>
    <row r="167" spans="1:14" ht="30" hidden="1" customHeight="1">
      <c r="A167" s="700"/>
      <c r="B167" s="700"/>
      <c r="C167" s="1273"/>
      <c r="D167" s="1273"/>
      <c r="E167" s="1274"/>
      <c r="F167" s="1274"/>
      <c r="G167" s="1274"/>
      <c r="H167" s="1275"/>
      <c r="I167" s="1268"/>
      <c r="J167" s="1268"/>
      <c r="K167" s="366" t="s">
        <v>3450</v>
      </c>
      <c r="L167" s="1276"/>
      <c r="M167" s="1276"/>
      <c r="N167" s="700"/>
    </row>
    <row r="168" spans="1:14" ht="30" hidden="1" customHeight="1">
      <c r="A168" s="700"/>
      <c r="B168" s="700"/>
      <c r="C168" s="1273"/>
      <c r="D168" s="1273"/>
      <c r="E168" s="1274"/>
      <c r="F168" s="1274"/>
      <c r="G168" s="1274"/>
      <c r="H168" s="1275"/>
      <c r="I168" s="1268"/>
      <c r="J168" s="1268"/>
      <c r="K168" s="366" t="s">
        <v>3450</v>
      </c>
      <c r="L168" s="1276"/>
      <c r="M168" s="1276"/>
      <c r="N168" s="700"/>
    </row>
    <row r="169" spans="1:14" ht="30" hidden="1" customHeight="1">
      <c r="A169" s="700"/>
      <c r="B169" s="700"/>
      <c r="C169" s="1273"/>
      <c r="D169" s="1273"/>
      <c r="E169" s="1274"/>
      <c r="F169" s="1274"/>
      <c r="G169" s="1274"/>
      <c r="H169" s="1275"/>
      <c r="I169" s="1268"/>
      <c r="J169" s="1268"/>
      <c r="K169" s="366" t="s">
        <v>3450</v>
      </c>
      <c r="L169" s="1276"/>
      <c r="M169" s="1276"/>
      <c r="N169" s="700"/>
    </row>
    <row r="170" spans="1:14" ht="30" hidden="1" customHeight="1">
      <c r="A170" s="700"/>
      <c r="B170" s="700"/>
      <c r="C170" s="1273"/>
      <c r="D170" s="1273"/>
      <c r="E170" s="1274"/>
      <c r="F170" s="1274"/>
      <c r="G170" s="1274"/>
      <c r="H170" s="1275"/>
      <c r="I170" s="1268"/>
      <c r="J170" s="1268"/>
      <c r="K170" s="366" t="s">
        <v>3450</v>
      </c>
      <c r="L170" s="1276"/>
      <c r="M170" s="1276"/>
      <c r="N170" s="700"/>
    </row>
    <row r="171" spans="1:14" ht="30" hidden="1" customHeight="1">
      <c r="A171" s="700"/>
      <c r="B171" s="700"/>
      <c r="C171" s="1273"/>
      <c r="D171" s="1273"/>
      <c r="E171" s="1274"/>
      <c r="F171" s="1274"/>
      <c r="G171" s="1274"/>
      <c r="H171" s="1275"/>
      <c r="I171" s="1268"/>
      <c r="J171" s="1268"/>
      <c r="K171" s="366" t="s">
        <v>3450</v>
      </c>
      <c r="L171" s="1276"/>
      <c r="M171" s="1276"/>
      <c r="N171" s="700"/>
    </row>
    <row r="172" spans="1:14" ht="30" hidden="1" customHeight="1">
      <c r="A172" s="700"/>
      <c r="B172" s="700"/>
      <c r="C172" s="1273"/>
      <c r="D172" s="1273"/>
      <c r="E172" s="1274"/>
      <c r="F172" s="1274"/>
      <c r="G172" s="1274"/>
      <c r="H172" s="1275"/>
      <c r="I172" s="1268"/>
      <c r="J172" s="1268"/>
      <c r="K172" s="366" t="s">
        <v>3450</v>
      </c>
      <c r="L172" s="1276"/>
      <c r="M172" s="1276"/>
      <c r="N172" s="700"/>
    </row>
    <row r="173" spans="1:14" ht="30" hidden="1" customHeight="1">
      <c r="A173" s="700"/>
      <c r="B173" s="700"/>
      <c r="C173" s="1273"/>
      <c r="D173" s="1273"/>
      <c r="E173" s="1274"/>
      <c r="F173" s="1274"/>
      <c r="G173" s="1274"/>
      <c r="H173" s="1275"/>
      <c r="I173" s="1268"/>
      <c r="J173" s="1268"/>
      <c r="K173" s="366" t="s">
        <v>3450</v>
      </c>
      <c r="L173" s="1276"/>
      <c r="M173" s="1276"/>
      <c r="N173" s="700"/>
    </row>
    <row r="174" spans="1:14" ht="30" hidden="1" customHeight="1">
      <c r="A174" s="700"/>
      <c r="B174" s="700"/>
      <c r="C174" s="1273"/>
      <c r="D174" s="1273"/>
      <c r="E174" s="1274"/>
      <c r="F174" s="1274"/>
      <c r="G174" s="1274"/>
      <c r="H174" s="1275"/>
      <c r="I174" s="1268"/>
      <c r="J174" s="1268"/>
      <c r="K174" s="366" t="s">
        <v>3450</v>
      </c>
      <c r="L174" s="1276"/>
      <c r="M174" s="1276"/>
      <c r="N174" s="700"/>
    </row>
    <row r="175" spans="1:14" ht="30" hidden="1" customHeight="1">
      <c r="A175" s="700"/>
      <c r="B175" s="700"/>
      <c r="C175" s="1273"/>
      <c r="D175" s="1273"/>
      <c r="E175" s="1274"/>
      <c r="F175" s="1274"/>
      <c r="G175" s="1274"/>
      <c r="H175" s="1275"/>
      <c r="I175" s="1268"/>
      <c r="J175" s="1268"/>
      <c r="K175" s="366" t="s">
        <v>3450</v>
      </c>
      <c r="L175" s="1276"/>
      <c r="M175" s="1276"/>
      <c r="N175" s="700"/>
    </row>
    <row r="176" spans="1:14" ht="30" hidden="1" customHeight="1">
      <c r="A176" s="700"/>
      <c r="B176" s="700"/>
      <c r="C176" s="1273"/>
      <c r="D176" s="1273"/>
      <c r="E176" s="1274"/>
      <c r="F176" s="1274"/>
      <c r="G176" s="1274"/>
      <c r="H176" s="1275"/>
      <c r="I176" s="1268"/>
      <c r="J176" s="1268"/>
      <c r="K176" s="366" t="s">
        <v>3450</v>
      </c>
      <c r="L176" s="1276"/>
      <c r="M176" s="1276"/>
      <c r="N176" s="700"/>
    </row>
    <row r="177" spans="1:14" ht="30" hidden="1" customHeight="1">
      <c r="A177" s="700"/>
      <c r="B177" s="700"/>
      <c r="C177" s="1273"/>
      <c r="D177" s="1273"/>
      <c r="E177" s="1274"/>
      <c r="F177" s="1274"/>
      <c r="G177" s="1274"/>
      <c r="H177" s="1275"/>
      <c r="I177" s="1268"/>
      <c r="J177" s="1268"/>
      <c r="K177" s="366" t="s">
        <v>3450</v>
      </c>
      <c r="L177" s="1276"/>
      <c r="M177" s="1276"/>
      <c r="N177" s="700"/>
    </row>
    <row r="178" spans="1:14" ht="30" hidden="1" customHeight="1">
      <c r="A178" s="700"/>
      <c r="B178" s="700"/>
      <c r="C178" s="1273"/>
      <c r="D178" s="1273"/>
      <c r="E178" s="1274"/>
      <c r="F178" s="1274"/>
      <c r="G178" s="1274"/>
      <c r="H178" s="1275"/>
      <c r="I178" s="1268"/>
      <c r="J178" s="1268"/>
      <c r="K178" s="366" t="s">
        <v>3450</v>
      </c>
      <c r="L178" s="1276"/>
      <c r="M178" s="1276"/>
      <c r="N178" s="700"/>
    </row>
    <row r="179" spans="1:14" ht="30" hidden="1" customHeight="1">
      <c r="A179" s="700"/>
      <c r="B179" s="700"/>
      <c r="C179" s="1273"/>
      <c r="D179" s="1273"/>
      <c r="E179" s="1274"/>
      <c r="F179" s="1274"/>
      <c r="G179" s="1274"/>
      <c r="H179" s="1275"/>
      <c r="I179" s="1268"/>
      <c r="J179" s="1268"/>
      <c r="K179" s="366" t="s">
        <v>3450</v>
      </c>
      <c r="L179" s="1276"/>
      <c r="M179" s="1276"/>
      <c r="N179" s="700"/>
    </row>
    <row r="180" spans="1:14" ht="30" hidden="1" customHeight="1">
      <c r="A180" s="700"/>
      <c r="B180" s="700"/>
      <c r="C180" s="1273"/>
      <c r="D180" s="1273"/>
      <c r="E180" s="1274"/>
      <c r="F180" s="1274"/>
      <c r="G180" s="1274"/>
      <c r="H180" s="1275"/>
      <c r="I180" s="1268"/>
      <c r="J180" s="1268"/>
      <c r="K180" s="366" t="s">
        <v>3450</v>
      </c>
      <c r="L180" s="1276"/>
      <c r="M180" s="1276"/>
      <c r="N180" s="700"/>
    </row>
    <row r="181" spans="1:14" ht="30" hidden="1" customHeight="1">
      <c r="A181" s="700"/>
      <c r="B181" s="700"/>
      <c r="C181" s="1273"/>
      <c r="D181" s="1273"/>
      <c r="E181" s="1274"/>
      <c r="F181" s="1274"/>
      <c r="G181" s="1274"/>
      <c r="H181" s="1275"/>
      <c r="I181" s="1268"/>
      <c r="J181" s="1268"/>
      <c r="K181" s="366" t="s">
        <v>3450</v>
      </c>
      <c r="L181" s="1276"/>
      <c r="M181" s="1276"/>
      <c r="N181" s="700"/>
    </row>
    <row r="182" spans="1:14" ht="30" hidden="1" customHeight="1">
      <c r="A182" s="700"/>
      <c r="B182" s="700"/>
      <c r="C182" s="1273"/>
      <c r="D182" s="1273"/>
      <c r="E182" s="1274"/>
      <c r="F182" s="1274"/>
      <c r="G182" s="1274"/>
      <c r="H182" s="1275"/>
      <c r="I182" s="1268"/>
      <c r="J182" s="1268"/>
      <c r="K182" s="366" t="s">
        <v>3450</v>
      </c>
      <c r="L182" s="1276"/>
      <c r="M182" s="1276"/>
      <c r="N182" s="700"/>
    </row>
    <row r="183" spans="1:14" ht="30" hidden="1" customHeight="1">
      <c r="A183" s="700"/>
      <c r="B183" s="700"/>
      <c r="C183" s="1273"/>
      <c r="D183" s="1273"/>
      <c r="E183" s="1274"/>
      <c r="F183" s="1274"/>
      <c r="G183" s="1274"/>
      <c r="H183" s="1275"/>
      <c r="I183" s="1268"/>
      <c r="J183" s="1268"/>
      <c r="K183" s="366" t="s">
        <v>3450</v>
      </c>
      <c r="L183" s="1276"/>
      <c r="M183" s="1276"/>
      <c r="N183" s="700"/>
    </row>
    <row r="184" spans="1:14" ht="30" hidden="1" customHeight="1">
      <c r="A184" s="700"/>
      <c r="B184" s="700"/>
      <c r="C184" s="1273"/>
      <c r="D184" s="1273"/>
      <c r="E184" s="1274"/>
      <c r="F184" s="1274"/>
      <c r="G184" s="1274"/>
      <c r="H184" s="1275"/>
      <c r="I184" s="1268"/>
      <c r="J184" s="1268"/>
      <c r="K184" s="366" t="s">
        <v>3450</v>
      </c>
      <c r="L184" s="1276"/>
      <c r="M184" s="1276"/>
      <c r="N184" s="700"/>
    </row>
    <row r="185" spans="1:14" ht="30" hidden="1" customHeight="1">
      <c r="A185" s="700"/>
      <c r="B185" s="700"/>
      <c r="C185" s="1273"/>
      <c r="D185" s="1273"/>
      <c r="E185" s="1274"/>
      <c r="F185" s="1274"/>
      <c r="G185" s="1274"/>
      <c r="H185" s="1275"/>
      <c r="I185" s="1268"/>
      <c r="J185" s="1268"/>
      <c r="K185" s="366" t="s">
        <v>3450</v>
      </c>
      <c r="L185" s="1276"/>
      <c r="M185" s="1276"/>
      <c r="N185" s="700"/>
    </row>
    <row r="186" spans="1:14" ht="30" hidden="1" customHeight="1">
      <c r="A186" s="700"/>
      <c r="B186" s="700"/>
      <c r="C186" s="1273"/>
      <c r="D186" s="1273"/>
      <c r="E186" s="1274"/>
      <c r="F186" s="1274"/>
      <c r="G186" s="1274"/>
      <c r="H186" s="1275"/>
      <c r="I186" s="1268"/>
      <c r="J186" s="1268"/>
      <c r="K186" s="366" t="s">
        <v>3450</v>
      </c>
      <c r="L186" s="1276"/>
      <c r="M186" s="1276"/>
      <c r="N186" s="700"/>
    </row>
    <row r="187" spans="1:14" ht="30" hidden="1" customHeight="1">
      <c r="A187" s="700"/>
      <c r="B187" s="700"/>
      <c r="C187" s="1273"/>
      <c r="D187" s="1273"/>
      <c r="E187" s="1274"/>
      <c r="F187" s="1274"/>
      <c r="G187" s="1274"/>
      <c r="H187" s="1275"/>
      <c r="I187" s="1268"/>
      <c r="J187" s="1268"/>
      <c r="K187" s="366" t="s">
        <v>3450</v>
      </c>
      <c r="L187" s="1276"/>
      <c r="M187" s="1276"/>
      <c r="N187" s="700"/>
    </row>
    <row r="188" spans="1:14" ht="30" hidden="1" customHeight="1">
      <c r="A188" s="700"/>
      <c r="B188" s="700"/>
      <c r="C188" s="1273"/>
      <c r="D188" s="1273"/>
      <c r="E188" s="1274"/>
      <c r="F188" s="1274"/>
      <c r="G188" s="1274"/>
      <c r="H188" s="1275"/>
      <c r="I188" s="1268"/>
      <c r="J188" s="1268"/>
      <c r="K188" s="366" t="s">
        <v>3450</v>
      </c>
      <c r="L188" s="1276"/>
      <c r="M188" s="1276"/>
      <c r="N188" s="700"/>
    </row>
    <row r="189" spans="1:14" ht="30" hidden="1" customHeight="1">
      <c r="A189" s="700"/>
      <c r="B189" s="700"/>
      <c r="C189" s="1273"/>
      <c r="D189" s="1273"/>
      <c r="E189" s="1274"/>
      <c r="F189" s="1274"/>
      <c r="G189" s="1274"/>
      <c r="H189" s="1275"/>
      <c r="I189" s="1268"/>
      <c r="J189" s="1268"/>
      <c r="K189" s="366" t="s">
        <v>3450</v>
      </c>
      <c r="L189" s="1276"/>
      <c r="M189" s="1276"/>
      <c r="N189" s="700"/>
    </row>
    <row r="190" spans="1:14" ht="30" hidden="1" customHeight="1">
      <c r="A190" s="700"/>
      <c r="B190" s="700"/>
      <c r="C190" s="1273"/>
      <c r="D190" s="1273"/>
      <c r="E190" s="1274"/>
      <c r="F190" s="1274"/>
      <c r="G190" s="1274"/>
      <c r="H190" s="1275"/>
      <c r="I190" s="1268"/>
      <c r="J190" s="1268"/>
      <c r="K190" s="366" t="s">
        <v>3450</v>
      </c>
      <c r="L190" s="1276"/>
      <c r="M190" s="1276"/>
      <c r="N190" s="700"/>
    </row>
    <row r="191" spans="1:14" ht="30" hidden="1" customHeight="1">
      <c r="A191" s="700"/>
      <c r="B191" s="700"/>
      <c r="C191" s="1273"/>
      <c r="D191" s="1273"/>
      <c r="E191" s="1274"/>
      <c r="F191" s="1274"/>
      <c r="G191" s="1274"/>
      <c r="H191" s="1275"/>
      <c r="I191" s="1268"/>
      <c r="J191" s="1268"/>
      <c r="K191" s="366" t="s">
        <v>3450</v>
      </c>
      <c r="L191" s="1276"/>
      <c r="M191" s="1276"/>
      <c r="N191" s="700"/>
    </row>
    <row r="192" spans="1:14" ht="30" hidden="1" customHeight="1">
      <c r="A192" s="700"/>
      <c r="B192" s="700"/>
      <c r="C192" s="1273"/>
      <c r="D192" s="1273"/>
      <c r="E192" s="1274"/>
      <c r="F192" s="1274"/>
      <c r="G192" s="1274"/>
      <c r="H192" s="1275"/>
      <c r="I192" s="1268"/>
      <c r="J192" s="1268"/>
      <c r="K192" s="366" t="s">
        <v>3450</v>
      </c>
      <c r="L192" s="1276"/>
      <c r="M192" s="1276"/>
      <c r="N192" s="700"/>
    </row>
    <row r="193" spans="1:14" ht="30" hidden="1" customHeight="1">
      <c r="A193" s="700"/>
      <c r="B193" s="700"/>
      <c r="C193" s="1273"/>
      <c r="D193" s="1273"/>
      <c r="E193" s="1274"/>
      <c r="F193" s="1274"/>
      <c r="G193" s="1274"/>
      <c r="H193" s="1275"/>
      <c r="I193" s="1268"/>
      <c r="J193" s="1268"/>
      <c r="K193" s="366" t="s">
        <v>3450</v>
      </c>
      <c r="L193" s="1276"/>
      <c r="M193" s="1276"/>
      <c r="N193" s="700"/>
    </row>
    <row r="194" spans="1:14" ht="30" hidden="1" customHeight="1">
      <c r="A194" s="700"/>
      <c r="B194" s="700"/>
      <c r="C194" s="1273"/>
      <c r="D194" s="1273"/>
      <c r="E194" s="1274"/>
      <c r="F194" s="1274"/>
      <c r="G194" s="1274"/>
      <c r="H194" s="1275"/>
      <c r="I194" s="1268"/>
      <c r="J194" s="1268"/>
      <c r="K194" s="366" t="s">
        <v>3450</v>
      </c>
      <c r="L194" s="1276"/>
      <c r="M194" s="1276"/>
      <c r="N194" s="700"/>
    </row>
    <row r="195" spans="1:14" ht="30" hidden="1" customHeight="1">
      <c r="A195" s="700"/>
      <c r="B195" s="700"/>
      <c r="C195" s="1273"/>
      <c r="D195" s="1273"/>
      <c r="E195" s="1274"/>
      <c r="F195" s="1274"/>
      <c r="G195" s="1274"/>
      <c r="H195" s="1275"/>
      <c r="I195" s="1268"/>
      <c r="J195" s="1268"/>
      <c r="K195" s="366" t="s">
        <v>3450</v>
      </c>
      <c r="L195" s="1276"/>
      <c r="M195" s="1276"/>
      <c r="N195" s="700"/>
    </row>
    <row r="196" spans="1:14" ht="30" hidden="1" customHeight="1">
      <c r="A196" s="700"/>
      <c r="B196" s="700"/>
      <c r="C196" s="1273"/>
      <c r="D196" s="1273"/>
      <c r="E196" s="1274"/>
      <c r="F196" s="1274"/>
      <c r="G196" s="1274"/>
      <c r="H196" s="1275"/>
      <c r="I196" s="1268"/>
      <c r="J196" s="1268"/>
      <c r="K196" s="366" t="s">
        <v>3450</v>
      </c>
      <c r="L196" s="1276"/>
      <c r="M196" s="1276"/>
      <c r="N196" s="700"/>
    </row>
    <row r="197" spans="1:14" ht="30" hidden="1" customHeight="1">
      <c r="A197" s="700"/>
      <c r="B197" s="700"/>
      <c r="C197" s="1273"/>
      <c r="D197" s="1273"/>
      <c r="E197" s="1274"/>
      <c r="F197" s="1274"/>
      <c r="G197" s="1274"/>
      <c r="H197" s="1275"/>
      <c r="I197" s="1268"/>
      <c r="J197" s="1268"/>
      <c r="K197" s="366" t="s">
        <v>3450</v>
      </c>
      <c r="L197" s="1276"/>
      <c r="M197" s="1276"/>
      <c r="N197" s="700"/>
    </row>
    <row r="198" spans="1:14" ht="30" hidden="1" customHeight="1">
      <c r="A198" s="700"/>
      <c r="B198" s="700"/>
      <c r="C198" s="1273"/>
      <c r="D198" s="1273"/>
      <c r="E198" s="1274"/>
      <c r="F198" s="1274"/>
      <c r="G198" s="1274"/>
      <c r="H198" s="1275"/>
      <c r="I198" s="1268"/>
      <c r="J198" s="1268"/>
      <c r="K198" s="366" t="s">
        <v>3450</v>
      </c>
      <c r="L198" s="1276"/>
      <c r="M198" s="1276"/>
      <c r="N198" s="700"/>
    </row>
    <row r="199" spans="1:14" ht="30" hidden="1" customHeight="1">
      <c r="A199" s="700"/>
      <c r="B199" s="700"/>
      <c r="C199" s="1273"/>
      <c r="D199" s="1273"/>
      <c r="E199" s="1274"/>
      <c r="F199" s="1274"/>
      <c r="G199" s="1274"/>
      <c r="H199" s="1275"/>
      <c r="I199" s="1268"/>
      <c r="J199" s="1268"/>
      <c r="K199" s="366" t="s">
        <v>3450</v>
      </c>
      <c r="L199" s="1276"/>
      <c r="M199" s="1276"/>
      <c r="N199" s="700"/>
    </row>
    <row r="200" spans="1:14" ht="30" hidden="1" customHeight="1">
      <c r="A200" s="700"/>
      <c r="B200" s="700"/>
      <c r="C200" s="1273"/>
      <c r="D200" s="1273"/>
      <c r="E200" s="1274"/>
      <c r="F200" s="1274"/>
      <c r="G200" s="1274"/>
      <c r="H200" s="1275"/>
      <c r="I200" s="1268"/>
      <c r="J200" s="1268"/>
      <c r="K200" s="366" t="s">
        <v>3450</v>
      </c>
      <c r="L200" s="1276"/>
      <c r="M200" s="1276"/>
      <c r="N200" s="700"/>
    </row>
    <row r="201" spans="1:14" ht="30" hidden="1" customHeight="1">
      <c r="A201" s="700"/>
      <c r="B201" s="700"/>
      <c r="C201" s="1273"/>
      <c r="D201" s="1273"/>
      <c r="E201" s="1274"/>
      <c r="F201" s="1274"/>
      <c r="G201" s="1274"/>
      <c r="H201" s="1275"/>
      <c r="I201" s="1268"/>
      <c r="J201" s="1268"/>
      <c r="K201" s="366" t="s">
        <v>3450</v>
      </c>
      <c r="L201" s="1276"/>
      <c r="M201" s="1276"/>
      <c r="N201" s="700"/>
    </row>
    <row r="202" spans="1:14" ht="30" hidden="1" customHeight="1">
      <c r="A202" s="700"/>
      <c r="B202" s="700"/>
      <c r="C202" s="1273"/>
      <c r="D202" s="1273"/>
      <c r="E202" s="1274"/>
      <c r="F202" s="1274"/>
      <c r="G202" s="1274"/>
      <c r="H202" s="1275"/>
      <c r="I202" s="1268"/>
      <c r="J202" s="1268"/>
      <c r="K202" s="366" t="s">
        <v>3450</v>
      </c>
      <c r="L202" s="1276"/>
      <c r="M202" s="1276"/>
      <c r="N202" s="700"/>
    </row>
    <row r="203" spans="1:14" ht="30" hidden="1" customHeight="1">
      <c r="A203" s="700"/>
      <c r="B203" s="700"/>
      <c r="C203" s="1273"/>
      <c r="D203" s="1273"/>
      <c r="E203" s="1274"/>
      <c r="F203" s="1274"/>
      <c r="G203" s="1274"/>
      <c r="H203" s="1275"/>
      <c r="I203" s="1268"/>
      <c r="J203" s="1268"/>
      <c r="K203" s="366" t="s">
        <v>3450</v>
      </c>
      <c r="L203" s="1276"/>
      <c r="M203" s="1276"/>
      <c r="N203" s="700"/>
    </row>
    <row r="204" spans="1:14" ht="30" hidden="1" customHeight="1">
      <c r="A204" s="700"/>
      <c r="B204" s="700"/>
      <c r="C204" s="1273"/>
      <c r="D204" s="1273"/>
      <c r="E204" s="1274"/>
      <c r="F204" s="1274"/>
      <c r="G204" s="1274"/>
      <c r="H204" s="1275"/>
      <c r="I204" s="1268"/>
      <c r="J204" s="1268"/>
      <c r="K204" s="366" t="s">
        <v>3450</v>
      </c>
      <c r="L204" s="1276"/>
      <c r="M204" s="1276"/>
      <c r="N204" s="700"/>
    </row>
    <row r="205" spans="1:14" ht="30" hidden="1" customHeight="1">
      <c r="A205" s="700"/>
      <c r="B205" s="700"/>
      <c r="C205" s="1273"/>
      <c r="D205" s="1273"/>
      <c r="E205" s="1274"/>
      <c r="F205" s="1274"/>
      <c r="G205" s="1274"/>
      <c r="H205" s="1275"/>
      <c r="I205" s="1268"/>
      <c r="J205" s="1268"/>
      <c r="K205" s="366" t="s">
        <v>3450</v>
      </c>
      <c r="L205" s="1276"/>
      <c r="M205" s="1276"/>
      <c r="N205" s="700"/>
    </row>
    <row r="206" spans="1:14" ht="30" hidden="1" customHeight="1">
      <c r="A206" s="700"/>
      <c r="B206" s="700"/>
      <c r="C206" s="1273"/>
      <c r="D206" s="1273"/>
      <c r="E206" s="1274"/>
      <c r="F206" s="1274"/>
      <c r="G206" s="1274"/>
      <c r="H206" s="1275"/>
      <c r="I206" s="1268"/>
      <c r="J206" s="1268"/>
      <c r="K206" s="366" t="s">
        <v>3450</v>
      </c>
      <c r="L206" s="1276"/>
      <c r="M206" s="1276"/>
      <c r="N206" s="700"/>
    </row>
    <row r="207" spans="1:14" ht="30" hidden="1" customHeight="1">
      <c r="A207" s="700"/>
      <c r="B207" s="700"/>
      <c r="C207" s="1273"/>
      <c r="D207" s="1273"/>
      <c r="E207" s="1274"/>
      <c r="F207" s="1274"/>
      <c r="G207" s="1274"/>
      <c r="H207" s="1275"/>
      <c r="I207" s="1268"/>
      <c r="J207" s="1268"/>
      <c r="K207" s="366" t="s">
        <v>3450</v>
      </c>
      <c r="L207" s="1276"/>
      <c r="M207" s="1276"/>
      <c r="N207" s="700"/>
    </row>
    <row r="208" spans="1:14" ht="30" hidden="1" customHeight="1">
      <c r="A208" s="700"/>
      <c r="B208" s="700"/>
      <c r="C208" s="1273"/>
      <c r="D208" s="1273"/>
      <c r="E208" s="1274"/>
      <c r="F208" s="1274"/>
      <c r="G208" s="1274"/>
      <c r="H208" s="1275"/>
      <c r="I208" s="1268"/>
      <c r="J208" s="1268"/>
      <c r="K208" s="366" t="s">
        <v>3450</v>
      </c>
      <c r="L208" s="1276"/>
      <c r="M208" s="1276"/>
      <c r="N208" s="700"/>
    </row>
    <row r="209" spans="1:14" ht="30" hidden="1" customHeight="1">
      <c r="A209" s="700"/>
      <c r="B209" s="700"/>
      <c r="C209" s="1273"/>
      <c r="D209" s="1273"/>
      <c r="E209" s="1274"/>
      <c r="F209" s="1274"/>
      <c r="G209" s="1274"/>
      <c r="H209" s="1275"/>
      <c r="I209" s="1268"/>
      <c r="J209" s="1268"/>
      <c r="K209" s="366" t="s">
        <v>3450</v>
      </c>
      <c r="L209" s="1276"/>
      <c r="M209" s="1276"/>
      <c r="N209" s="700"/>
    </row>
    <row r="210" spans="1:14" ht="30" hidden="1" customHeight="1">
      <c r="A210" s="700"/>
      <c r="B210" s="700"/>
      <c r="C210" s="1273"/>
      <c r="D210" s="1273"/>
      <c r="E210" s="1274"/>
      <c r="F210" s="1274"/>
      <c r="G210" s="1274"/>
      <c r="H210" s="1275"/>
      <c r="I210" s="1268"/>
      <c r="J210" s="1268"/>
      <c r="K210" s="366" t="s">
        <v>3450</v>
      </c>
      <c r="L210" s="1276"/>
      <c r="M210" s="1276"/>
      <c r="N210" s="700"/>
    </row>
    <row r="211" spans="1:14" ht="30" hidden="1" customHeight="1">
      <c r="A211" s="700"/>
      <c r="B211" s="700"/>
      <c r="C211" s="1273"/>
      <c r="D211" s="1273"/>
      <c r="E211" s="1274"/>
      <c r="F211" s="1274"/>
      <c r="G211" s="1274"/>
      <c r="H211" s="1275"/>
      <c r="I211" s="1268"/>
      <c r="J211" s="1268"/>
      <c r="K211" s="366" t="s">
        <v>3450</v>
      </c>
      <c r="L211" s="1276"/>
      <c r="M211" s="1276"/>
      <c r="N211" s="700"/>
    </row>
    <row r="212" spans="1:14" ht="30" hidden="1" customHeight="1">
      <c r="A212" s="700"/>
      <c r="B212" s="700"/>
      <c r="C212" s="1273"/>
      <c r="D212" s="1273"/>
      <c r="E212" s="1274"/>
      <c r="F212" s="1274"/>
      <c r="G212" s="1274"/>
      <c r="H212" s="1275"/>
      <c r="I212" s="1268"/>
      <c r="J212" s="1268"/>
      <c r="K212" s="366" t="s">
        <v>3450</v>
      </c>
      <c r="L212" s="1276"/>
      <c r="M212" s="1276"/>
      <c r="N212" s="700"/>
    </row>
    <row r="213" spans="1:14" ht="30" hidden="1" customHeight="1">
      <c r="A213" s="700"/>
      <c r="B213" s="700"/>
      <c r="C213" s="1273"/>
      <c r="D213" s="1273"/>
      <c r="E213" s="1274"/>
      <c r="F213" s="1274"/>
      <c r="G213" s="1274"/>
      <c r="H213" s="1275"/>
      <c r="I213" s="1268"/>
      <c r="J213" s="1268"/>
      <c r="K213" s="366" t="s">
        <v>3450</v>
      </c>
      <c r="L213" s="1276"/>
      <c r="M213" s="1276"/>
      <c r="N213" s="700"/>
    </row>
    <row r="214" spans="1:14" ht="30" hidden="1" customHeight="1">
      <c r="A214" s="700"/>
      <c r="B214" s="700"/>
      <c r="C214" s="1273"/>
      <c r="D214" s="1273"/>
      <c r="E214" s="1274"/>
      <c r="F214" s="1274"/>
      <c r="G214" s="1274"/>
      <c r="H214" s="1275"/>
      <c r="I214" s="1268"/>
      <c r="J214" s="1268"/>
      <c r="K214" s="366" t="s">
        <v>3450</v>
      </c>
      <c r="L214" s="1276"/>
      <c r="M214" s="1276"/>
      <c r="N214" s="700"/>
    </row>
    <row r="215" spans="1:14" ht="30" hidden="1" customHeight="1">
      <c r="A215" s="700"/>
      <c r="B215" s="700"/>
      <c r="C215" s="1273"/>
      <c r="D215" s="1273"/>
      <c r="E215" s="1274"/>
      <c r="F215" s="1274"/>
      <c r="G215" s="1274"/>
      <c r="H215" s="1275"/>
      <c r="I215" s="1268"/>
      <c r="J215" s="1268"/>
      <c r="K215" s="366" t="s">
        <v>3450</v>
      </c>
      <c r="L215" s="1276"/>
      <c r="M215" s="1276"/>
      <c r="N215" s="700"/>
    </row>
    <row r="216" spans="1:14" ht="30" hidden="1" customHeight="1">
      <c r="A216" s="700"/>
      <c r="B216" s="700"/>
      <c r="C216" s="1273"/>
      <c r="D216" s="1273"/>
      <c r="E216" s="1274"/>
      <c r="F216" s="1274"/>
      <c r="G216" s="1274"/>
      <c r="H216" s="1275"/>
      <c r="I216" s="1268"/>
      <c r="J216" s="1268"/>
      <c r="K216" s="366" t="s">
        <v>3450</v>
      </c>
      <c r="L216" s="1276"/>
      <c r="M216" s="1276"/>
      <c r="N216" s="700"/>
    </row>
    <row r="217" spans="1:14" ht="30" hidden="1" customHeight="1">
      <c r="A217" s="700"/>
      <c r="B217" s="700"/>
      <c r="C217" s="1273"/>
      <c r="D217" s="1273"/>
      <c r="E217" s="1274"/>
      <c r="F217" s="1274"/>
      <c r="G217" s="1274"/>
      <c r="H217" s="1275"/>
      <c r="I217" s="1268"/>
      <c r="J217" s="1268"/>
      <c r="K217" s="366" t="s">
        <v>3450</v>
      </c>
      <c r="L217" s="1276"/>
      <c r="M217" s="1276"/>
      <c r="N217" s="700"/>
    </row>
    <row r="218" spans="1:14" ht="30" hidden="1" customHeight="1">
      <c r="A218" s="700"/>
      <c r="B218" s="700"/>
      <c r="C218" s="1273"/>
      <c r="D218" s="1273"/>
      <c r="E218" s="1274"/>
      <c r="F218" s="1274"/>
      <c r="G218" s="1274"/>
      <c r="H218" s="1275"/>
      <c r="I218" s="1268"/>
      <c r="J218" s="1268"/>
      <c r="K218" s="366" t="s">
        <v>3450</v>
      </c>
      <c r="L218" s="1276"/>
      <c r="M218" s="1276"/>
      <c r="N218" s="700"/>
    </row>
    <row r="219" spans="1:14" ht="30" hidden="1" customHeight="1">
      <c r="A219" s="700"/>
      <c r="B219" s="700"/>
      <c r="C219" s="1273"/>
      <c r="D219" s="1273"/>
      <c r="E219" s="1274"/>
      <c r="F219" s="1274"/>
      <c r="G219" s="1274"/>
      <c r="H219" s="1275"/>
      <c r="I219" s="1268"/>
      <c r="J219" s="1268"/>
      <c r="K219" s="366" t="s">
        <v>3450</v>
      </c>
      <c r="L219" s="1276"/>
      <c r="M219" s="1276"/>
      <c r="N219" s="700"/>
    </row>
    <row r="220" spans="1:14" ht="30" hidden="1" customHeight="1">
      <c r="A220" s="700"/>
      <c r="B220" s="700"/>
      <c r="C220" s="1273"/>
      <c r="D220" s="1273"/>
      <c r="E220" s="1274"/>
      <c r="F220" s="1274"/>
      <c r="G220" s="1274"/>
      <c r="H220" s="1275"/>
      <c r="I220" s="1268"/>
      <c r="J220" s="1268"/>
      <c r="K220" s="366" t="s">
        <v>3450</v>
      </c>
      <c r="L220" s="1276"/>
      <c r="M220" s="1276"/>
      <c r="N220" s="700"/>
    </row>
    <row r="221" spans="1:14" ht="30" hidden="1" customHeight="1">
      <c r="A221" s="700"/>
      <c r="B221" s="700"/>
      <c r="C221" s="1273"/>
      <c r="D221" s="1273"/>
      <c r="E221" s="1274"/>
      <c r="F221" s="1274"/>
      <c r="G221" s="1274"/>
      <c r="H221" s="1275"/>
      <c r="I221" s="1268"/>
      <c r="J221" s="1268"/>
      <c r="K221" s="366" t="s">
        <v>3450</v>
      </c>
      <c r="L221" s="1276"/>
      <c r="M221" s="1276"/>
      <c r="N221" s="700"/>
    </row>
    <row r="222" spans="1:14" ht="30" hidden="1" customHeight="1">
      <c r="A222" s="700"/>
      <c r="B222" s="700"/>
      <c r="C222" s="1273"/>
      <c r="D222" s="1273"/>
      <c r="E222" s="1274"/>
      <c r="F222" s="1274"/>
      <c r="G222" s="1274"/>
      <c r="H222" s="1275"/>
      <c r="I222" s="1268"/>
      <c r="J222" s="1268"/>
      <c r="K222" s="366" t="s">
        <v>3450</v>
      </c>
      <c r="L222" s="1276"/>
      <c r="M222" s="1276"/>
      <c r="N222" s="700"/>
    </row>
    <row r="223" spans="1:14" ht="30" hidden="1" customHeight="1">
      <c r="A223" s="700"/>
      <c r="B223" s="700"/>
      <c r="C223" s="1273"/>
      <c r="D223" s="1273"/>
      <c r="E223" s="1274"/>
      <c r="F223" s="1274"/>
      <c r="G223" s="1274"/>
      <c r="H223" s="1275"/>
      <c r="I223" s="1268"/>
      <c r="J223" s="1268"/>
      <c r="K223" s="366" t="s">
        <v>3450</v>
      </c>
      <c r="L223" s="1276"/>
      <c r="M223" s="1276"/>
      <c r="N223" s="700"/>
    </row>
    <row r="224" spans="1:14" ht="30" hidden="1" customHeight="1">
      <c r="A224" s="700"/>
      <c r="B224" s="700"/>
      <c r="C224" s="1273"/>
      <c r="D224" s="1273"/>
      <c r="E224" s="1274"/>
      <c r="F224" s="1274"/>
      <c r="G224" s="1274"/>
      <c r="H224" s="1275"/>
      <c r="I224" s="1268"/>
      <c r="J224" s="1268"/>
      <c r="K224" s="366" t="s">
        <v>3450</v>
      </c>
      <c r="L224" s="1276"/>
      <c r="M224" s="1276"/>
      <c r="N224" s="700"/>
    </row>
    <row r="225" spans="1:14" ht="30" hidden="1" customHeight="1">
      <c r="A225" s="700"/>
      <c r="B225" s="700"/>
      <c r="C225" s="1273"/>
      <c r="D225" s="1273"/>
      <c r="E225" s="1274"/>
      <c r="F225" s="1274"/>
      <c r="G225" s="1274"/>
      <c r="H225" s="1275"/>
      <c r="I225" s="1268"/>
      <c r="J225" s="1268"/>
      <c r="K225" s="366" t="s">
        <v>3450</v>
      </c>
      <c r="L225" s="1276"/>
      <c r="M225" s="1276"/>
      <c r="N225" s="700"/>
    </row>
    <row r="226" spans="1:14" ht="33.950000000000003" customHeight="1">
      <c r="C226" s="264"/>
      <c r="D226" s="264"/>
      <c r="E226" s="682"/>
      <c r="F226" s="765"/>
      <c r="G226"/>
      <c r="H226" s="1281"/>
      <c r="I226" s="1268"/>
      <c r="J226" s="1268"/>
      <c r="K226" s="366" t="s">
        <v>3451</v>
      </c>
      <c r="L226" s="1835"/>
      <c r="M226" s="1836"/>
    </row>
    <row r="227" spans="1:14" ht="33.950000000000003" customHeight="1">
      <c r="C227" s="767"/>
      <c r="D227" s="767"/>
      <c r="E227" s="255"/>
      <c r="F227" s="702"/>
      <c r="G227" s="761"/>
      <c r="H227" s="1281"/>
      <c r="I227" s="1281"/>
      <c r="J227" s="1281"/>
      <c r="K227" s="1281"/>
      <c r="L227" s="1277"/>
      <c r="M227" s="1278"/>
    </row>
    <row r="228" spans="1:14" ht="50.25" customHeight="1">
      <c r="C228" s="1841"/>
      <c r="D228" s="1841"/>
      <c r="E228" s="1841"/>
      <c r="F228" s="1841"/>
      <c r="G228" s="1841"/>
      <c r="H228" s="1281"/>
      <c r="I228" s="1281"/>
      <c r="J228" s="1281"/>
      <c r="K228" s="1281"/>
      <c r="L228" s="1277"/>
      <c r="M228" s="1278"/>
    </row>
    <row r="229" spans="1:14" ht="30" customHeight="1">
      <c r="C229" s="763"/>
      <c r="D229" s="763"/>
      <c r="E229" s="763"/>
      <c r="F229" s="763"/>
      <c r="G229" s="763"/>
      <c r="H229" s="1831"/>
      <c r="I229" s="1831"/>
      <c r="J229" s="1831"/>
      <c r="K229" s="1831"/>
      <c r="L229" s="762"/>
      <c r="M229" s="572"/>
    </row>
    <row r="230" spans="1:14">
      <c r="C230" s="763"/>
      <c r="D230" s="763"/>
      <c r="E230" s="763"/>
      <c r="F230" s="763"/>
      <c r="G230" s="763"/>
      <c r="K230" s="115"/>
      <c r="L230" s="115"/>
      <c r="M230" s="115"/>
    </row>
    <row r="231" spans="1:14" ht="25.5">
      <c r="C231" s="1279"/>
      <c r="D231" s="1279"/>
      <c r="E231" s="1280"/>
      <c r="G231" s="9"/>
      <c r="H231" s="72"/>
      <c r="M231" s="5"/>
    </row>
    <row r="232" spans="1:14" ht="25.5">
      <c r="C232" s="1253"/>
      <c r="D232" s="1253"/>
      <c r="E232" s="718"/>
      <c r="F232" s="1261"/>
      <c r="G232" s="133"/>
      <c r="M232" s="5"/>
    </row>
    <row r="233" spans="1:14">
      <c r="C233" s="1253"/>
      <c r="D233" s="1253"/>
      <c r="E233" s="718"/>
      <c r="F233" s="1260"/>
      <c r="G233" s="133"/>
      <c r="M233" s="5"/>
    </row>
    <row r="234" spans="1:14">
      <c r="C234" s="1253"/>
      <c r="D234" s="1253"/>
      <c r="E234" s="754"/>
      <c r="F234" s="1260"/>
      <c r="G234" s="133"/>
      <c r="M234" s="5"/>
    </row>
    <row r="235" spans="1:14">
      <c r="F235" s="719"/>
      <c r="G235"/>
      <c r="M235" s="5"/>
    </row>
    <row r="236" spans="1:14">
      <c r="C236" s="5"/>
      <c r="D236" s="5"/>
      <c r="E236" s="1254"/>
      <c r="F236" s="1254"/>
      <c r="G236"/>
      <c r="M236" s="5"/>
    </row>
    <row r="237" spans="1:14" ht="33.75" customHeight="1">
      <c r="C237" s="1255"/>
      <c r="D237" s="1255"/>
      <c r="E237" s="1251"/>
      <c r="F237" s="1251"/>
      <c r="G237" s="1251"/>
      <c r="H237" s="1251"/>
      <c r="I237" s="1252"/>
      <c r="J237" s="1252"/>
      <c r="K237" s="1252"/>
      <c r="L237" s="1252"/>
      <c r="M237" s="1252"/>
    </row>
    <row r="238" spans="1:14" ht="26.25" customHeight="1">
      <c r="A238" s="3"/>
      <c r="B238" s="3"/>
      <c r="C238" s="1256"/>
      <c r="D238" s="1256"/>
      <c r="E238" s="1257"/>
      <c r="F238" s="1257"/>
      <c r="G238" s="1257"/>
      <c r="H238" s="1257"/>
      <c r="I238" s="1258"/>
      <c r="J238" s="1258"/>
      <c r="K238" s="1258"/>
      <c r="L238" s="1258"/>
      <c r="M238" s="1258"/>
      <c r="N238" s="3"/>
    </row>
    <row r="239" spans="1:14" ht="15">
      <c r="C239" s="9"/>
      <c r="D239" s="9"/>
      <c r="E239" s="9"/>
      <c r="F239" s="9"/>
      <c r="G239" s="11"/>
      <c r="H239" s="1259"/>
    </row>
    <row r="240" spans="1:14" ht="15">
      <c r="E240"/>
      <c r="F240"/>
      <c r="G240"/>
    </row>
    <row r="241" spans="3:13">
      <c r="C241" s="1832"/>
      <c r="D241" s="1832"/>
      <c r="E241" s="1832"/>
      <c r="F241" s="1832"/>
      <c r="G241" s="1832"/>
      <c r="H241" s="1832"/>
      <c r="I241" s="5"/>
      <c r="J241" s="5"/>
      <c r="K241" s="1832"/>
      <c r="L241" s="1832"/>
      <c r="M241" s="1832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Q19" sqref="Q19"/>
    </sheetView>
  </sheetViews>
  <sheetFormatPr defaultRowHeight="23.25"/>
  <cols>
    <col min="1" max="1" width="1.710937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1248" t="s">
        <v>3228</v>
      </c>
      <c r="O1" s="1248"/>
      <c r="P1" s="1247"/>
      <c r="Q1" s="1248" t="s">
        <v>3229</v>
      </c>
      <c r="R1" s="1247"/>
      <c r="S1" s="1247"/>
      <c r="T1" s="1247"/>
    </row>
    <row r="2" spans="2:79" ht="36.75" customHeight="1"/>
    <row r="3" spans="2:79" ht="4.5" customHeight="1">
      <c r="C3" s="1830"/>
      <c r="D3" s="1830"/>
      <c r="E3" s="1830"/>
      <c r="F3" s="1830"/>
      <c r="G3" s="1830"/>
      <c r="H3" s="1830"/>
      <c r="I3" s="1830"/>
      <c r="J3" s="1830"/>
      <c r="K3" s="1830"/>
      <c r="N3" s="146"/>
      <c r="BK3" t="s">
        <v>1908</v>
      </c>
      <c r="BM3" s="688" t="s">
        <v>125</v>
      </c>
      <c r="BN3" s="688">
        <v>1</v>
      </c>
      <c r="BO3" s="688">
        <v>1</v>
      </c>
      <c r="BP3" s="688">
        <v>6</v>
      </c>
      <c r="BQ3" s="688" t="s">
        <v>126</v>
      </c>
      <c r="BR3" s="688">
        <v>2</v>
      </c>
      <c r="BS3" s="688">
        <v>6</v>
      </c>
      <c r="BT3" s="688">
        <v>0</v>
      </c>
      <c r="BU3" s="688">
        <v>0</v>
      </c>
      <c r="BV3" s="688">
        <v>0</v>
      </c>
      <c r="BW3" s="688">
        <v>0</v>
      </c>
      <c r="BX3" s="688">
        <v>1</v>
      </c>
      <c r="BY3" s="688">
        <v>2</v>
      </c>
      <c r="BZ3" s="688">
        <v>7</v>
      </c>
      <c r="CA3" s="689">
        <v>1</v>
      </c>
    </row>
    <row r="4" spans="2:79" ht="34.5" customHeight="1">
      <c r="B4" s="690"/>
      <c r="C4" s="745" t="str">
        <f>Setting!D9</f>
        <v>គោកស្នួល ខនស្រ្តាក់សិន មេធៀរៀល</v>
      </c>
      <c r="D4" s="1249"/>
      <c r="E4" s="1249"/>
      <c r="F4" s="1249"/>
      <c r="G4" s="745"/>
      <c r="H4" s="745"/>
      <c r="I4" s="745"/>
      <c r="J4" s="745"/>
      <c r="K4" s="745"/>
      <c r="N4" s="676" t="s">
        <v>3230</v>
      </c>
      <c r="O4" s="753"/>
      <c r="Q4" s="68" t="s">
        <v>3232</v>
      </c>
      <c r="R4" s="1850"/>
      <c r="S4" s="1850"/>
    </row>
    <row r="5" spans="2:79" s="5" customFormat="1" ht="30.75" customHeight="1">
      <c r="B5" s="691"/>
      <c r="C5" s="1329" t="str">
        <f>Setting!E9</f>
        <v>KORK SNUOL CONSTRUCTION MATERIAL</v>
      </c>
      <c r="D5" s="1250"/>
      <c r="E5" s="1250"/>
      <c r="F5" s="1250"/>
      <c r="G5" s="692"/>
      <c r="H5" s="692"/>
      <c r="I5" s="692"/>
      <c r="J5" s="692"/>
      <c r="K5" s="692"/>
      <c r="N5" s="676" t="s">
        <v>1979</v>
      </c>
      <c r="O5" s="747" t="s">
        <v>1956</v>
      </c>
      <c r="P5"/>
      <c r="Q5" s="68" t="s">
        <v>3233</v>
      </c>
      <c r="R5" s="756">
        <v>0</v>
      </c>
      <c r="S5" s="755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691"/>
      <c r="C6" s="264" t="str">
        <f>N5&amp;print_inv_branch_address_kh</f>
        <v>អាសយដ្ឋាន ៖ ភូមិគោកស្នួល ឃុំខ្នាត ស្រុកពួក ខេត្តសៀមរាប</v>
      </c>
      <c r="D6" s="692"/>
      <c r="E6" s="692"/>
      <c r="F6" s="692"/>
      <c r="G6" s="692"/>
      <c r="H6" s="692"/>
      <c r="I6" s="692"/>
      <c r="J6" s="692"/>
      <c r="K6" s="692"/>
      <c r="M6" s="220"/>
      <c r="N6" s="676" t="s">
        <v>1981</v>
      </c>
      <c r="O6" s="758" t="s">
        <v>119</v>
      </c>
      <c r="P6" s="204"/>
      <c r="Q6" s="757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691"/>
      <c r="C7" s="264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692"/>
      <c r="E7" s="692"/>
      <c r="F7" s="692"/>
      <c r="G7" s="692"/>
      <c r="H7" s="692"/>
      <c r="I7" s="692"/>
      <c r="J7" s="692"/>
      <c r="K7" s="692"/>
      <c r="N7" s="676" t="s">
        <v>1982</v>
      </c>
      <c r="O7" s="747" t="s">
        <v>1957</v>
      </c>
      <c r="P7" s="204"/>
      <c r="Q7" s="757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690"/>
      <c r="C8" s="746" t="s">
        <v>1980</v>
      </c>
      <c r="D8" s="720"/>
      <c r="E8" s="720"/>
      <c r="F8" s="720"/>
      <c r="G8" s="720"/>
      <c r="H8" s="720"/>
      <c r="I8" s="720"/>
      <c r="J8" s="720"/>
      <c r="K8" s="721"/>
      <c r="N8" s="256" t="s">
        <v>3231</v>
      </c>
      <c r="O8" s="747"/>
      <c r="P8" s="204"/>
      <c r="Q8" s="757"/>
      <c r="R8" s="204"/>
      <c r="S8" s="204"/>
      <c r="T8" s="204"/>
      <c r="U8" s="204"/>
      <c r="V8" s="204"/>
      <c r="W8" s="204"/>
    </row>
    <row r="9" spans="2:79" ht="3.75" customHeight="1">
      <c r="B9" s="693"/>
      <c r="G9" s="45"/>
      <c r="J9" s="694"/>
      <c r="K9" s="694"/>
      <c r="N9" s="366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1.5" customHeight="1">
      <c r="B10" s="693"/>
      <c r="D10"/>
      <c r="E10"/>
      <c r="F10"/>
      <c r="G10" s="1852"/>
      <c r="H10" s="1852"/>
      <c r="I10" s="166"/>
      <c r="J10" s="166"/>
      <c r="K10" s="166"/>
      <c r="N10" s="366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2.25" customHeight="1">
      <c r="B11" s="693"/>
      <c r="C11" s="1851"/>
      <c r="D11" s="1851"/>
      <c r="E11" s="686"/>
      <c r="G11" s="1852"/>
      <c r="H11" s="1852"/>
      <c r="I11"/>
      <c r="M11" s="81"/>
      <c r="N11" s="366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693"/>
      <c r="C12" s="730" t="s">
        <v>1939</v>
      </c>
      <c r="D12" s="3"/>
      <c r="E12" s="3"/>
      <c r="G12" s="1852"/>
      <c r="H12" s="1852"/>
      <c r="I12" s="797"/>
      <c r="J12" s="798" t="s">
        <v>1970</v>
      </c>
      <c r="K12" s="1318" t="s">
        <v>3636</v>
      </c>
      <c r="L12" s="150"/>
      <c r="M12" s="3"/>
      <c r="N12" s="366"/>
      <c r="O12" s="256"/>
      <c r="P12" s="204"/>
      <c r="Q12" s="204"/>
      <c r="R12" s="204"/>
      <c r="S12" s="251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693"/>
      <c r="C13" s="1853" t="s">
        <v>3637</v>
      </c>
      <c r="D13" s="1854"/>
      <c r="E13" s="1854"/>
      <c r="F13" s="1855"/>
      <c r="G13" s="1852"/>
      <c r="H13" s="1852"/>
      <c r="I13" s="800"/>
      <c r="J13" s="772" t="s">
        <v>1971</v>
      </c>
      <c r="K13" s="801">
        <v>46216</v>
      </c>
      <c r="L13" s="150"/>
      <c r="M13" s="3"/>
      <c r="N13" s="366"/>
      <c r="O13" s="256"/>
      <c r="P13" s="204"/>
      <c r="Q13" s="204"/>
      <c r="R13" s="204"/>
      <c r="S13" s="251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693"/>
      <c r="C14" s="1856"/>
      <c r="D14" s="1857"/>
      <c r="E14" s="1857"/>
      <c r="F14" s="1858"/>
      <c r="G14" s="1852"/>
      <c r="H14" s="1852"/>
      <c r="I14" s="802"/>
      <c r="J14" s="803" t="s">
        <v>1972</v>
      </c>
      <c r="K14" s="804"/>
      <c r="M14"/>
      <c r="N14" s="366"/>
      <c r="O14" s="256"/>
      <c r="P14" s="204"/>
      <c r="Q14" s="204"/>
      <c r="R14" s="204"/>
      <c r="S14" s="251"/>
      <c r="T14" s="204"/>
      <c r="U14" s="204"/>
      <c r="V14" s="204"/>
      <c r="W14" s="204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366"/>
      <c r="O15" s="256"/>
      <c r="P15" s="204"/>
      <c r="Q15" s="204"/>
      <c r="R15" s="204"/>
      <c r="S15" s="251"/>
      <c r="T15" s="204"/>
      <c r="U15" s="204"/>
      <c r="V15" s="204"/>
      <c r="W15" s="204"/>
    </row>
    <row r="16" spans="2:79" ht="32.25" customHeight="1">
      <c r="B16" s="58">
        <v>-9</v>
      </c>
      <c r="C16" s="773" t="s">
        <v>3465</v>
      </c>
      <c r="D16" s="774"/>
      <c r="E16" s="774"/>
      <c r="F16" s="775"/>
      <c r="G16" s="775"/>
      <c r="H16" s="776"/>
      <c r="I16" s="777"/>
      <c r="J16" s="778"/>
      <c r="K16" s="779"/>
      <c r="L16" s="58"/>
      <c r="N16" s="366"/>
      <c r="O16" s="256"/>
      <c r="P16" s="204"/>
      <c r="Q16" s="204"/>
      <c r="R16" s="204"/>
      <c r="S16" s="251"/>
      <c r="T16" s="204"/>
      <c r="U16" s="204"/>
      <c r="V16" s="204"/>
      <c r="W16" s="204"/>
    </row>
    <row r="17" spans="1:28" ht="27">
      <c r="B17" s="58"/>
      <c r="C17" s="780" t="s">
        <v>1966</v>
      </c>
      <c r="D17" s="695"/>
      <c r="E17" s="781" t="s">
        <v>102</v>
      </c>
      <c r="F17" s="1848" t="s">
        <v>3632</v>
      </c>
      <c r="G17" s="1848"/>
      <c r="H17" s="1848"/>
      <c r="I17" s="1848"/>
      <c r="J17" s="1848"/>
      <c r="K17" s="1849"/>
      <c r="L17" s="58"/>
      <c r="M17" s="37"/>
      <c r="N17" s="366"/>
      <c r="O17" s="256"/>
      <c r="P17" s="204"/>
      <c r="Q17" s="204"/>
      <c r="R17" s="204"/>
      <c r="S17" s="251"/>
      <c r="T17" s="204"/>
      <c r="U17" s="204"/>
      <c r="V17" s="204"/>
      <c r="W17" s="204"/>
    </row>
    <row r="18" spans="1:28" s="3" customFormat="1" ht="20.100000000000001" customHeight="1">
      <c r="B18" s="726"/>
      <c r="C18" s="787" t="s">
        <v>1967</v>
      </c>
      <c r="D18" s="772"/>
      <c r="E18" s="781"/>
      <c r="F18" s="748"/>
      <c r="G18" s="749"/>
      <c r="H18" s="749"/>
      <c r="I18" s="749"/>
      <c r="J18" s="749"/>
      <c r="K18" s="788"/>
      <c r="L18" s="727"/>
      <c r="M18" s="728"/>
      <c r="N18" s="366"/>
      <c r="O18" s="256"/>
      <c r="P18" s="204"/>
      <c r="Q18" s="204"/>
      <c r="R18" s="204"/>
      <c r="S18" s="251"/>
      <c r="T18" s="204"/>
      <c r="U18" s="204"/>
      <c r="V18" s="204"/>
      <c r="W18" s="204"/>
    </row>
    <row r="19" spans="1:28" ht="30" customHeight="1">
      <c r="B19" s="58"/>
      <c r="C19" s="780" t="s">
        <v>1973</v>
      </c>
      <c r="D19" s="695"/>
      <c r="E19" s="781" t="s">
        <v>102</v>
      </c>
      <c r="F19" s="750"/>
      <c r="G19" s="751"/>
      <c r="H19" s="751"/>
      <c r="I19" s="751"/>
      <c r="J19" s="751"/>
      <c r="K19" s="789"/>
      <c r="L19" s="58"/>
      <c r="N19" s="366"/>
      <c r="O19" s="256"/>
      <c r="P19" s="204"/>
      <c r="Q19" s="204"/>
      <c r="R19" s="204"/>
      <c r="S19" s="251"/>
      <c r="T19" s="204"/>
      <c r="U19" s="204"/>
      <c r="V19" s="204"/>
      <c r="W19" s="204"/>
    </row>
    <row r="20" spans="1:28" ht="30" customHeight="1">
      <c r="B20" s="58"/>
      <c r="C20" s="790" t="s">
        <v>1968</v>
      </c>
      <c r="D20" s="695"/>
      <c r="E20" s="781" t="s">
        <v>102</v>
      </c>
      <c r="F20" s="251"/>
      <c r="G20" s="328"/>
      <c r="H20" s="328"/>
      <c r="I20" s="328"/>
      <c r="J20" s="328"/>
      <c r="K20" s="791"/>
      <c r="L20" s="58"/>
      <c r="M20" s="58"/>
      <c r="N20" s="366"/>
      <c r="O20" s="256"/>
      <c r="P20" s="204"/>
      <c r="Q20" s="204"/>
      <c r="R20" s="204"/>
      <c r="S20" s="251"/>
      <c r="T20" s="204"/>
      <c r="U20" s="204"/>
      <c r="V20" s="204"/>
      <c r="W20" s="204"/>
    </row>
    <row r="21" spans="1:28" ht="20.100000000000001" customHeight="1">
      <c r="B21" s="5"/>
      <c r="C21" s="787" t="s">
        <v>1969</v>
      </c>
      <c r="D21" s="792"/>
      <c r="E21" s="781"/>
      <c r="F21" s="729"/>
      <c r="G21" s="748"/>
      <c r="H21" s="748"/>
      <c r="I21" s="748"/>
      <c r="J21" s="748"/>
      <c r="K21" s="793"/>
      <c r="L21" s="5"/>
      <c r="M21" s="5"/>
      <c r="N21" s="366"/>
      <c r="O21" s="256"/>
      <c r="P21" s="204"/>
      <c r="Q21" s="204"/>
      <c r="R21" s="204"/>
      <c r="S21" s="251"/>
      <c r="T21" s="204"/>
      <c r="U21" s="204"/>
      <c r="V21" s="204"/>
      <c r="W21" s="204"/>
    </row>
    <row r="22" spans="1:28" ht="30" customHeight="1">
      <c r="B22" s="5"/>
      <c r="C22" s="794" t="s">
        <v>1974</v>
      </c>
      <c r="D22" s="795"/>
      <c r="E22" s="796" t="s">
        <v>102</v>
      </c>
      <c r="F22" s="1846"/>
      <c r="G22" s="1846"/>
      <c r="H22" s="1846"/>
      <c r="I22" s="1846"/>
      <c r="J22" s="1846"/>
      <c r="K22" s="1847"/>
      <c r="L22" s="5"/>
      <c r="M22" s="5"/>
      <c r="N22" s="366"/>
      <c r="O22" s="256"/>
      <c r="P22" s="204"/>
      <c r="Q22" s="204"/>
      <c r="R22" s="204"/>
      <c r="S22" s="251"/>
      <c r="T22" s="204"/>
      <c r="U22" s="204"/>
      <c r="V22" s="204"/>
      <c r="W22" s="204"/>
    </row>
    <row r="23" spans="1:28" ht="5.25" customHeight="1">
      <c r="B23" s="5"/>
      <c r="C23" s="697"/>
      <c r="D23" s="697"/>
      <c r="E23" s="697"/>
      <c r="F23" s="1833"/>
      <c r="G23" s="1833"/>
      <c r="H23" s="1833"/>
      <c r="I23" s="695"/>
      <c r="J23" s="695"/>
      <c r="K23" s="696"/>
      <c r="L23" s="5"/>
      <c r="O23" t="s">
        <v>3191</v>
      </c>
      <c r="S23" s="139"/>
    </row>
    <row r="24" spans="1:28" s="4" customFormat="1" ht="1.5" customHeight="1">
      <c r="B24"/>
      <c r="D24" s="64"/>
      <c r="E24" s="64"/>
      <c r="F24" s="65"/>
      <c r="G24" s="66"/>
      <c r="H24" s="280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698" customFormat="1" ht="27">
      <c r="C25" s="1378" t="s">
        <v>176</v>
      </c>
      <c r="D25" s="1862" t="s">
        <v>1965</v>
      </c>
      <c r="E25" s="1863"/>
      <c r="F25" s="1864"/>
      <c r="G25" s="1378" t="s">
        <v>151</v>
      </c>
      <c r="H25" s="1378" t="s">
        <v>152</v>
      </c>
      <c r="I25" s="1378" t="s">
        <v>106</v>
      </c>
      <c r="J25" s="1378" t="s">
        <v>99</v>
      </c>
      <c r="K25" s="1378" t="s">
        <v>99</v>
      </c>
      <c r="M25" s="699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700" customFormat="1" ht="15.75">
      <c r="C26" s="1394" t="s">
        <v>1940</v>
      </c>
      <c r="D26" s="1859" t="s">
        <v>3535</v>
      </c>
      <c r="E26" s="1860"/>
      <c r="F26" s="1861"/>
      <c r="G26" s="1394" t="s">
        <v>19</v>
      </c>
      <c r="H26" s="1394" t="s">
        <v>76</v>
      </c>
      <c r="I26" s="1394" t="s">
        <v>29</v>
      </c>
      <c r="J26" s="1394" t="s">
        <v>1985</v>
      </c>
      <c r="K26" s="1394" t="s">
        <v>1986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700" customFormat="1" ht="30" customHeight="1">
      <c r="A27" s="769">
        <v>1</v>
      </c>
      <c r="C27" s="736" t="s">
        <v>2708</v>
      </c>
      <c r="D27" s="731" t="s">
        <v>3634</v>
      </c>
      <c r="E27" s="732"/>
      <c r="F27" s="733"/>
      <c r="G27" s="867" t="s">
        <v>2307</v>
      </c>
      <c r="H27" s="734">
        <v>2</v>
      </c>
      <c r="I27" s="741">
        <v>28.5</v>
      </c>
      <c r="J27" s="741">
        <v>57</v>
      </c>
      <c r="K27" s="742">
        <v>229368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700" customFormat="1" ht="30" customHeight="1">
      <c r="A28" s="769">
        <v>2</v>
      </c>
      <c r="C28" s="736" t="s">
        <v>2709</v>
      </c>
      <c r="D28" s="731" t="s">
        <v>3638</v>
      </c>
      <c r="E28" s="732"/>
      <c r="F28" s="733"/>
      <c r="G28" s="867" t="s">
        <v>2307</v>
      </c>
      <c r="H28" s="734">
        <v>2</v>
      </c>
      <c r="I28" s="741">
        <v>12</v>
      </c>
      <c r="J28" s="741">
        <v>24</v>
      </c>
      <c r="K28" s="742">
        <v>96576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700" customFormat="1" ht="30" customHeight="1">
      <c r="A29" s="769">
        <v>3</v>
      </c>
      <c r="C29" s="736" t="s">
        <v>2710</v>
      </c>
      <c r="D29" s="731" t="s">
        <v>3639</v>
      </c>
      <c r="E29" s="732"/>
      <c r="F29" s="733"/>
      <c r="G29" s="867" t="s">
        <v>2307</v>
      </c>
      <c r="H29" s="734">
        <v>2</v>
      </c>
      <c r="I29" s="741">
        <v>9.5</v>
      </c>
      <c r="J29" s="741">
        <v>19</v>
      </c>
      <c r="K29" s="742">
        <v>76456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700" customFormat="1" ht="30" customHeight="1">
      <c r="A30" s="769">
        <v>4</v>
      </c>
      <c r="C30" s="736" t="s">
        <v>2711</v>
      </c>
      <c r="D30" s="731" t="s">
        <v>3640</v>
      </c>
      <c r="E30" s="732"/>
      <c r="F30" s="733"/>
      <c r="G30" s="867" t="s">
        <v>2307</v>
      </c>
      <c r="H30" s="734">
        <v>2</v>
      </c>
      <c r="I30" s="741">
        <v>6.5</v>
      </c>
      <c r="J30" s="741">
        <v>13</v>
      </c>
      <c r="K30" s="742">
        <v>52312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700" customFormat="1" ht="30" customHeight="1">
      <c r="A31" s="769">
        <v>5</v>
      </c>
      <c r="C31" s="736" t="s">
        <v>2712</v>
      </c>
      <c r="D31" s="731" t="s">
        <v>3641</v>
      </c>
      <c r="E31" s="732"/>
      <c r="F31" s="733"/>
      <c r="G31" s="867" t="s">
        <v>2307</v>
      </c>
      <c r="H31" s="734">
        <v>2</v>
      </c>
      <c r="I31" s="741">
        <v>4.25</v>
      </c>
      <c r="J31" s="741">
        <v>8.5</v>
      </c>
      <c r="K31" s="742">
        <v>34204</v>
      </c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700" customFormat="1" ht="30" customHeight="1">
      <c r="A32" s="769">
        <v>6</v>
      </c>
      <c r="C32" s="736" t="s">
        <v>2713</v>
      </c>
      <c r="D32" s="731" t="s">
        <v>3642</v>
      </c>
      <c r="E32" s="732"/>
      <c r="F32" s="733"/>
      <c r="G32" s="867" t="s">
        <v>2307</v>
      </c>
      <c r="H32" s="734">
        <v>2</v>
      </c>
      <c r="I32" s="741">
        <v>3.5</v>
      </c>
      <c r="J32" s="741">
        <v>7</v>
      </c>
      <c r="K32" s="742">
        <v>28168</v>
      </c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700" customFormat="1" ht="30" customHeight="1">
      <c r="A33" s="769">
        <v>7</v>
      </c>
      <c r="C33" s="736" t="s">
        <v>2714</v>
      </c>
      <c r="D33" s="731" t="s">
        <v>3643</v>
      </c>
      <c r="E33" s="732"/>
      <c r="F33" s="733"/>
      <c r="G33" s="867" t="s">
        <v>2307</v>
      </c>
      <c r="H33" s="734">
        <v>2</v>
      </c>
      <c r="I33" s="741">
        <v>2.5</v>
      </c>
      <c r="J33" s="741">
        <v>5</v>
      </c>
      <c r="K33" s="742">
        <v>20120</v>
      </c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700" customFormat="1" ht="30" customHeight="1">
      <c r="A34" s="769">
        <v>8</v>
      </c>
      <c r="C34" s="736" t="s">
        <v>2715</v>
      </c>
      <c r="D34" s="731" t="s">
        <v>3644</v>
      </c>
      <c r="E34" s="732"/>
      <c r="F34" s="733"/>
      <c r="G34" s="867" t="s">
        <v>2307</v>
      </c>
      <c r="H34" s="734">
        <v>2</v>
      </c>
      <c r="I34" s="741">
        <v>1.75</v>
      </c>
      <c r="J34" s="741">
        <v>3.5</v>
      </c>
      <c r="K34" s="742">
        <v>14084</v>
      </c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700" customFormat="1" ht="30" customHeight="1">
      <c r="A35" s="769">
        <v>9</v>
      </c>
      <c r="C35" s="736" t="s">
        <v>2716</v>
      </c>
      <c r="D35" s="731" t="s">
        <v>3645</v>
      </c>
      <c r="E35" s="732"/>
      <c r="F35" s="733"/>
      <c r="G35" s="867" t="s">
        <v>2307</v>
      </c>
      <c r="H35" s="734">
        <v>2</v>
      </c>
      <c r="I35" s="741">
        <v>1.5</v>
      </c>
      <c r="J35" s="741">
        <v>3</v>
      </c>
      <c r="K35" s="742">
        <v>12072</v>
      </c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700" customFormat="1" ht="30" customHeight="1">
      <c r="A36" s="769">
        <v>10</v>
      </c>
      <c r="C36" s="736" t="s">
        <v>2326</v>
      </c>
      <c r="D36" s="731" t="s">
        <v>3646</v>
      </c>
      <c r="E36" s="732"/>
      <c r="F36" s="733"/>
      <c r="G36" s="867" t="s">
        <v>2307</v>
      </c>
      <c r="H36" s="734">
        <v>2</v>
      </c>
      <c r="I36" s="741">
        <v>15.5</v>
      </c>
      <c r="J36" s="741">
        <v>31</v>
      </c>
      <c r="K36" s="742">
        <v>124744</v>
      </c>
      <c r="N36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700" customFormat="1" ht="30" hidden="1" customHeight="1">
      <c r="A37" s="769">
        <v>11</v>
      </c>
      <c r="C37" s="736"/>
      <c r="D37" s="731"/>
      <c r="E37" s="732"/>
      <c r="F37" s="733"/>
      <c r="G37" s="867"/>
      <c r="H37" s="734"/>
      <c r="I37" s="741"/>
      <c r="J37" s="741"/>
      <c r="K37" s="742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00" customFormat="1" ht="30" hidden="1" customHeight="1">
      <c r="A38" s="769">
        <v>12</v>
      </c>
      <c r="C38" s="736"/>
      <c r="D38" s="731"/>
      <c r="E38" s="732"/>
      <c r="F38" s="733"/>
      <c r="G38" s="867"/>
      <c r="H38" s="734"/>
      <c r="I38" s="741"/>
      <c r="J38" s="741"/>
      <c r="K38" s="742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00" customFormat="1" ht="30" hidden="1" customHeight="1">
      <c r="A39" s="769">
        <v>13</v>
      </c>
      <c r="C39" s="736"/>
      <c r="D39" s="731"/>
      <c r="E39" s="732"/>
      <c r="F39" s="733"/>
      <c r="G39" s="867"/>
      <c r="H39" s="734"/>
      <c r="I39" s="741"/>
      <c r="J39" s="741"/>
      <c r="K39" s="742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00" customFormat="1" ht="30" hidden="1" customHeight="1">
      <c r="A40" s="769">
        <v>14</v>
      </c>
      <c r="C40" s="736"/>
      <c r="D40" s="731"/>
      <c r="E40" s="732"/>
      <c r="F40" s="733"/>
      <c r="G40" s="867"/>
      <c r="H40" s="734"/>
      <c r="I40" s="741"/>
      <c r="J40" s="741"/>
      <c r="K40" s="742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00" customFormat="1" ht="30" hidden="1" customHeight="1">
      <c r="A41" s="769">
        <v>15</v>
      </c>
      <c r="C41" s="736"/>
      <c r="D41" s="731"/>
      <c r="E41" s="732"/>
      <c r="F41" s="733"/>
      <c r="G41" s="867"/>
      <c r="H41" s="734"/>
      <c r="I41" s="741"/>
      <c r="J41" s="741"/>
      <c r="K41" s="742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00" customFormat="1" ht="30" hidden="1" customHeight="1">
      <c r="A42" s="769">
        <v>16</v>
      </c>
      <c r="C42" s="736"/>
      <c r="D42" s="731"/>
      <c r="E42" s="732"/>
      <c r="F42" s="733"/>
      <c r="G42" s="867"/>
      <c r="H42" s="734"/>
      <c r="I42" s="741"/>
      <c r="J42" s="741"/>
      <c r="K42" s="7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00" customFormat="1" ht="30" hidden="1" customHeight="1">
      <c r="A43" s="769">
        <v>17</v>
      </c>
      <c r="C43" s="736"/>
      <c r="D43" s="731"/>
      <c r="E43" s="732"/>
      <c r="F43" s="733"/>
      <c r="G43" s="867"/>
      <c r="H43" s="734"/>
      <c r="I43" s="741"/>
      <c r="J43" s="741"/>
      <c r="K43" s="742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00" customFormat="1" ht="30" hidden="1" customHeight="1">
      <c r="A44" s="769">
        <v>18</v>
      </c>
      <c r="C44" s="736"/>
      <c r="D44" s="731"/>
      <c r="E44" s="732"/>
      <c r="F44" s="733"/>
      <c r="G44" s="867"/>
      <c r="H44" s="734"/>
      <c r="I44" s="741"/>
      <c r="J44" s="741"/>
      <c r="K44" s="742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00" customFormat="1" ht="30" hidden="1" customHeight="1">
      <c r="A45" s="769">
        <v>19</v>
      </c>
      <c r="C45" s="736"/>
      <c r="D45" s="731"/>
      <c r="E45" s="732"/>
      <c r="F45" s="733"/>
      <c r="G45" s="867"/>
      <c r="H45" s="734"/>
      <c r="I45" s="741"/>
      <c r="J45" s="741"/>
      <c r="K45" s="742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00" customFormat="1" ht="30" hidden="1" customHeight="1">
      <c r="A46" s="769">
        <v>20</v>
      </c>
      <c r="C46" s="736"/>
      <c r="D46" s="731"/>
      <c r="E46" s="732"/>
      <c r="F46" s="733"/>
      <c r="G46" s="867"/>
      <c r="H46" s="734"/>
      <c r="I46" s="741"/>
      <c r="J46" s="741"/>
      <c r="K46" s="742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00" customFormat="1" ht="30" hidden="1" customHeight="1">
      <c r="A47" s="769">
        <v>21</v>
      </c>
      <c r="C47" s="736"/>
      <c r="D47" s="731"/>
      <c r="E47" s="732"/>
      <c r="F47" s="733"/>
      <c r="G47" s="867"/>
      <c r="H47" s="734"/>
      <c r="I47" s="741"/>
      <c r="J47" s="741"/>
      <c r="K47" s="74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00" customFormat="1" ht="30" hidden="1" customHeight="1">
      <c r="A48" s="769">
        <v>22</v>
      </c>
      <c r="C48" s="736"/>
      <c r="D48" s="731"/>
      <c r="E48" s="732"/>
      <c r="F48" s="733"/>
      <c r="G48" s="867"/>
      <c r="H48" s="734"/>
      <c r="I48" s="741"/>
      <c r="J48" s="741"/>
      <c r="K48" s="742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00" customFormat="1" ht="30" hidden="1" customHeight="1">
      <c r="A49" s="769">
        <v>23</v>
      </c>
      <c r="C49" s="736"/>
      <c r="D49" s="731"/>
      <c r="E49" s="732"/>
      <c r="F49" s="733"/>
      <c r="G49" s="867"/>
      <c r="H49" s="734"/>
      <c r="I49" s="741"/>
      <c r="J49" s="741"/>
      <c r="K49" s="742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00" customFormat="1" ht="30" hidden="1" customHeight="1">
      <c r="A50" s="769">
        <v>24</v>
      </c>
      <c r="C50" s="736"/>
      <c r="D50" s="731"/>
      <c r="E50" s="732"/>
      <c r="F50" s="733"/>
      <c r="G50" s="867"/>
      <c r="H50" s="734"/>
      <c r="I50" s="741"/>
      <c r="J50" s="741"/>
      <c r="K50" s="742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00" customFormat="1" ht="30" hidden="1" customHeight="1">
      <c r="A51" s="769">
        <v>25</v>
      </c>
      <c r="C51" s="736"/>
      <c r="D51" s="731"/>
      <c r="E51" s="732"/>
      <c r="F51" s="733"/>
      <c r="G51" s="867"/>
      <c r="H51" s="734"/>
      <c r="I51" s="741"/>
      <c r="J51" s="741"/>
      <c r="K51" s="742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00" customFormat="1" ht="30" hidden="1" customHeight="1">
      <c r="A52" s="769">
        <v>26</v>
      </c>
      <c r="C52" s="736"/>
      <c r="D52" s="731"/>
      <c r="E52" s="732"/>
      <c r="F52" s="733"/>
      <c r="G52" s="867"/>
      <c r="H52" s="734"/>
      <c r="I52" s="741"/>
      <c r="J52" s="741"/>
      <c r="K52" s="74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00" customFormat="1" ht="30" hidden="1" customHeight="1">
      <c r="A53" s="769">
        <v>27</v>
      </c>
      <c r="C53" s="736"/>
      <c r="D53" s="731"/>
      <c r="E53" s="732"/>
      <c r="F53" s="733"/>
      <c r="G53" s="867"/>
      <c r="H53" s="734"/>
      <c r="I53" s="741"/>
      <c r="J53" s="741"/>
      <c r="K53" s="742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00" customFormat="1" ht="30" hidden="1" customHeight="1">
      <c r="A54" s="769">
        <v>28</v>
      </c>
      <c r="C54" s="736"/>
      <c r="D54" s="731"/>
      <c r="E54" s="732"/>
      <c r="F54" s="733"/>
      <c r="G54" s="867"/>
      <c r="H54" s="734"/>
      <c r="I54" s="741"/>
      <c r="J54" s="741"/>
      <c r="K54" s="742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00" customFormat="1" ht="30" hidden="1" customHeight="1">
      <c r="A55" s="769">
        <v>29</v>
      </c>
      <c r="C55" s="736"/>
      <c r="D55" s="731"/>
      <c r="E55" s="732"/>
      <c r="F55" s="733"/>
      <c r="G55" s="867"/>
      <c r="H55" s="734"/>
      <c r="I55" s="741"/>
      <c r="J55" s="741"/>
      <c r="K55" s="742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00" customFormat="1" ht="30" hidden="1" customHeight="1">
      <c r="A56" s="769">
        <v>30</v>
      </c>
      <c r="C56" s="736"/>
      <c r="D56" s="731"/>
      <c r="E56" s="732"/>
      <c r="F56" s="733"/>
      <c r="G56" s="867"/>
      <c r="H56" s="734"/>
      <c r="I56" s="741"/>
      <c r="J56" s="741"/>
      <c r="K56" s="742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00" customFormat="1" ht="30" hidden="1" customHeight="1">
      <c r="A57" s="769">
        <v>31</v>
      </c>
      <c r="C57" s="736"/>
      <c r="D57" s="731"/>
      <c r="E57" s="732"/>
      <c r="F57" s="733"/>
      <c r="G57" s="867"/>
      <c r="H57" s="734"/>
      <c r="I57" s="741"/>
      <c r="J57" s="741"/>
      <c r="K57" s="742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00" customFormat="1" ht="30" hidden="1" customHeight="1">
      <c r="A58" s="769">
        <v>32</v>
      </c>
      <c r="C58" s="736"/>
      <c r="D58" s="731"/>
      <c r="E58" s="732"/>
      <c r="F58" s="733"/>
      <c r="G58" s="867"/>
      <c r="H58" s="734"/>
      <c r="I58" s="741"/>
      <c r="J58" s="741"/>
      <c r="K58" s="74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00" customFormat="1" ht="30" hidden="1" customHeight="1">
      <c r="A59" s="769">
        <v>33</v>
      </c>
      <c r="C59" s="736"/>
      <c r="D59" s="731"/>
      <c r="E59" s="732"/>
      <c r="F59" s="733"/>
      <c r="G59" s="867"/>
      <c r="H59" s="734"/>
      <c r="I59" s="741"/>
      <c r="J59" s="741"/>
      <c r="K59" s="74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00" customFormat="1" ht="30" hidden="1" customHeight="1">
      <c r="A60" s="769">
        <v>34</v>
      </c>
      <c r="C60" s="736"/>
      <c r="D60" s="731"/>
      <c r="E60" s="732"/>
      <c r="F60" s="733"/>
      <c r="G60" s="867"/>
      <c r="H60" s="734"/>
      <c r="I60" s="741"/>
      <c r="J60" s="741"/>
      <c r="K60" s="742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00" customFormat="1" ht="30" hidden="1" customHeight="1">
      <c r="A61" s="769">
        <v>35</v>
      </c>
      <c r="C61" s="736"/>
      <c r="D61" s="731"/>
      <c r="E61" s="732"/>
      <c r="F61" s="733"/>
      <c r="G61" s="867"/>
      <c r="H61" s="734"/>
      <c r="I61" s="741"/>
      <c r="J61" s="741"/>
      <c r="K61" s="742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00" customFormat="1" ht="30" hidden="1" customHeight="1">
      <c r="A62" s="769">
        <v>36</v>
      </c>
      <c r="C62" s="736"/>
      <c r="D62" s="731"/>
      <c r="E62" s="732"/>
      <c r="F62" s="733"/>
      <c r="G62" s="867"/>
      <c r="H62" s="734"/>
      <c r="I62" s="741"/>
      <c r="J62" s="741"/>
      <c r="K62" s="74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00" customFormat="1" ht="30" hidden="1" customHeight="1">
      <c r="A63" s="769">
        <v>37</v>
      </c>
      <c r="C63" s="736"/>
      <c r="D63" s="731"/>
      <c r="E63" s="732"/>
      <c r="F63" s="733"/>
      <c r="G63" s="867"/>
      <c r="H63" s="734"/>
      <c r="I63" s="741"/>
      <c r="J63" s="741"/>
      <c r="K63" s="742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00" customFormat="1" ht="30" hidden="1" customHeight="1">
      <c r="A64" s="769">
        <v>38</v>
      </c>
      <c r="C64" s="736"/>
      <c r="D64" s="731"/>
      <c r="E64" s="732"/>
      <c r="F64" s="733"/>
      <c r="G64" s="867"/>
      <c r="H64" s="734"/>
      <c r="I64" s="741"/>
      <c r="J64" s="741"/>
      <c r="K64" s="742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700" customFormat="1" ht="30" hidden="1" customHeight="1">
      <c r="A65" s="769">
        <v>39</v>
      </c>
      <c r="C65" s="736"/>
      <c r="D65" s="731"/>
      <c r="E65" s="732"/>
      <c r="F65" s="733"/>
      <c r="G65" s="867"/>
      <c r="H65" s="734"/>
      <c r="I65" s="741"/>
      <c r="J65" s="741"/>
      <c r="K65" s="742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700" customFormat="1" ht="30" hidden="1" customHeight="1">
      <c r="A66" s="769">
        <v>40</v>
      </c>
      <c r="C66" s="736"/>
      <c r="D66" s="731"/>
      <c r="E66" s="732"/>
      <c r="F66" s="733"/>
      <c r="G66" s="867"/>
      <c r="H66" s="734"/>
      <c r="I66" s="741"/>
      <c r="J66" s="741"/>
      <c r="K66" s="742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700" customFormat="1" ht="30" hidden="1" customHeight="1">
      <c r="A67" s="769">
        <v>41</v>
      </c>
      <c r="C67" s="736"/>
      <c r="D67" s="731"/>
      <c r="E67" s="732"/>
      <c r="F67" s="733"/>
      <c r="G67" s="867"/>
      <c r="H67" s="734"/>
      <c r="I67" s="741"/>
      <c r="J67" s="741"/>
      <c r="K67" s="742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700" customFormat="1" ht="30" hidden="1" customHeight="1">
      <c r="A68" s="769">
        <v>42</v>
      </c>
      <c r="C68" s="736"/>
      <c r="D68" s="731"/>
      <c r="E68" s="732"/>
      <c r="F68" s="733"/>
      <c r="G68" s="867"/>
      <c r="H68" s="734"/>
      <c r="I68" s="741"/>
      <c r="J68" s="741"/>
      <c r="K68" s="742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700" customFormat="1" ht="30" hidden="1" customHeight="1">
      <c r="A69" s="769">
        <v>43</v>
      </c>
      <c r="C69" s="736"/>
      <c r="D69" s="731"/>
      <c r="E69" s="732"/>
      <c r="F69" s="733"/>
      <c r="G69" s="867"/>
      <c r="H69" s="734"/>
      <c r="I69" s="741"/>
      <c r="J69" s="741"/>
      <c r="K69" s="742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700" customFormat="1" ht="30" hidden="1" customHeight="1">
      <c r="A70" s="769">
        <v>44</v>
      </c>
      <c r="C70" s="736"/>
      <c r="D70" s="731"/>
      <c r="E70" s="732"/>
      <c r="F70" s="733"/>
      <c r="G70" s="867"/>
      <c r="H70" s="734"/>
      <c r="I70" s="741"/>
      <c r="J70" s="741"/>
      <c r="K70" s="742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700" customFormat="1" ht="30" hidden="1" customHeight="1">
      <c r="A71" s="769">
        <v>45</v>
      </c>
      <c r="C71" s="736"/>
      <c r="D71" s="731"/>
      <c r="E71" s="732"/>
      <c r="F71" s="733"/>
      <c r="G71" s="867"/>
      <c r="H71" s="734"/>
      <c r="I71" s="741"/>
      <c r="J71" s="741"/>
      <c r="K71" s="742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700" customFormat="1" ht="30" hidden="1" customHeight="1">
      <c r="A72" s="769">
        <v>46</v>
      </c>
      <c r="C72" s="736"/>
      <c r="D72" s="731"/>
      <c r="E72" s="732"/>
      <c r="F72" s="733"/>
      <c r="G72" s="867"/>
      <c r="H72" s="734"/>
      <c r="I72" s="741"/>
      <c r="J72" s="741"/>
      <c r="K72" s="74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700" customFormat="1" ht="30" hidden="1" customHeight="1">
      <c r="A73" s="769">
        <v>47</v>
      </c>
      <c r="C73" s="736"/>
      <c r="D73" s="731"/>
      <c r="E73" s="732"/>
      <c r="F73" s="733"/>
      <c r="G73" s="867"/>
      <c r="H73" s="734"/>
      <c r="I73" s="741"/>
      <c r="J73" s="741"/>
      <c r="K73" s="742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700" customFormat="1" ht="30" hidden="1" customHeight="1">
      <c r="A74" s="769">
        <v>48</v>
      </c>
      <c r="C74" s="736"/>
      <c r="D74" s="731"/>
      <c r="E74" s="732"/>
      <c r="F74" s="733"/>
      <c r="G74" s="867"/>
      <c r="H74" s="734"/>
      <c r="I74" s="741"/>
      <c r="J74" s="741"/>
      <c r="K74" s="742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700" customFormat="1" ht="30" hidden="1" customHeight="1">
      <c r="A75" s="769">
        <v>49</v>
      </c>
      <c r="C75" s="736"/>
      <c r="D75" s="731"/>
      <c r="E75" s="732"/>
      <c r="F75" s="733"/>
      <c r="G75" s="867"/>
      <c r="H75" s="734"/>
      <c r="I75" s="741"/>
      <c r="J75" s="741"/>
      <c r="K75" s="742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700" customFormat="1" ht="30" hidden="1" customHeight="1">
      <c r="A76" s="769">
        <v>50</v>
      </c>
      <c r="C76" s="736"/>
      <c r="D76" s="731"/>
      <c r="E76" s="732"/>
      <c r="F76" s="733"/>
      <c r="G76" s="867"/>
      <c r="H76" s="734"/>
      <c r="I76" s="741"/>
      <c r="J76" s="741"/>
      <c r="K76" s="742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700" customFormat="1" ht="30" hidden="1" customHeight="1">
      <c r="A77" s="769">
        <v>51</v>
      </c>
      <c r="C77" s="736"/>
      <c r="D77" s="731"/>
      <c r="E77" s="732"/>
      <c r="F77" s="733"/>
      <c r="G77" s="867"/>
      <c r="H77" s="734"/>
      <c r="I77" s="741"/>
      <c r="J77" s="741"/>
      <c r="K77" s="742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700" customFormat="1" ht="30" hidden="1" customHeight="1">
      <c r="A78" s="769">
        <v>52</v>
      </c>
      <c r="C78" s="736"/>
      <c r="D78" s="731"/>
      <c r="E78" s="732"/>
      <c r="F78" s="733"/>
      <c r="G78" s="867"/>
      <c r="H78" s="734"/>
      <c r="I78" s="741"/>
      <c r="J78" s="741"/>
      <c r="K78" s="742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700" customFormat="1" ht="30" hidden="1" customHeight="1">
      <c r="A79" s="769">
        <v>53</v>
      </c>
      <c r="C79" s="736"/>
      <c r="D79" s="731"/>
      <c r="E79" s="732"/>
      <c r="F79" s="733"/>
      <c r="G79" s="867"/>
      <c r="H79" s="734"/>
      <c r="I79" s="741"/>
      <c r="J79" s="741"/>
      <c r="K79" s="742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700" customFormat="1" ht="30" hidden="1" customHeight="1">
      <c r="A80" s="769">
        <v>54</v>
      </c>
      <c r="C80" s="736"/>
      <c r="D80" s="731"/>
      <c r="E80" s="732"/>
      <c r="F80" s="733"/>
      <c r="G80" s="867"/>
      <c r="H80" s="734"/>
      <c r="I80" s="741"/>
      <c r="J80" s="741"/>
      <c r="K80" s="742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700" customFormat="1" ht="30" hidden="1" customHeight="1">
      <c r="A81" s="769">
        <v>55</v>
      </c>
      <c r="C81" s="736"/>
      <c r="D81" s="731"/>
      <c r="E81" s="732"/>
      <c r="F81" s="733"/>
      <c r="G81" s="867"/>
      <c r="H81" s="734"/>
      <c r="I81" s="741"/>
      <c r="J81" s="741"/>
      <c r="K81" s="742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700" customFormat="1" ht="30" hidden="1" customHeight="1">
      <c r="A82" s="769">
        <v>56</v>
      </c>
      <c r="C82" s="736"/>
      <c r="D82" s="731"/>
      <c r="E82" s="732"/>
      <c r="F82" s="733"/>
      <c r="G82" s="867"/>
      <c r="H82" s="734"/>
      <c r="I82" s="741"/>
      <c r="J82" s="741"/>
      <c r="K82" s="74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700" customFormat="1" ht="30" hidden="1" customHeight="1">
      <c r="A83" s="769">
        <v>57</v>
      </c>
      <c r="C83" s="736"/>
      <c r="D83" s="731"/>
      <c r="E83" s="732"/>
      <c r="F83" s="733"/>
      <c r="G83" s="867"/>
      <c r="H83" s="734"/>
      <c r="I83" s="741"/>
      <c r="J83" s="741"/>
      <c r="K83" s="742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700" customFormat="1" ht="30" hidden="1" customHeight="1">
      <c r="A84" s="769">
        <v>58</v>
      </c>
      <c r="C84" s="736"/>
      <c r="D84" s="731"/>
      <c r="E84" s="732"/>
      <c r="F84" s="733"/>
      <c r="G84" s="867"/>
      <c r="H84" s="734"/>
      <c r="I84" s="741"/>
      <c r="J84" s="741"/>
      <c r="K84" s="742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700" customFormat="1" ht="30" hidden="1" customHeight="1">
      <c r="A85" s="769">
        <v>59</v>
      </c>
      <c r="C85" s="736"/>
      <c r="D85" s="731"/>
      <c r="E85" s="732"/>
      <c r="F85" s="733"/>
      <c r="G85" s="867"/>
      <c r="H85" s="734"/>
      <c r="I85" s="741"/>
      <c r="J85" s="741"/>
      <c r="K85" s="742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700" customFormat="1" ht="30" hidden="1" customHeight="1">
      <c r="A86" s="769">
        <v>60</v>
      </c>
      <c r="C86" s="736"/>
      <c r="D86" s="731"/>
      <c r="E86" s="732"/>
      <c r="F86" s="733"/>
      <c r="G86" s="867"/>
      <c r="H86" s="734"/>
      <c r="I86" s="741"/>
      <c r="J86" s="741"/>
      <c r="K86" s="742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700" customFormat="1" ht="30" hidden="1" customHeight="1">
      <c r="A87" s="769">
        <v>61</v>
      </c>
      <c r="C87" s="736"/>
      <c r="D87" s="731"/>
      <c r="E87" s="732"/>
      <c r="F87" s="733"/>
      <c r="G87" s="867"/>
      <c r="H87" s="734"/>
      <c r="I87" s="741"/>
      <c r="J87" s="741"/>
      <c r="K87" s="742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700" customFormat="1" ht="30" hidden="1" customHeight="1">
      <c r="A88" s="769">
        <v>62</v>
      </c>
      <c r="C88" s="736"/>
      <c r="D88" s="731"/>
      <c r="E88" s="732"/>
      <c r="F88" s="733"/>
      <c r="G88" s="867"/>
      <c r="H88" s="734"/>
      <c r="I88" s="741"/>
      <c r="J88" s="741"/>
      <c r="K88" s="742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700" customFormat="1" ht="30" hidden="1" customHeight="1">
      <c r="A89" s="769">
        <v>63</v>
      </c>
      <c r="C89" s="736"/>
      <c r="D89" s="731"/>
      <c r="E89" s="732"/>
      <c r="F89" s="733"/>
      <c r="G89" s="867"/>
      <c r="H89" s="734"/>
      <c r="I89" s="741"/>
      <c r="J89" s="741"/>
      <c r="K89" s="742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700" customFormat="1" ht="30" hidden="1" customHeight="1">
      <c r="A90" s="769">
        <v>64</v>
      </c>
      <c r="C90" s="736"/>
      <c r="D90" s="731"/>
      <c r="E90" s="732"/>
      <c r="F90" s="733"/>
      <c r="G90" s="867"/>
      <c r="H90" s="734"/>
      <c r="I90" s="741"/>
      <c r="J90" s="741"/>
      <c r="K90" s="742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700" customFormat="1" ht="30" hidden="1" customHeight="1">
      <c r="A91" s="769">
        <v>65</v>
      </c>
      <c r="C91" s="736"/>
      <c r="D91" s="731"/>
      <c r="E91" s="732"/>
      <c r="F91" s="733"/>
      <c r="G91" s="867"/>
      <c r="H91" s="734"/>
      <c r="I91" s="741"/>
      <c r="J91" s="741"/>
      <c r="K91" s="742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700" customFormat="1" ht="30" hidden="1" customHeight="1">
      <c r="A92" s="769">
        <v>66</v>
      </c>
      <c r="C92" s="736"/>
      <c r="D92" s="731"/>
      <c r="E92" s="732"/>
      <c r="F92" s="733"/>
      <c r="G92" s="867"/>
      <c r="H92" s="734"/>
      <c r="I92" s="741"/>
      <c r="J92" s="741"/>
      <c r="K92" s="74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700" customFormat="1" ht="30" hidden="1" customHeight="1">
      <c r="A93" s="769">
        <v>67</v>
      </c>
      <c r="C93" s="736"/>
      <c r="D93" s="731"/>
      <c r="E93" s="732"/>
      <c r="F93" s="733"/>
      <c r="G93" s="867"/>
      <c r="H93" s="734"/>
      <c r="I93" s="741"/>
      <c r="J93" s="741"/>
      <c r="K93" s="742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700" customFormat="1" ht="30" hidden="1" customHeight="1">
      <c r="A94" s="769">
        <v>68</v>
      </c>
      <c r="C94" s="736"/>
      <c r="D94" s="731"/>
      <c r="E94" s="732"/>
      <c r="F94" s="733"/>
      <c r="G94" s="867"/>
      <c r="H94" s="734"/>
      <c r="I94" s="741"/>
      <c r="J94" s="741"/>
      <c r="K94" s="742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700" customFormat="1" ht="30" hidden="1" customHeight="1">
      <c r="A95" s="769">
        <v>69</v>
      </c>
      <c r="C95" s="736"/>
      <c r="D95" s="731"/>
      <c r="E95" s="732"/>
      <c r="F95" s="733"/>
      <c r="G95" s="867"/>
      <c r="H95" s="734"/>
      <c r="I95" s="741"/>
      <c r="J95" s="741"/>
      <c r="K95" s="742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700" customFormat="1" ht="30" hidden="1" customHeight="1">
      <c r="A96" s="769">
        <v>70</v>
      </c>
      <c r="C96" s="736"/>
      <c r="D96" s="731"/>
      <c r="E96" s="732"/>
      <c r="F96" s="733"/>
      <c r="G96" s="867"/>
      <c r="H96" s="734"/>
      <c r="I96" s="741"/>
      <c r="J96" s="741"/>
      <c r="K96" s="742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700" customFormat="1" ht="30" hidden="1" customHeight="1">
      <c r="A97" s="769">
        <v>71</v>
      </c>
      <c r="C97" s="736"/>
      <c r="D97" s="731"/>
      <c r="E97" s="732"/>
      <c r="F97" s="733"/>
      <c r="G97" s="867"/>
      <c r="H97" s="734"/>
      <c r="I97" s="741"/>
      <c r="J97" s="741"/>
      <c r="K97" s="742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700" customFormat="1" ht="30" hidden="1" customHeight="1">
      <c r="A98" s="769">
        <v>72</v>
      </c>
      <c r="C98" s="736"/>
      <c r="D98" s="731"/>
      <c r="E98" s="732"/>
      <c r="F98" s="733"/>
      <c r="G98" s="867"/>
      <c r="H98" s="734"/>
      <c r="I98" s="741"/>
      <c r="J98" s="741"/>
      <c r="K98" s="742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700" customFormat="1" ht="30" hidden="1" customHeight="1">
      <c r="A99" s="769">
        <v>73</v>
      </c>
      <c r="C99" s="736"/>
      <c r="D99" s="731"/>
      <c r="E99" s="732"/>
      <c r="F99" s="733"/>
      <c r="G99" s="867"/>
      <c r="H99" s="734"/>
      <c r="I99" s="741"/>
      <c r="J99" s="741"/>
      <c r="K99" s="742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700" customFormat="1" ht="30" hidden="1" customHeight="1">
      <c r="A100" s="769">
        <v>74</v>
      </c>
      <c r="C100" s="736"/>
      <c r="D100" s="731"/>
      <c r="E100" s="732"/>
      <c r="F100" s="733"/>
      <c r="G100" s="867"/>
      <c r="H100" s="734"/>
      <c r="I100" s="741"/>
      <c r="J100" s="741"/>
      <c r="K100" s="742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700" customFormat="1" ht="30" hidden="1" customHeight="1">
      <c r="A101" s="769">
        <v>75</v>
      </c>
      <c r="C101" s="736"/>
      <c r="D101" s="731"/>
      <c r="E101" s="732"/>
      <c r="F101" s="733"/>
      <c r="G101" s="867"/>
      <c r="H101" s="734"/>
      <c r="I101" s="741"/>
      <c r="J101" s="741"/>
      <c r="K101" s="742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700" customFormat="1" ht="30" hidden="1" customHeight="1">
      <c r="A102" s="769">
        <v>76</v>
      </c>
      <c r="C102" s="736"/>
      <c r="D102" s="731"/>
      <c r="E102" s="732"/>
      <c r="F102" s="733"/>
      <c r="G102" s="867"/>
      <c r="H102" s="734"/>
      <c r="I102" s="741"/>
      <c r="J102" s="741"/>
      <c r="K102" s="74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700" customFormat="1" ht="30" hidden="1" customHeight="1">
      <c r="A103" s="769">
        <v>77</v>
      </c>
      <c r="C103" s="736"/>
      <c r="D103" s="731"/>
      <c r="E103" s="732"/>
      <c r="F103" s="733"/>
      <c r="G103" s="867"/>
      <c r="H103" s="734"/>
      <c r="I103" s="741"/>
      <c r="J103" s="741"/>
      <c r="K103" s="742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700" customFormat="1" ht="30" hidden="1" customHeight="1">
      <c r="A104" s="769">
        <v>78</v>
      </c>
      <c r="C104" s="736"/>
      <c r="D104" s="731"/>
      <c r="E104" s="732"/>
      <c r="F104" s="733"/>
      <c r="G104" s="867"/>
      <c r="H104" s="734"/>
      <c r="I104" s="741"/>
      <c r="J104" s="741"/>
      <c r="K104" s="742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700" customFormat="1" ht="30" hidden="1" customHeight="1">
      <c r="A105" s="769">
        <v>79</v>
      </c>
      <c r="C105" s="736"/>
      <c r="D105" s="731"/>
      <c r="E105" s="732"/>
      <c r="F105" s="733"/>
      <c r="G105" s="867"/>
      <c r="H105" s="734"/>
      <c r="I105" s="741"/>
      <c r="J105" s="741"/>
      <c r="K105" s="742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700" customFormat="1" ht="30" hidden="1" customHeight="1">
      <c r="A106" s="769">
        <v>80</v>
      </c>
      <c r="C106" s="736"/>
      <c r="D106" s="731"/>
      <c r="E106" s="732"/>
      <c r="F106" s="733"/>
      <c r="G106" s="867"/>
      <c r="H106" s="734"/>
      <c r="I106" s="741"/>
      <c r="J106" s="741"/>
      <c r="K106" s="742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700" customFormat="1" ht="30" hidden="1" customHeight="1">
      <c r="A107" s="769">
        <v>81</v>
      </c>
      <c r="C107" s="736"/>
      <c r="D107" s="731"/>
      <c r="E107" s="732"/>
      <c r="F107" s="733"/>
      <c r="G107" s="867"/>
      <c r="H107" s="734"/>
      <c r="I107" s="741"/>
      <c r="J107" s="741"/>
      <c r="K107" s="742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700" customFormat="1" ht="30" hidden="1" customHeight="1">
      <c r="A108" s="769">
        <v>82</v>
      </c>
      <c r="C108" s="736"/>
      <c r="D108" s="731"/>
      <c r="E108" s="732"/>
      <c r="F108" s="733"/>
      <c r="G108" s="867"/>
      <c r="H108" s="734"/>
      <c r="I108" s="741"/>
      <c r="J108" s="741"/>
      <c r="K108" s="742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700" customFormat="1" ht="30" hidden="1" customHeight="1">
      <c r="A109" s="769">
        <v>83</v>
      </c>
      <c r="C109" s="736"/>
      <c r="D109" s="731"/>
      <c r="E109" s="732"/>
      <c r="F109" s="733"/>
      <c r="G109" s="867"/>
      <c r="H109" s="734"/>
      <c r="I109" s="741"/>
      <c r="J109" s="741"/>
      <c r="K109" s="742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700" customFormat="1" ht="30" hidden="1" customHeight="1">
      <c r="A110" s="769">
        <v>84</v>
      </c>
      <c r="C110" s="736"/>
      <c r="D110" s="731"/>
      <c r="E110" s="732"/>
      <c r="F110" s="733"/>
      <c r="G110" s="867"/>
      <c r="H110" s="734"/>
      <c r="I110" s="741"/>
      <c r="J110" s="741"/>
      <c r="K110" s="742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700" customFormat="1" ht="30" hidden="1" customHeight="1">
      <c r="A111" s="769">
        <v>85</v>
      </c>
      <c r="C111" s="736"/>
      <c r="D111" s="731"/>
      <c r="E111" s="732"/>
      <c r="F111" s="733"/>
      <c r="G111" s="867"/>
      <c r="H111" s="734"/>
      <c r="I111" s="741"/>
      <c r="J111" s="741"/>
      <c r="K111" s="742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700" customFormat="1" ht="30" hidden="1" customHeight="1">
      <c r="A112" s="769">
        <v>86</v>
      </c>
      <c r="C112" s="736"/>
      <c r="D112" s="731"/>
      <c r="E112" s="732"/>
      <c r="F112" s="733"/>
      <c r="G112" s="867"/>
      <c r="H112" s="734"/>
      <c r="I112" s="741"/>
      <c r="J112" s="741"/>
      <c r="K112" s="74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700" customFormat="1" ht="30" hidden="1" customHeight="1">
      <c r="A113" s="769">
        <v>87</v>
      </c>
      <c r="C113" s="736"/>
      <c r="D113" s="731"/>
      <c r="E113" s="732"/>
      <c r="F113" s="733"/>
      <c r="G113" s="867"/>
      <c r="H113" s="734"/>
      <c r="I113" s="741"/>
      <c r="J113" s="741"/>
      <c r="K113" s="742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700" customFormat="1" ht="30" hidden="1" customHeight="1">
      <c r="A114" s="769">
        <v>88</v>
      </c>
      <c r="C114" s="736"/>
      <c r="D114" s="731"/>
      <c r="E114" s="732"/>
      <c r="F114" s="733"/>
      <c r="G114" s="867"/>
      <c r="H114" s="734"/>
      <c r="I114" s="741"/>
      <c r="J114" s="741"/>
      <c r="K114" s="742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700" customFormat="1" ht="30" hidden="1" customHeight="1">
      <c r="A115" s="769">
        <v>89</v>
      </c>
      <c r="C115" s="736"/>
      <c r="D115" s="731"/>
      <c r="E115" s="732"/>
      <c r="F115" s="733"/>
      <c r="G115" s="867"/>
      <c r="H115" s="734"/>
      <c r="I115" s="741"/>
      <c r="J115" s="741"/>
      <c r="K115" s="742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700" customFormat="1" ht="30" hidden="1" customHeight="1">
      <c r="A116" s="769">
        <v>90</v>
      </c>
      <c r="C116" s="736"/>
      <c r="D116" s="731"/>
      <c r="E116" s="732"/>
      <c r="F116" s="733"/>
      <c r="G116" s="867"/>
      <c r="H116" s="734"/>
      <c r="I116" s="741"/>
      <c r="J116" s="741"/>
      <c r="K116" s="742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700" customFormat="1" ht="30" hidden="1" customHeight="1">
      <c r="A117" s="769">
        <v>91</v>
      </c>
      <c r="C117" s="736"/>
      <c r="D117" s="731"/>
      <c r="E117" s="732"/>
      <c r="F117" s="733"/>
      <c r="G117" s="867"/>
      <c r="H117" s="734"/>
      <c r="I117" s="741"/>
      <c r="J117" s="741"/>
      <c r="K117" s="742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700" customFormat="1" ht="30" hidden="1" customHeight="1">
      <c r="A118" s="769">
        <v>92</v>
      </c>
      <c r="C118" s="736"/>
      <c r="D118" s="731"/>
      <c r="E118" s="732"/>
      <c r="F118" s="733"/>
      <c r="G118" s="867"/>
      <c r="H118" s="734"/>
      <c r="I118" s="741"/>
      <c r="J118" s="741"/>
      <c r="K118" s="742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700" customFormat="1" ht="30" hidden="1" customHeight="1">
      <c r="A119" s="769">
        <v>93</v>
      </c>
      <c r="C119" s="736"/>
      <c r="D119" s="731"/>
      <c r="E119" s="732"/>
      <c r="F119" s="733"/>
      <c r="G119" s="867"/>
      <c r="H119" s="734"/>
      <c r="I119" s="741"/>
      <c r="J119" s="741"/>
      <c r="K119" s="742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700" customFormat="1" ht="30" hidden="1" customHeight="1">
      <c r="A120" s="769">
        <v>94</v>
      </c>
      <c r="C120" s="736"/>
      <c r="D120" s="731"/>
      <c r="E120" s="732"/>
      <c r="F120" s="733"/>
      <c r="G120" s="867"/>
      <c r="H120" s="734"/>
      <c r="I120" s="741"/>
      <c r="J120" s="741"/>
      <c r="K120" s="742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700" customFormat="1" ht="30" hidden="1" customHeight="1">
      <c r="A121" s="769">
        <v>95</v>
      </c>
      <c r="C121" s="736"/>
      <c r="D121" s="731"/>
      <c r="E121" s="732"/>
      <c r="F121" s="733"/>
      <c r="G121" s="867"/>
      <c r="H121" s="734"/>
      <c r="I121" s="741"/>
      <c r="J121" s="741"/>
      <c r="K121" s="742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700" customFormat="1" ht="30" hidden="1" customHeight="1">
      <c r="A122" s="769">
        <v>96</v>
      </c>
      <c r="C122" s="736"/>
      <c r="D122" s="731"/>
      <c r="E122" s="732"/>
      <c r="F122" s="733"/>
      <c r="G122" s="867"/>
      <c r="H122" s="734"/>
      <c r="I122" s="741"/>
      <c r="J122" s="741"/>
      <c r="K122" s="74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700" customFormat="1" ht="30" hidden="1" customHeight="1">
      <c r="A123" s="769">
        <v>97</v>
      </c>
      <c r="C123" s="736"/>
      <c r="D123" s="731"/>
      <c r="E123" s="732"/>
      <c r="F123" s="733"/>
      <c r="G123" s="867"/>
      <c r="H123" s="734"/>
      <c r="I123" s="741"/>
      <c r="J123" s="741"/>
      <c r="K123" s="742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700" customFormat="1" ht="30" hidden="1" customHeight="1">
      <c r="A124" s="769">
        <v>98</v>
      </c>
      <c r="C124" s="736"/>
      <c r="D124" s="731"/>
      <c r="E124" s="732"/>
      <c r="F124" s="733"/>
      <c r="G124" s="867"/>
      <c r="H124" s="734"/>
      <c r="I124" s="741"/>
      <c r="J124" s="741"/>
      <c r="K124" s="742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700" customFormat="1" ht="30" hidden="1" customHeight="1">
      <c r="A125" s="769">
        <v>99</v>
      </c>
      <c r="C125" s="736"/>
      <c r="D125" s="731"/>
      <c r="E125" s="732"/>
      <c r="F125" s="733"/>
      <c r="G125" s="867"/>
      <c r="H125" s="734"/>
      <c r="I125" s="741"/>
      <c r="J125" s="741"/>
      <c r="K125" s="742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700" customFormat="1" ht="30" hidden="1" customHeight="1">
      <c r="A126" s="769">
        <v>100</v>
      </c>
      <c r="C126" s="736"/>
      <c r="D126" s="731"/>
      <c r="E126" s="732"/>
      <c r="F126" s="733"/>
      <c r="G126" s="867"/>
      <c r="H126" s="734"/>
      <c r="I126" s="741"/>
      <c r="J126" s="741"/>
      <c r="K126" s="742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700" customFormat="1" ht="30" hidden="1" customHeight="1">
      <c r="A127" s="769">
        <v>101</v>
      </c>
      <c r="C127" s="736"/>
      <c r="D127" s="731"/>
      <c r="E127" s="732"/>
      <c r="F127" s="733"/>
      <c r="G127" s="867"/>
      <c r="H127" s="734"/>
      <c r="I127" s="741"/>
      <c r="J127" s="741"/>
      <c r="K127" s="742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700" customFormat="1" ht="30" hidden="1" customHeight="1">
      <c r="A128" s="769">
        <v>102</v>
      </c>
      <c r="C128" s="736"/>
      <c r="D128" s="731"/>
      <c r="E128" s="732"/>
      <c r="F128" s="733"/>
      <c r="G128" s="867"/>
      <c r="H128" s="734"/>
      <c r="I128" s="741"/>
      <c r="J128" s="741"/>
      <c r="K128" s="742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700" customFormat="1" ht="30" hidden="1" customHeight="1">
      <c r="A129" s="769">
        <v>103</v>
      </c>
      <c r="C129" s="736"/>
      <c r="D129" s="731"/>
      <c r="E129" s="732"/>
      <c r="F129" s="733"/>
      <c r="G129" s="867"/>
      <c r="H129" s="734"/>
      <c r="I129" s="741"/>
      <c r="J129" s="741"/>
      <c r="K129" s="742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700" customFormat="1" ht="30" hidden="1" customHeight="1">
      <c r="A130" s="769">
        <v>104</v>
      </c>
      <c r="C130" s="736"/>
      <c r="D130" s="731"/>
      <c r="E130" s="732"/>
      <c r="F130" s="733"/>
      <c r="G130" s="867"/>
      <c r="H130" s="734"/>
      <c r="I130" s="741"/>
      <c r="J130" s="741"/>
      <c r="K130" s="742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700" customFormat="1" ht="30" hidden="1" customHeight="1">
      <c r="A131" s="769">
        <v>105</v>
      </c>
      <c r="C131" s="736"/>
      <c r="D131" s="731"/>
      <c r="E131" s="732"/>
      <c r="F131" s="733"/>
      <c r="G131" s="867"/>
      <c r="H131" s="734"/>
      <c r="I131" s="741"/>
      <c r="J131" s="741"/>
      <c r="K131" s="742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700" customFormat="1" ht="30" hidden="1" customHeight="1">
      <c r="A132" s="769">
        <v>106</v>
      </c>
      <c r="C132" s="736"/>
      <c r="D132" s="731"/>
      <c r="E132" s="732"/>
      <c r="F132" s="733"/>
      <c r="G132" s="867"/>
      <c r="H132" s="734"/>
      <c r="I132" s="741"/>
      <c r="J132" s="741"/>
      <c r="K132" s="74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700" customFormat="1" ht="30" hidden="1" customHeight="1">
      <c r="A133" s="769">
        <v>107</v>
      </c>
      <c r="C133" s="736"/>
      <c r="D133" s="731"/>
      <c r="E133" s="732"/>
      <c r="F133" s="733"/>
      <c r="G133" s="867"/>
      <c r="H133" s="734"/>
      <c r="I133" s="741"/>
      <c r="J133" s="741"/>
      <c r="K133" s="742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700" customFormat="1" ht="30" hidden="1" customHeight="1">
      <c r="A134" s="769">
        <v>108</v>
      </c>
      <c r="C134" s="736"/>
      <c r="D134" s="731"/>
      <c r="E134" s="732"/>
      <c r="F134" s="733"/>
      <c r="G134" s="867"/>
      <c r="H134" s="734"/>
      <c r="I134" s="741"/>
      <c r="J134" s="741"/>
      <c r="K134" s="742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700" customFormat="1" ht="30" hidden="1" customHeight="1">
      <c r="A135" s="769">
        <v>109</v>
      </c>
      <c r="C135" s="736"/>
      <c r="D135" s="731"/>
      <c r="E135" s="732"/>
      <c r="F135" s="733"/>
      <c r="G135" s="867"/>
      <c r="H135" s="734"/>
      <c r="I135" s="741"/>
      <c r="J135" s="741"/>
      <c r="K135" s="742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700" customFormat="1" ht="30" hidden="1" customHeight="1">
      <c r="A136" s="769">
        <v>110</v>
      </c>
      <c r="C136" s="736"/>
      <c r="D136" s="731"/>
      <c r="E136" s="732"/>
      <c r="F136" s="733"/>
      <c r="G136" s="867"/>
      <c r="H136" s="734"/>
      <c r="I136" s="741"/>
      <c r="J136" s="741"/>
      <c r="K136" s="742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700" customFormat="1" ht="30" hidden="1" customHeight="1">
      <c r="A137" s="769">
        <v>111</v>
      </c>
      <c r="C137" s="736"/>
      <c r="D137" s="731"/>
      <c r="E137" s="732"/>
      <c r="F137" s="733"/>
      <c r="G137" s="867"/>
      <c r="H137" s="734"/>
      <c r="I137" s="741"/>
      <c r="J137" s="741"/>
      <c r="K137" s="742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700" customFormat="1" ht="30" hidden="1" customHeight="1">
      <c r="A138" s="769">
        <v>112</v>
      </c>
      <c r="C138" s="736"/>
      <c r="D138" s="731"/>
      <c r="E138" s="732"/>
      <c r="F138" s="733"/>
      <c r="G138" s="867"/>
      <c r="H138" s="734"/>
      <c r="I138" s="741"/>
      <c r="J138" s="741"/>
      <c r="K138" s="742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700" customFormat="1" ht="30" hidden="1" customHeight="1">
      <c r="A139" s="769">
        <v>113</v>
      </c>
      <c r="C139" s="736"/>
      <c r="D139" s="731"/>
      <c r="E139" s="732"/>
      <c r="F139" s="733"/>
      <c r="G139" s="867"/>
      <c r="H139" s="734"/>
      <c r="I139" s="741"/>
      <c r="J139" s="741"/>
      <c r="K139" s="742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700" customFormat="1" ht="30" hidden="1" customHeight="1">
      <c r="A140" s="769">
        <v>114</v>
      </c>
      <c r="C140" s="736"/>
      <c r="D140" s="731"/>
      <c r="E140" s="732"/>
      <c r="F140" s="733"/>
      <c r="G140" s="867"/>
      <c r="H140" s="734"/>
      <c r="I140" s="741"/>
      <c r="J140" s="741"/>
      <c r="K140" s="742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700" customFormat="1" ht="30" hidden="1" customHeight="1">
      <c r="A141" s="769">
        <v>115</v>
      </c>
      <c r="C141" s="736"/>
      <c r="D141" s="731"/>
      <c r="E141" s="732"/>
      <c r="F141" s="733"/>
      <c r="G141" s="867"/>
      <c r="H141" s="734"/>
      <c r="I141" s="741"/>
      <c r="J141" s="741"/>
      <c r="K141" s="742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700" customFormat="1" ht="30" hidden="1" customHeight="1">
      <c r="A142" s="769">
        <v>116</v>
      </c>
      <c r="C142" s="736"/>
      <c r="D142" s="731"/>
      <c r="E142" s="732"/>
      <c r="F142" s="733"/>
      <c r="G142" s="867"/>
      <c r="H142" s="734"/>
      <c r="I142" s="741"/>
      <c r="J142" s="741"/>
      <c r="K142" s="7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700" customFormat="1" ht="30" hidden="1" customHeight="1">
      <c r="A143" s="769">
        <v>117</v>
      </c>
      <c r="C143" s="736"/>
      <c r="D143" s="731"/>
      <c r="E143" s="732"/>
      <c r="F143" s="733"/>
      <c r="G143" s="867"/>
      <c r="H143" s="734"/>
      <c r="I143" s="741"/>
      <c r="J143" s="741"/>
      <c r="K143" s="742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264" t="s">
        <v>1996</v>
      </c>
      <c r="D144" s="682"/>
      <c r="E144" s="765"/>
      <c r="F144" s="766">
        <v>4024</v>
      </c>
      <c r="G144" s="1867" t="s">
        <v>1993</v>
      </c>
      <c r="H144" s="1867"/>
      <c r="I144" s="1868"/>
      <c r="J144" s="743">
        <v>171</v>
      </c>
      <c r="K144" s="744">
        <v>688104</v>
      </c>
      <c r="N144" s="762" t="s">
        <v>1991</v>
      </c>
      <c r="O144" s="770">
        <v>0</v>
      </c>
    </row>
    <row r="145" spans="3:28" ht="33.950000000000003" customHeight="1">
      <c r="C145" s="767" t="s">
        <v>3192</v>
      </c>
      <c r="D145" s="255"/>
      <c r="E145" s="702"/>
      <c r="F145" s="761"/>
      <c r="G145" s="1865" t="s">
        <v>1995</v>
      </c>
      <c r="H145" s="1865"/>
      <c r="I145" s="1866"/>
      <c r="J145" s="743">
        <v>0</v>
      </c>
      <c r="K145" s="744">
        <v>0</v>
      </c>
      <c r="N145" s="762" t="s">
        <v>1992</v>
      </c>
      <c r="O145" s="771">
        <v>0</v>
      </c>
    </row>
    <row r="146" spans="3:28" ht="50.25" customHeight="1">
      <c r="C146" s="1841" t="str">
        <f>SpellNumber(print_inv_grand_total)</f>
        <v>One Hundred Seventy One US Dollars and Zero Cents</v>
      </c>
      <c r="D146" s="1841"/>
      <c r="E146" s="1841"/>
      <c r="F146" s="1841"/>
      <c r="G146" s="1869" t="s">
        <v>1994</v>
      </c>
      <c r="H146" s="1869"/>
      <c r="I146" s="1870"/>
      <c r="J146" s="743">
        <v>171</v>
      </c>
      <c r="K146" s="744">
        <v>688104</v>
      </c>
    </row>
    <row r="147" spans="3:28" ht="8.25" customHeight="1">
      <c r="C147" s="763"/>
      <c r="D147" s="763"/>
      <c r="E147" s="763"/>
      <c r="F147" s="763"/>
      <c r="G147" s="1831"/>
      <c r="H147" s="1831"/>
      <c r="I147" s="1831"/>
      <c r="J147" s="572"/>
    </row>
    <row r="148" spans="3:28" ht="1.5" customHeight="1">
      <c r="C148" s="764"/>
      <c r="D148" s="764"/>
      <c r="E148" s="764"/>
      <c r="F148" s="764"/>
      <c r="I148" s="115"/>
      <c r="J148" s="115"/>
      <c r="K148" s="115"/>
    </row>
    <row r="149" spans="3:28" ht="25.5">
      <c r="C149" s="735" t="s">
        <v>1975</v>
      </c>
      <c r="D149" s="703"/>
      <c r="E149" s="703"/>
      <c r="F149" s="704"/>
      <c r="G149" s="705"/>
      <c r="H149" s="706"/>
      <c r="I149" s="706"/>
      <c r="J149" s="707"/>
      <c r="K149" s="708"/>
    </row>
    <row r="150" spans="3:28">
      <c r="C150" s="717" t="s">
        <v>1941</v>
      </c>
      <c r="D150" s="718" t="s">
        <v>2812</v>
      </c>
      <c r="E150" s="718"/>
      <c r="F150" s="133"/>
      <c r="J150" s="5"/>
      <c r="K150" s="709"/>
    </row>
    <row r="151" spans="3:28">
      <c r="C151" s="717" t="s">
        <v>1942</v>
      </c>
      <c r="D151" s="718" t="s">
        <v>1675</v>
      </c>
      <c r="E151" s="718"/>
      <c r="F151" s="133"/>
      <c r="J151" s="5"/>
      <c r="K151" s="709"/>
    </row>
    <row r="152" spans="3:28">
      <c r="C152" s="717" t="s">
        <v>1943</v>
      </c>
      <c r="D152" s="754" t="s">
        <v>2813</v>
      </c>
      <c r="E152" s="719"/>
      <c r="F152" s="133"/>
      <c r="J152" s="5"/>
      <c r="K152" s="709"/>
    </row>
    <row r="153" spans="3:28">
      <c r="C153" s="710"/>
      <c r="D153" s="151"/>
      <c r="E153" s="151"/>
      <c r="F153"/>
      <c r="J153" s="5"/>
      <c r="K153" s="709"/>
    </row>
    <row r="154" spans="3:28">
      <c r="C154" s="711"/>
      <c r="D154" s="712"/>
      <c r="E154" s="712"/>
      <c r="F154" s="713"/>
      <c r="G154" s="714"/>
      <c r="H154" s="713"/>
      <c r="I154" s="713"/>
      <c r="J154" s="715"/>
      <c r="K154" s="716"/>
    </row>
    <row r="155" spans="3:28" ht="33.75" customHeight="1">
      <c r="C155" s="737" t="s">
        <v>3234</v>
      </c>
      <c r="D155" s="738"/>
      <c r="E155" s="738"/>
      <c r="F155" s="738"/>
      <c r="G155" s="738"/>
      <c r="H155" s="724"/>
      <c r="I155" s="724"/>
      <c r="J155" s="724"/>
      <c r="K155" s="725"/>
    </row>
    <row r="156" spans="3:28" s="3" customFormat="1" ht="26.25" customHeight="1">
      <c r="C156" s="739" t="s">
        <v>3235</v>
      </c>
      <c r="D156" s="740"/>
      <c r="E156" s="740"/>
      <c r="F156" s="740"/>
      <c r="G156" s="740"/>
      <c r="H156" s="722"/>
      <c r="I156" s="722"/>
      <c r="J156" s="722"/>
      <c r="K156" s="723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701"/>
    </row>
    <row r="158" spans="3:28" ht="15">
      <c r="D158"/>
      <c r="E158"/>
      <c r="F158"/>
    </row>
    <row r="159" spans="3:28">
      <c r="C159" s="1832"/>
      <c r="D159" s="1832"/>
      <c r="E159" s="1832"/>
      <c r="F159" s="1832"/>
      <c r="G159" s="1832"/>
      <c r="H159" s="5"/>
      <c r="I159" s="1832"/>
      <c r="J159" s="1832"/>
      <c r="K159" s="1832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7"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  <mergeCell ref="F22:K22"/>
    <mergeCell ref="F17:K17"/>
    <mergeCell ref="R4:S4"/>
    <mergeCell ref="C3:K3"/>
    <mergeCell ref="C11:D11"/>
    <mergeCell ref="G10:H14"/>
    <mergeCell ref="C13:F14"/>
  </mergeCells>
  <phoneticPr fontId="37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6" sqref="O16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830"/>
      <c r="D3" s="1830"/>
      <c r="E3" s="1830"/>
      <c r="F3" s="1830"/>
      <c r="G3" s="1830"/>
      <c r="H3" s="1830"/>
      <c r="I3" s="1830"/>
      <c r="J3" s="1830"/>
      <c r="K3" s="1830"/>
      <c r="N3" s="146"/>
      <c r="BK3" t="s">
        <v>1908</v>
      </c>
      <c r="BM3" s="688" t="s">
        <v>125</v>
      </c>
      <c r="BN3" s="688">
        <v>1</v>
      </c>
      <c r="BO3" s="688">
        <v>1</v>
      </c>
      <c r="BP3" s="688">
        <v>6</v>
      </c>
      <c r="BQ3" s="688" t="s">
        <v>126</v>
      </c>
      <c r="BR3" s="688">
        <v>2</v>
      </c>
      <c r="BS3" s="688">
        <v>6</v>
      </c>
      <c r="BT3" s="688">
        <v>0</v>
      </c>
      <c r="BU3" s="688">
        <v>0</v>
      </c>
      <c r="BV3" s="688">
        <v>0</v>
      </c>
      <c r="BW3" s="688">
        <v>0</v>
      </c>
      <c r="BX3" s="688">
        <v>1</v>
      </c>
      <c r="BY3" s="688">
        <v>2</v>
      </c>
      <c r="BZ3" s="688">
        <v>7</v>
      </c>
      <c r="CA3" s="689">
        <v>1</v>
      </c>
    </row>
    <row r="4" spans="2:79" ht="36.75">
      <c r="B4" s="1330"/>
      <c r="C4" s="745" t="s">
        <v>1674</v>
      </c>
      <c r="D4" s="745"/>
      <c r="E4" s="745"/>
      <c r="F4" s="745"/>
      <c r="G4" s="745"/>
      <c r="H4" s="745"/>
      <c r="I4" s="745"/>
      <c r="J4" s="745"/>
      <c r="K4" s="745"/>
      <c r="N4" s="676" t="s">
        <v>1998</v>
      </c>
      <c r="O4" s="753" t="s">
        <v>1909</v>
      </c>
      <c r="Q4" s="68" t="s">
        <v>2000</v>
      </c>
      <c r="R4" s="1850">
        <v>1</v>
      </c>
      <c r="S4" s="1850"/>
    </row>
    <row r="5" spans="2:79" s="5" customFormat="1" ht="27.75" customHeight="1">
      <c r="B5" s="1331"/>
      <c r="C5" s="659" t="s">
        <v>1675</v>
      </c>
      <c r="D5" s="692"/>
      <c r="E5" s="692"/>
      <c r="F5" s="692"/>
      <c r="G5" s="692"/>
      <c r="H5" s="692"/>
      <c r="I5" s="692"/>
      <c r="J5" s="692"/>
      <c r="K5" s="692"/>
      <c r="N5" s="676" t="s">
        <v>1979</v>
      </c>
      <c r="O5" s="747" t="s">
        <v>1956</v>
      </c>
      <c r="P5"/>
      <c r="Q5" s="68" t="s">
        <v>2001</v>
      </c>
      <c r="R5" s="756">
        <v>0</v>
      </c>
      <c r="S5" s="755" t="str">
        <f>IF(print_pb_payment_net_days&gt;=1,"days","day")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1331"/>
      <c r="C6" s="264" t="str">
        <f>N5&amp;print_pb_branch_address_kh</f>
        <v>អាសយដ្ឋាន ៖ ភូមិគោកស្នួល ឃុំខ្នាត ស្រុកពួក ខេត្តសៀមរាប</v>
      </c>
      <c r="D6" s="692"/>
      <c r="E6" s="692"/>
      <c r="F6" s="692"/>
      <c r="G6" s="692"/>
      <c r="H6" s="692"/>
      <c r="I6" s="692"/>
      <c r="J6" s="692"/>
      <c r="K6" s="692"/>
      <c r="M6" s="220"/>
      <c r="N6" s="676" t="s">
        <v>1981</v>
      </c>
      <c r="O6" s="758" t="s">
        <v>119</v>
      </c>
      <c r="P6" s="204"/>
      <c r="Q6" s="757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1331"/>
      <c r="C7" s="264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692"/>
      <c r="E7" s="692"/>
      <c r="F7" s="692"/>
      <c r="G7" s="692"/>
      <c r="H7" s="692"/>
      <c r="I7" s="692"/>
      <c r="J7" s="692"/>
      <c r="K7" s="692"/>
      <c r="N7" s="676" t="s">
        <v>1982</v>
      </c>
      <c r="O7" s="747" t="s">
        <v>1957</v>
      </c>
      <c r="P7" s="204"/>
      <c r="Q7" s="757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1330"/>
      <c r="C8" s="746" t="s">
        <v>1980</v>
      </c>
      <c r="D8" s="720"/>
      <c r="E8" s="720"/>
      <c r="F8" s="720"/>
      <c r="G8" s="720"/>
      <c r="H8" s="720"/>
      <c r="I8" s="720"/>
      <c r="J8" s="720"/>
      <c r="K8" s="721"/>
      <c r="N8" s="256" t="s">
        <v>1999</v>
      </c>
      <c r="O8" s="747"/>
      <c r="P8" s="204"/>
      <c r="Q8" s="757"/>
      <c r="R8" s="204"/>
      <c r="S8" s="204"/>
      <c r="T8" s="204"/>
      <c r="U8" s="204"/>
      <c r="V8" s="204"/>
      <c r="W8" s="204"/>
    </row>
    <row r="9" spans="2:79" ht="3.75" customHeight="1">
      <c r="B9" s="1332"/>
      <c r="G9" s="45"/>
      <c r="J9" s="694"/>
      <c r="K9" s="694"/>
      <c r="N9" s="366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1332"/>
      <c r="D10"/>
      <c r="E10"/>
      <c r="F10"/>
      <c r="G10" s="1852"/>
      <c r="H10" s="1852"/>
      <c r="I10" s="166"/>
      <c r="J10" s="166"/>
      <c r="K10" s="166"/>
      <c r="N10" s="366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1332"/>
      <c r="C11" s="1851"/>
      <c r="D11" s="1851"/>
      <c r="E11" s="686"/>
      <c r="G11" s="1852"/>
      <c r="H11" s="1852"/>
      <c r="I11"/>
      <c r="M11" s="81"/>
      <c r="N11" s="366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1332"/>
      <c r="C12" s="730" t="s">
        <v>3187</v>
      </c>
      <c r="D12" s="3"/>
      <c r="E12" s="3"/>
      <c r="G12" s="1852"/>
      <c r="H12" s="1852"/>
      <c r="I12" s="797"/>
      <c r="J12" s="798" t="s">
        <v>3182</v>
      </c>
      <c r="K12" s="799" t="s">
        <v>3635</v>
      </c>
      <c r="L12" s="150" t="str">
        <f ca="1">MID(MID(CELL("filename",B1),FIND("]",CELL("filename",B1))+1,255),1,40)</f>
        <v>PrintPurchaseBill</v>
      </c>
      <c r="M12" s="3"/>
      <c r="N12" s="366"/>
      <c r="O12" s="256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1332"/>
      <c r="C13" s="1871"/>
      <c r="D13" s="1872"/>
      <c r="E13" s="1872"/>
      <c r="F13" s="1873"/>
      <c r="G13" s="1852"/>
      <c r="H13" s="1852"/>
      <c r="I13" s="800"/>
      <c r="J13" s="772" t="s">
        <v>1971</v>
      </c>
      <c r="K13" s="801">
        <v>46215</v>
      </c>
      <c r="L13" s="150"/>
      <c r="M13" s="3"/>
      <c r="N13" s="366"/>
      <c r="O13" s="256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1332"/>
      <c r="C14" s="1874"/>
      <c r="D14" s="1875"/>
      <c r="E14" s="1875"/>
      <c r="F14" s="1876"/>
      <c r="G14" s="1852"/>
      <c r="H14" s="1852"/>
      <c r="I14" s="802"/>
      <c r="J14" s="803" t="s">
        <v>1972</v>
      </c>
      <c r="K14" s="804">
        <v>46215</v>
      </c>
      <c r="M14"/>
      <c r="N14" s="366"/>
      <c r="O14" s="256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8"/>
      <c r="C15" s="5"/>
      <c r="G15" s="5"/>
      <c r="H15" s="5"/>
      <c r="I15" s="5"/>
      <c r="J15" s="5"/>
      <c r="K15" s="5"/>
      <c r="L15" s="5"/>
      <c r="M15" s="5"/>
      <c r="N15" s="366"/>
      <c r="O15" s="256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1333">
        <v>-9</v>
      </c>
      <c r="C16" s="773" t="s">
        <v>3201</v>
      </c>
      <c r="D16" s="774"/>
      <c r="E16" s="774"/>
      <c r="F16" s="775"/>
      <c r="G16" s="775"/>
      <c r="H16" s="776"/>
      <c r="I16" s="777"/>
      <c r="J16" s="778"/>
      <c r="K16" s="779"/>
      <c r="L16" s="58"/>
      <c r="N16" s="366"/>
      <c r="O16" s="256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1333"/>
      <c r="C17" s="780" t="s">
        <v>3183</v>
      </c>
      <c r="D17" s="695"/>
      <c r="E17" s="781" t="s">
        <v>102</v>
      </c>
      <c r="F17" s="782" t="s">
        <v>3543</v>
      </c>
      <c r="G17" s="783"/>
      <c r="H17" s="783"/>
      <c r="I17" s="784"/>
      <c r="J17" s="785"/>
      <c r="K17" s="786"/>
      <c r="L17" s="58"/>
      <c r="M17" s="37"/>
      <c r="N17" s="366"/>
      <c r="O17" s="256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1334"/>
      <c r="C18" s="787" t="s">
        <v>3184</v>
      </c>
      <c r="D18" s="772"/>
      <c r="E18" s="781"/>
      <c r="F18" s="748" t="s">
        <v>2051</v>
      </c>
      <c r="G18" s="749"/>
      <c r="H18" s="749"/>
      <c r="I18" s="749"/>
      <c r="J18" s="749"/>
      <c r="K18" s="788"/>
      <c r="L18" s="727"/>
      <c r="M18" s="728"/>
      <c r="N18" s="366"/>
      <c r="O18" s="256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1333"/>
      <c r="C19" s="780" t="s">
        <v>1973</v>
      </c>
      <c r="D19" s="695"/>
      <c r="E19" s="781" t="s">
        <v>102</v>
      </c>
      <c r="F19" s="1395" t="s">
        <v>2054</v>
      </c>
      <c r="G19" s="1396"/>
      <c r="H19" s="1396"/>
      <c r="I19" s="1396"/>
      <c r="J19" s="1396"/>
      <c r="K19" s="1397"/>
      <c r="L19" s="58"/>
      <c r="N19" s="366"/>
      <c r="O19" s="256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1333"/>
      <c r="C20" s="790" t="s">
        <v>1968</v>
      </c>
      <c r="D20" s="695"/>
      <c r="E20" s="781" t="s">
        <v>102</v>
      </c>
      <c r="F20" s="251"/>
      <c r="G20" s="328"/>
      <c r="H20" s="328"/>
      <c r="I20" s="328"/>
      <c r="J20" s="328"/>
      <c r="K20" s="791"/>
      <c r="L20" s="58"/>
      <c r="M20" s="58"/>
      <c r="N20" s="366"/>
      <c r="O20" s="256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8"/>
      <c r="C21" s="787" t="s">
        <v>1969</v>
      </c>
      <c r="D21" s="792"/>
      <c r="E21" s="781"/>
      <c r="F21" s="729"/>
      <c r="G21" s="748"/>
      <c r="H21" s="748"/>
      <c r="I21" s="748"/>
      <c r="J21" s="748"/>
      <c r="K21" s="793"/>
      <c r="L21" s="5"/>
      <c r="M21" s="5"/>
      <c r="N21" s="366"/>
      <c r="O21" s="256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8"/>
      <c r="C22" s="794" t="s">
        <v>3526</v>
      </c>
      <c r="D22" s="795"/>
      <c r="E22" s="796"/>
      <c r="F22" s="1339"/>
      <c r="G22" s="1339"/>
      <c r="H22" s="1339"/>
      <c r="I22" s="1339"/>
      <c r="J22" s="1339"/>
      <c r="K22" s="1340"/>
      <c r="L22" s="5"/>
      <c r="M22" s="5"/>
      <c r="N22" s="366"/>
      <c r="O22" s="256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8"/>
      <c r="C23" s="697"/>
      <c r="D23" s="697"/>
      <c r="E23" s="697"/>
      <c r="F23" s="1833"/>
      <c r="G23" s="1833"/>
      <c r="H23" s="1833"/>
      <c r="I23" s="695"/>
      <c r="J23" s="695"/>
      <c r="K23" s="696"/>
      <c r="L23" s="5"/>
    </row>
    <row r="24" spans="1:28" s="4" customFormat="1" ht="12" hidden="1" customHeight="1">
      <c r="B24" s="2"/>
      <c r="D24" s="64"/>
      <c r="E24" s="64"/>
      <c r="F24" s="65"/>
      <c r="G24" s="66"/>
      <c r="H24" s="280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698" customFormat="1" ht="27">
      <c r="B25" s="1335"/>
      <c r="C25" s="1378" t="s">
        <v>176</v>
      </c>
      <c r="D25" s="1862" t="s">
        <v>1965</v>
      </c>
      <c r="E25" s="1863"/>
      <c r="F25" s="1864"/>
      <c r="G25" s="1378" t="s">
        <v>151</v>
      </c>
      <c r="H25" s="1378" t="s">
        <v>152</v>
      </c>
      <c r="I25" s="1378" t="s">
        <v>106</v>
      </c>
      <c r="J25" s="1378" t="s">
        <v>99</v>
      </c>
      <c r="K25" s="1378" t="s">
        <v>99</v>
      </c>
      <c r="M25" s="699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700" customFormat="1" ht="15.75">
      <c r="B26" s="1336"/>
      <c r="C26" s="1379" t="s">
        <v>1940</v>
      </c>
      <c r="D26" s="1877" t="s">
        <v>1964</v>
      </c>
      <c r="E26" s="1878"/>
      <c r="F26" s="1879"/>
      <c r="G26" s="1379" t="s">
        <v>19</v>
      </c>
      <c r="H26" s="1379" t="s">
        <v>76</v>
      </c>
      <c r="I26" s="1379" t="s">
        <v>3188</v>
      </c>
      <c r="J26" s="1379" t="s">
        <v>3189</v>
      </c>
      <c r="K26" s="1379" t="s">
        <v>3190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700" customFormat="1" ht="26.45" hidden="1" customHeight="1">
      <c r="A27" s="769"/>
      <c r="B27" s="1336">
        <v>1</v>
      </c>
      <c r="C27" s="736"/>
      <c r="D27" s="731"/>
      <c r="E27" s="732"/>
      <c r="F27" s="733"/>
      <c r="G27" s="734"/>
      <c r="H27" s="734"/>
      <c r="I27" s="741"/>
      <c r="J27" s="741"/>
      <c r="K27" s="742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700" customFormat="1" ht="26.45" hidden="1" customHeight="1">
      <c r="A28" s="769"/>
      <c r="B28" s="1336">
        <v>2</v>
      </c>
      <c r="C28" s="736"/>
      <c r="D28" s="731"/>
      <c r="E28" s="732"/>
      <c r="F28" s="733"/>
      <c r="G28" s="734"/>
      <c r="H28" s="734"/>
      <c r="I28" s="741"/>
      <c r="J28" s="741"/>
      <c r="K28" s="742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700" customFormat="1" ht="26.45" hidden="1" customHeight="1">
      <c r="A29" s="769"/>
      <c r="B29" s="1336">
        <v>3</v>
      </c>
      <c r="C29" s="736"/>
      <c r="D29" s="731"/>
      <c r="E29" s="732"/>
      <c r="F29" s="733"/>
      <c r="G29" s="734"/>
      <c r="H29" s="734"/>
      <c r="I29" s="741"/>
      <c r="J29" s="741"/>
      <c r="K29" s="742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700" customFormat="1" ht="26.45" hidden="1" customHeight="1">
      <c r="A30" s="769"/>
      <c r="B30" s="1336">
        <v>4</v>
      </c>
      <c r="C30" s="736"/>
      <c r="D30" s="731"/>
      <c r="E30" s="732"/>
      <c r="F30" s="733"/>
      <c r="G30" s="734"/>
      <c r="H30" s="734"/>
      <c r="I30" s="741"/>
      <c r="J30" s="741"/>
      <c r="K30" s="742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700" customFormat="1" ht="26.45" hidden="1" customHeight="1">
      <c r="A31" s="769"/>
      <c r="B31" s="1336">
        <v>5</v>
      </c>
      <c r="C31" s="736"/>
      <c r="D31" s="731"/>
      <c r="E31" s="732"/>
      <c r="F31" s="733"/>
      <c r="G31" s="734"/>
      <c r="H31" s="734"/>
      <c r="I31" s="741"/>
      <c r="J31" s="741"/>
      <c r="K31" s="742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700" customFormat="1" ht="26.45" hidden="1" customHeight="1">
      <c r="A32" s="769"/>
      <c r="B32" s="1336">
        <v>6</v>
      </c>
      <c r="C32" s="736"/>
      <c r="D32" s="731"/>
      <c r="E32" s="732"/>
      <c r="F32" s="733"/>
      <c r="G32" s="734"/>
      <c r="H32" s="734"/>
      <c r="I32" s="741"/>
      <c r="J32" s="741"/>
      <c r="K32" s="74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700" customFormat="1" ht="26.45" hidden="1" customHeight="1">
      <c r="A33" s="769"/>
      <c r="B33" s="1336">
        <v>7</v>
      </c>
      <c r="C33" s="736"/>
      <c r="D33" s="731"/>
      <c r="E33" s="732"/>
      <c r="F33" s="733"/>
      <c r="G33" s="734"/>
      <c r="H33" s="734"/>
      <c r="I33" s="741"/>
      <c r="J33" s="741"/>
      <c r="K33" s="742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700" customFormat="1" ht="26.45" hidden="1" customHeight="1">
      <c r="A34" s="769"/>
      <c r="B34" s="1336">
        <v>8</v>
      </c>
      <c r="C34" s="736"/>
      <c r="D34" s="731"/>
      <c r="E34" s="732"/>
      <c r="F34" s="733"/>
      <c r="G34" s="734"/>
      <c r="H34" s="734"/>
      <c r="I34" s="741"/>
      <c r="J34" s="741"/>
      <c r="K34" s="742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700" customFormat="1" ht="26.45" hidden="1" customHeight="1">
      <c r="A35" s="769"/>
      <c r="B35" s="1336">
        <v>9</v>
      </c>
      <c r="C35" s="736"/>
      <c r="D35" s="731"/>
      <c r="E35" s="732"/>
      <c r="F35" s="733"/>
      <c r="G35" s="734"/>
      <c r="H35" s="734"/>
      <c r="I35" s="741"/>
      <c r="J35" s="741"/>
      <c r="K35" s="742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700" customFormat="1" ht="26.45" hidden="1" customHeight="1">
      <c r="A36" s="769"/>
      <c r="B36" s="1336">
        <v>10</v>
      </c>
      <c r="C36" s="736"/>
      <c r="D36" s="731"/>
      <c r="E36" s="732"/>
      <c r="F36" s="733"/>
      <c r="G36" s="734"/>
      <c r="H36" s="734"/>
      <c r="I36" s="741"/>
      <c r="J36" s="741"/>
      <c r="K36" s="742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700" customFormat="1" ht="26.45" hidden="1" customHeight="1">
      <c r="A37" s="769"/>
      <c r="B37" s="1336">
        <v>11</v>
      </c>
      <c r="C37" s="736"/>
      <c r="D37" s="731"/>
      <c r="E37" s="732"/>
      <c r="F37" s="733"/>
      <c r="G37" s="734"/>
      <c r="H37" s="734"/>
      <c r="I37" s="741"/>
      <c r="J37" s="741"/>
      <c r="K37" s="742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00" customFormat="1" ht="26.45" hidden="1" customHeight="1">
      <c r="A38" s="769"/>
      <c r="B38" s="1336">
        <v>12</v>
      </c>
      <c r="C38" s="736"/>
      <c r="D38" s="731"/>
      <c r="E38" s="732"/>
      <c r="F38" s="733"/>
      <c r="G38" s="734"/>
      <c r="H38" s="734"/>
      <c r="I38" s="741"/>
      <c r="J38" s="741"/>
      <c r="K38" s="742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00" customFormat="1" ht="26.45" hidden="1" customHeight="1">
      <c r="A39" s="769"/>
      <c r="B39" s="1336">
        <v>13</v>
      </c>
      <c r="C39" s="736"/>
      <c r="D39" s="731"/>
      <c r="E39" s="732"/>
      <c r="F39" s="733"/>
      <c r="G39" s="734"/>
      <c r="H39" s="734"/>
      <c r="I39" s="741"/>
      <c r="J39" s="741"/>
      <c r="K39" s="742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00" customFormat="1" ht="26.45" hidden="1" customHeight="1">
      <c r="A40" s="769"/>
      <c r="B40" s="1336">
        <v>14</v>
      </c>
      <c r="C40" s="736"/>
      <c r="D40" s="731"/>
      <c r="E40" s="732"/>
      <c r="F40" s="733"/>
      <c r="G40" s="734"/>
      <c r="H40" s="734"/>
      <c r="I40" s="741"/>
      <c r="J40" s="741"/>
      <c r="K40" s="742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00" customFormat="1" ht="26.45" hidden="1" customHeight="1">
      <c r="A41" s="769"/>
      <c r="B41" s="1336">
        <v>15</v>
      </c>
      <c r="C41" s="736"/>
      <c r="D41" s="731"/>
      <c r="E41" s="732"/>
      <c r="F41" s="733"/>
      <c r="G41" s="734"/>
      <c r="H41" s="734"/>
      <c r="I41" s="741"/>
      <c r="J41" s="741"/>
      <c r="K41" s="742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00" customFormat="1" ht="26.45" hidden="1" customHeight="1">
      <c r="A42" s="769"/>
      <c r="B42" s="1336">
        <v>16</v>
      </c>
      <c r="C42" s="736"/>
      <c r="D42" s="731"/>
      <c r="E42" s="732"/>
      <c r="F42" s="733"/>
      <c r="G42" s="734"/>
      <c r="H42" s="734"/>
      <c r="I42" s="741"/>
      <c r="J42" s="741"/>
      <c r="K42" s="7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00" customFormat="1" ht="26.45" hidden="1" customHeight="1">
      <c r="A43" s="769"/>
      <c r="B43" s="1336">
        <v>17</v>
      </c>
      <c r="C43" s="736"/>
      <c r="D43" s="731"/>
      <c r="E43" s="732"/>
      <c r="F43" s="733"/>
      <c r="G43" s="734"/>
      <c r="H43" s="734"/>
      <c r="I43" s="741"/>
      <c r="J43" s="741"/>
      <c r="K43" s="742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00" customFormat="1" ht="26.45" hidden="1" customHeight="1">
      <c r="A44" s="769"/>
      <c r="B44" s="1336">
        <v>18</v>
      </c>
      <c r="C44" s="736"/>
      <c r="D44" s="731"/>
      <c r="E44" s="732"/>
      <c r="F44" s="733"/>
      <c r="G44" s="734"/>
      <c r="H44" s="734"/>
      <c r="I44" s="741"/>
      <c r="J44" s="741"/>
      <c r="K44" s="742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00" customFormat="1" ht="26.45" hidden="1" customHeight="1">
      <c r="A45" s="769"/>
      <c r="B45" s="1336">
        <v>19</v>
      </c>
      <c r="C45" s="736"/>
      <c r="D45" s="731"/>
      <c r="E45" s="732"/>
      <c r="F45" s="733"/>
      <c r="G45" s="734"/>
      <c r="H45" s="734"/>
      <c r="I45" s="741"/>
      <c r="J45" s="741"/>
      <c r="K45" s="742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00" customFormat="1" ht="26.45" hidden="1" customHeight="1">
      <c r="A46" s="769"/>
      <c r="B46" s="1336">
        <v>20</v>
      </c>
      <c r="C46" s="736"/>
      <c r="D46" s="731"/>
      <c r="E46" s="732"/>
      <c r="F46" s="733"/>
      <c r="G46" s="734"/>
      <c r="H46" s="734"/>
      <c r="I46" s="741"/>
      <c r="J46" s="741"/>
      <c r="K46" s="742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00" customFormat="1" ht="26.45" hidden="1" customHeight="1">
      <c r="A47" s="769"/>
      <c r="B47" s="1336">
        <v>21</v>
      </c>
      <c r="C47" s="736"/>
      <c r="D47" s="731"/>
      <c r="E47" s="732"/>
      <c r="F47" s="733"/>
      <c r="G47" s="734"/>
      <c r="H47" s="734"/>
      <c r="I47" s="741"/>
      <c r="J47" s="741"/>
      <c r="K47" s="74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00" customFormat="1" ht="26.45" hidden="1" customHeight="1">
      <c r="A48" s="769"/>
      <c r="B48" s="1336">
        <v>22</v>
      </c>
      <c r="C48" s="736"/>
      <c r="D48" s="731"/>
      <c r="E48" s="732"/>
      <c r="F48" s="733"/>
      <c r="G48" s="734"/>
      <c r="H48" s="734"/>
      <c r="I48" s="741"/>
      <c r="J48" s="741"/>
      <c r="K48" s="742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00" customFormat="1" ht="26.45" hidden="1" customHeight="1">
      <c r="A49" s="769"/>
      <c r="B49" s="1336">
        <v>23</v>
      </c>
      <c r="C49" s="736"/>
      <c r="D49" s="731"/>
      <c r="E49" s="732"/>
      <c r="F49" s="733"/>
      <c r="G49" s="734"/>
      <c r="H49" s="734"/>
      <c r="I49" s="741"/>
      <c r="J49" s="741"/>
      <c r="K49" s="742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00" customFormat="1" ht="26.45" hidden="1" customHeight="1">
      <c r="A50" s="769"/>
      <c r="B50" s="1336">
        <v>24</v>
      </c>
      <c r="C50" s="736"/>
      <c r="D50" s="731"/>
      <c r="E50" s="732"/>
      <c r="F50" s="733"/>
      <c r="G50" s="734"/>
      <c r="H50" s="734"/>
      <c r="I50" s="741"/>
      <c r="J50" s="741"/>
      <c r="K50" s="742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00" customFormat="1" ht="26.45" hidden="1" customHeight="1">
      <c r="A51" s="769"/>
      <c r="B51" s="1336">
        <v>25</v>
      </c>
      <c r="C51" s="736"/>
      <c r="D51" s="731"/>
      <c r="E51" s="732"/>
      <c r="F51" s="733"/>
      <c r="G51" s="734"/>
      <c r="H51" s="734"/>
      <c r="I51" s="741"/>
      <c r="J51" s="741"/>
      <c r="K51" s="742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00" customFormat="1" ht="26.45" hidden="1" customHeight="1">
      <c r="A52" s="769"/>
      <c r="B52" s="1336">
        <v>26</v>
      </c>
      <c r="C52" s="736"/>
      <c r="D52" s="731"/>
      <c r="E52" s="732"/>
      <c r="F52" s="733"/>
      <c r="G52" s="734"/>
      <c r="H52" s="734"/>
      <c r="I52" s="741"/>
      <c r="J52" s="741"/>
      <c r="K52" s="74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00" customFormat="1" ht="26.45" hidden="1" customHeight="1">
      <c r="A53" s="769"/>
      <c r="B53" s="1336">
        <v>27</v>
      </c>
      <c r="C53" s="736"/>
      <c r="D53" s="731"/>
      <c r="E53" s="732"/>
      <c r="F53" s="733"/>
      <c r="G53" s="734"/>
      <c r="H53" s="734"/>
      <c r="I53" s="741"/>
      <c r="J53" s="741"/>
      <c r="K53" s="742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00" customFormat="1" ht="26.45" hidden="1" customHeight="1">
      <c r="A54" s="769"/>
      <c r="B54" s="1336">
        <v>28</v>
      </c>
      <c r="C54" s="736"/>
      <c r="D54" s="731"/>
      <c r="E54" s="732"/>
      <c r="F54" s="733"/>
      <c r="G54" s="734"/>
      <c r="H54" s="734"/>
      <c r="I54" s="741"/>
      <c r="J54" s="741"/>
      <c r="K54" s="742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00" customFormat="1" ht="26.45" hidden="1" customHeight="1">
      <c r="B55" s="1336">
        <v>29</v>
      </c>
      <c r="C55" s="736"/>
      <c r="D55" s="731"/>
      <c r="E55" s="732"/>
      <c r="F55" s="733"/>
      <c r="G55" s="734"/>
      <c r="H55" s="734"/>
      <c r="I55" s="741"/>
      <c r="J55" s="741"/>
      <c r="K55" s="742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00" customFormat="1" ht="26.45" hidden="1" customHeight="1">
      <c r="B56" s="1336">
        <v>30</v>
      </c>
      <c r="C56" s="736"/>
      <c r="D56" s="731"/>
      <c r="E56" s="732"/>
      <c r="F56" s="733"/>
      <c r="G56" s="734"/>
      <c r="H56" s="734"/>
      <c r="I56" s="741"/>
      <c r="J56" s="741"/>
      <c r="K56" s="742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00" customFormat="1" ht="26.45" hidden="1" customHeight="1">
      <c r="B57" s="1336">
        <v>31</v>
      </c>
      <c r="C57" s="736"/>
      <c r="D57" s="731"/>
      <c r="E57" s="732"/>
      <c r="F57" s="733"/>
      <c r="G57" s="734"/>
      <c r="H57" s="734"/>
      <c r="I57" s="741"/>
      <c r="J57" s="741"/>
      <c r="K57" s="742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00" customFormat="1" ht="26.45" hidden="1" customHeight="1">
      <c r="B58" s="1336">
        <v>32</v>
      </c>
      <c r="C58" s="736"/>
      <c r="D58" s="731"/>
      <c r="E58" s="732"/>
      <c r="F58" s="733"/>
      <c r="G58" s="867"/>
      <c r="H58" s="734"/>
      <c r="I58" s="741"/>
      <c r="J58" s="741"/>
      <c r="K58" s="74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00" customFormat="1" ht="26.45" hidden="1" customHeight="1">
      <c r="B59" s="1336">
        <v>33</v>
      </c>
      <c r="C59" s="736"/>
      <c r="D59" s="731"/>
      <c r="E59" s="732"/>
      <c r="F59" s="733"/>
      <c r="G59" s="867"/>
      <c r="H59" s="734"/>
      <c r="I59" s="741"/>
      <c r="J59" s="741"/>
      <c r="K59" s="74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00" customFormat="1" ht="26.45" hidden="1" customHeight="1">
      <c r="B60" s="1336">
        <v>34</v>
      </c>
      <c r="C60" s="736"/>
      <c r="D60" s="731"/>
      <c r="E60" s="732"/>
      <c r="F60" s="733"/>
      <c r="G60" s="867"/>
      <c r="H60" s="734"/>
      <c r="I60" s="741"/>
      <c r="J60" s="741"/>
      <c r="K60" s="742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00" customFormat="1" ht="26.45" hidden="1" customHeight="1">
      <c r="B61" s="1336">
        <v>35</v>
      </c>
      <c r="C61" s="736"/>
      <c r="D61" s="731"/>
      <c r="E61" s="732"/>
      <c r="F61" s="733"/>
      <c r="G61" s="867"/>
      <c r="H61" s="734"/>
      <c r="I61" s="741"/>
      <c r="J61" s="741"/>
      <c r="K61" s="742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00" customFormat="1" ht="26.45" hidden="1" customHeight="1">
      <c r="B62" s="1336">
        <v>36</v>
      </c>
      <c r="C62" s="736"/>
      <c r="D62" s="731"/>
      <c r="E62" s="732"/>
      <c r="F62" s="733"/>
      <c r="G62" s="867"/>
      <c r="H62" s="734"/>
      <c r="I62" s="741"/>
      <c r="J62" s="741"/>
      <c r="K62" s="74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00" customFormat="1" ht="26.45" hidden="1" customHeight="1">
      <c r="B63" s="1336">
        <v>37</v>
      </c>
      <c r="C63" s="736"/>
      <c r="D63" s="731"/>
      <c r="E63" s="732"/>
      <c r="F63" s="733"/>
      <c r="G63" s="867"/>
      <c r="H63" s="734"/>
      <c r="I63" s="741"/>
      <c r="J63" s="741"/>
      <c r="K63" s="742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00" customFormat="1" ht="26.45" hidden="1" customHeight="1">
      <c r="B64" s="1336">
        <v>38</v>
      </c>
      <c r="C64" s="736"/>
      <c r="D64" s="731"/>
      <c r="E64" s="732"/>
      <c r="F64" s="733"/>
      <c r="G64" s="867"/>
      <c r="H64" s="734"/>
      <c r="I64" s="741"/>
      <c r="J64" s="741"/>
      <c r="K64" s="742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700" customFormat="1" ht="26.45" hidden="1" customHeight="1">
      <c r="B65" s="1336">
        <v>39</v>
      </c>
      <c r="C65" s="736"/>
      <c r="D65" s="731"/>
      <c r="E65" s="732"/>
      <c r="F65" s="733"/>
      <c r="G65" s="867"/>
      <c r="H65" s="734"/>
      <c r="I65" s="741"/>
      <c r="J65" s="741"/>
      <c r="K65" s="742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700" customFormat="1" ht="26.45" hidden="1" customHeight="1">
      <c r="B66" s="1336">
        <v>40</v>
      </c>
      <c r="C66" s="736"/>
      <c r="D66" s="731"/>
      <c r="E66" s="732"/>
      <c r="F66" s="733"/>
      <c r="G66" s="867"/>
      <c r="H66" s="734"/>
      <c r="I66" s="741"/>
      <c r="J66" s="741"/>
      <c r="K66" s="742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700" customFormat="1" ht="26.45" hidden="1" customHeight="1">
      <c r="B67" s="1336">
        <v>41</v>
      </c>
      <c r="C67" s="736"/>
      <c r="D67" s="731"/>
      <c r="E67" s="732"/>
      <c r="F67" s="733"/>
      <c r="G67" s="867"/>
      <c r="H67" s="734"/>
      <c r="I67" s="741"/>
      <c r="J67" s="741"/>
      <c r="K67" s="742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700" customFormat="1" ht="26.45" hidden="1" customHeight="1">
      <c r="B68" s="1336">
        <v>42</v>
      </c>
      <c r="C68" s="736"/>
      <c r="D68" s="731"/>
      <c r="E68" s="732"/>
      <c r="F68" s="733"/>
      <c r="G68" s="867"/>
      <c r="H68" s="734"/>
      <c r="I68" s="741"/>
      <c r="J68" s="741"/>
      <c r="K68" s="742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700" customFormat="1" ht="26.45" hidden="1" customHeight="1">
      <c r="B69" s="1336">
        <v>43</v>
      </c>
      <c r="C69" s="736"/>
      <c r="D69" s="731"/>
      <c r="E69" s="732"/>
      <c r="F69" s="733"/>
      <c r="G69" s="867"/>
      <c r="H69" s="734"/>
      <c r="I69" s="741"/>
      <c r="J69" s="741"/>
      <c r="K69" s="742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700" customFormat="1" ht="26.45" hidden="1" customHeight="1">
      <c r="B70" s="1336">
        <v>44</v>
      </c>
      <c r="C70" s="736"/>
      <c r="D70" s="731"/>
      <c r="E70" s="732"/>
      <c r="F70" s="733"/>
      <c r="G70" s="867"/>
      <c r="H70" s="734"/>
      <c r="I70" s="741"/>
      <c r="J70" s="741"/>
      <c r="K70" s="742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700" customFormat="1" ht="26.45" hidden="1" customHeight="1">
      <c r="B71" s="1336">
        <v>45</v>
      </c>
      <c r="C71" s="736"/>
      <c r="D71" s="731"/>
      <c r="E71" s="732"/>
      <c r="F71" s="733"/>
      <c r="G71" s="867"/>
      <c r="H71" s="734"/>
      <c r="I71" s="741"/>
      <c r="J71" s="741"/>
      <c r="K71" s="742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700" customFormat="1" ht="26.45" hidden="1" customHeight="1">
      <c r="B72" s="1336">
        <v>46</v>
      </c>
      <c r="C72" s="736"/>
      <c r="D72" s="731"/>
      <c r="E72" s="732"/>
      <c r="F72" s="733"/>
      <c r="G72" s="867"/>
      <c r="H72" s="734"/>
      <c r="I72" s="741"/>
      <c r="J72" s="741"/>
      <c r="K72" s="74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700" customFormat="1" ht="26.45" hidden="1" customHeight="1">
      <c r="B73" s="1336">
        <v>47</v>
      </c>
      <c r="C73" s="736"/>
      <c r="D73" s="731"/>
      <c r="E73" s="732"/>
      <c r="F73" s="733"/>
      <c r="G73" s="867"/>
      <c r="H73" s="734"/>
      <c r="I73" s="741"/>
      <c r="J73" s="741"/>
      <c r="K73" s="742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700" customFormat="1" ht="26.45" hidden="1" customHeight="1">
      <c r="B74" s="1336">
        <v>48</v>
      </c>
      <c r="C74" s="736"/>
      <c r="D74" s="731"/>
      <c r="E74" s="732"/>
      <c r="F74" s="733"/>
      <c r="G74" s="867"/>
      <c r="H74" s="734"/>
      <c r="I74" s="741"/>
      <c r="J74" s="741"/>
      <c r="K74" s="742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700" customFormat="1" ht="26.45" hidden="1" customHeight="1">
      <c r="B75" s="1336">
        <v>49</v>
      </c>
      <c r="C75" s="736"/>
      <c r="D75" s="731"/>
      <c r="E75" s="732"/>
      <c r="F75" s="733"/>
      <c r="G75" s="867"/>
      <c r="H75" s="734"/>
      <c r="I75" s="741"/>
      <c r="J75" s="741"/>
      <c r="K75" s="742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700" customFormat="1" ht="26.45" hidden="1" customHeight="1">
      <c r="B76" s="1336">
        <v>50</v>
      </c>
      <c r="C76" s="736"/>
      <c r="D76" s="731"/>
      <c r="E76" s="732"/>
      <c r="F76" s="733"/>
      <c r="G76" s="867"/>
      <c r="H76" s="734"/>
      <c r="I76" s="741"/>
      <c r="J76" s="741"/>
      <c r="K76" s="742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700" customFormat="1" ht="26.45" hidden="1" customHeight="1">
      <c r="B77" s="1336">
        <v>51</v>
      </c>
      <c r="C77" s="736"/>
      <c r="D77" s="731"/>
      <c r="E77" s="732"/>
      <c r="F77" s="733"/>
      <c r="G77" s="867"/>
      <c r="H77" s="734"/>
      <c r="I77" s="741"/>
      <c r="J77" s="741"/>
      <c r="K77" s="742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700" customFormat="1" ht="26.45" hidden="1" customHeight="1">
      <c r="B78" s="1336">
        <v>52</v>
      </c>
      <c r="C78" s="736"/>
      <c r="D78" s="731"/>
      <c r="E78" s="732"/>
      <c r="F78" s="733"/>
      <c r="G78" s="867"/>
      <c r="H78" s="734"/>
      <c r="I78" s="741"/>
      <c r="J78" s="741"/>
      <c r="K78" s="742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700" customFormat="1" ht="26.45" hidden="1" customHeight="1">
      <c r="B79" s="1336">
        <v>53</v>
      </c>
      <c r="C79" s="736"/>
      <c r="D79" s="731"/>
      <c r="E79" s="732"/>
      <c r="F79" s="733"/>
      <c r="G79" s="867"/>
      <c r="H79" s="734"/>
      <c r="I79" s="741"/>
      <c r="J79" s="741"/>
      <c r="K79" s="742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700" customFormat="1" ht="26.45" hidden="1" customHeight="1">
      <c r="B80" s="1336">
        <v>54</v>
      </c>
      <c r="C80" s="736"/>
      <c r="D80" s="731"/>
      <c r="E80" s="732"/>
      <c r="F80" s="733"/>
      <c r="G80" s="867"/>
      <c r="H80" s="734"/>
      <c r="I80" s="741"/>
      <c r="J80" s="741"/>
      <c r="K80" s="742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700" customFormat="1" ht="26.45" hidden="1" customHeight="1">
      <c r="B81" s="1336">
        <v>55</v>
      </c>
      <c r="C81" s="736"/>
      <c r="D81" s="731"/>
      <c r="E81" s="732"/>
      <c r="F81" s="733"/>
      <c r="G81" s="867"/>
      <c r="H81" s="734"/>
      <c r="I81" s="741"/>
      <c r="J81" s="741"/>
      <c r="K81" s="742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700" customFormat="1" ht="26.45" hidden="1" customHeight="1">
      <c r="B82" s="1336">
        <v>56</v>
      </c>
      <c r="C82" s="736"/>
      <c r="D82" s="731"/>
      <c r="E82" s="732"/>
      <c r="F82" s="733"/>
      <c r="G82" s="867"/>
      <c r="H82" s="734"/>
      <c r="I82" s="741"/>
      <c r="J82" s="741"/>
      <c r="K82" s="74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700" customFormat="1" ht="26.45" hidden="1" customHeight="1">
      <c r="B83" s="1336">
        <v>57</v>
      </c>
      <c r="C83" s="736"/>
      <c r="D83" s="731"/>
      <c r="E83" s="732"/>
      <c r="F83" s="733"/>
      <c r="G83" s="867"/>
      <c r="H83" s="734"/>
      <c r="I83" s="741"/>
      <c r="J83" s="741"/>
      <c r="K83" s="742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700" customFormat="1" ht="26.45" hidden="1" customHeight="1">
      <c r="B84" s="1336">
        <v>58</v>
      </c>
      <c r="C84" s="736"/>
      <c r="D84" s="731"/>
      <c r="E84" s="732"/>
      <c r="F84" s="733"/>
      <c r="G84" s="867"/>
      <c r="H84" s="734"/>
      <c r="I84" s="741"/>
      <c r="J84" s="741"/>
      <c r="K84" s="742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700" customFormat="1" ht="26.45" hidden="1" customHeight="1">
      <c r="B85" s="1336">
        <v>59</v>
      </c>
      <c r="C85" s="736"/>
      <c r="D85" s="731"/>
      <c r="E85" s="732"/>
      <c r="F85" s="733"/>
      <c r="G85" s="867"/>
      <c r="H85" s="734"/>
      <c r="I85" s="741"/>
      <c r="J85" s="741"/>
      <c r="K85" s="742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700" customFormat="1" ht="26.45" hidden="1" customHeight="1">
      <c r="B86" s="1336">
        <v>60</v>
      </c>
      <c r="C86" s="736"/>
      <c r="D86" s="731"/>
      <c r="E86" s="732"/>
      <c r="F86" s="733"/>
      <c r="G86" s="867"/>
      <c r="H86" s="734"/>
      <c r="I86" s="741"/>
      <c r="J86" s="741"/>
      <c r="K86" s="742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700" customFormat="1" ht="26.45" hidden="1" customHeight="1">
      <c r="B87" s="1336">
        <v>61</v>
      </c>
      <c r="C87" s="736"/>
      <c r="D87" s="731"/>
      <c r="E87" s="732"/>
      <c r="F87" s="733"/>
      <c r="G87" s="867"/>
      <c r="H87" s="734"/>
      <c r="I87" s="741"/>
      <c r="J87" s="741"/>
      <c r="K87" s="742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700" customFormat="1" ht="26.45" hidden="1" customHeight="1">
      <c r="B88" s="1336">
        <v>62</v>
      </c>
      <c r="C88" s="736"/>
      <c r="D88" s="731"/>
      <c r="E88" s="732"/>
      <c r="F88" s="733"/>
      <c r="G88" s="867"/>
      <c r="H88" s="734"/>
      <c r="I88" s="741"/>
      <c r="J88" s="741"/>
      <c r="K88" s="742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700" customFormat="1" ht="26.45" hidden="1" customHeight="1">
      <c r="B89" s="1336">
        <v>63</v>
      </c>
      <c r="C89" s="736"/>
      <c r="D89" s="731"/>
      <c r="E89" s="732"/>
      <c r="F89" s="733"/>
      <c r="G89" s="867"/>
      <c r="H89" s="734"/>
      <c r="I89" s="741"/>
      <c r="J89" s="741"/>
      <c r="K89" s="742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700" customFormat="1" ht="26.45" hidden="1" customHeight="1">
      <c r="B90" s="1336">
        <v>64</v>
      </c>
      <c r="C90" s="736"/>
      <c r="D90" s="731"/>
      <c r="E90" s="732"/>
      <c r="F90" s="733"/>
      <c r="G90" s="867"/>
      <c r="H90" s="734"/>
      <c r="I90" s="741"/>
      <c r="J90" s="741"/>
      <c r="K90" s="742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700" customFormat="1" ht="26.45" hidden="1" customHeight="1">
      <c r="B91" s="1336">
        <v>65</v>
      </c>
      <c r="C91" s="736"/>
      <c r="D91" s="731"/>
      <c r="E91" s="732"/>
      <c r="F91" s="733"/>
      <c r="G91" s="867"/>
      <c r="H91" s="734"/>
      <c r="I91" s="741"/>
      <c r="J91" s="741"/>
      <c r="K91" s="742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700" customFormat="1" ht="26.45" hidden="1" customHeight="1">
      <c r="B92" s="1336">
        <v>66</v>
      </c>
      <c r="C92" s="736"/>
      <c r="D92" s="731"/>
      <c r="E92" s="732"/>
      <c r="F92" s="733"/>
      <c r="G92" s="867"/>
      <c r="H92" s="734"/>
      <c r="I92" s="741"/>
      <c r="J92" s="741"/>
      <c r="K92" s="74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700" customFormat="1" ht="26.45" hidden="1" customHeight="1">
      <c r="B93" s="1336">
        <v>67</v>
      </c>
      <c r="C93" s="736"/>
      <c r="D93" s="731"/>
      <c r="E93" s="732"/>
      <c r="F93" s="733"/>
      <c r="G93" s="867"/>
      <c r="H93" s="734"/>
      <c r="I93" s="741"/>
      <c r="J93" s="741"/>
      <c r="K93" s="742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700" customFormat="1" ht="26.45" hidden="1" customHeight="1">
      <c r="B94" s="1336">
        <v>68</v>
      </c>
      <c r="C94" s="736"/>
      <c r="D94" s="731"/>
      <c r="E94" s="732"/>
      <c r="F94" s="733"/>
      <c r="G94" s="867"/>
      <c r="H94" s="734"/>
      <c r="I94" s="741"/>
      <c r="J94" s="741"/>
      <c r="K94" s="742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700" customFormat="1" ht="26.45" hidden="1" customHeight="1">
      <c r="B95" s="1336">
        <v>69</v>
      </c>
      <c r="C95" s="736"/>
      <c r="D95" s="731"/>
      <c r="E95" s="732"/>
      <c r="F95" s="733"/>
      <c r="G95" s="867"/>
      <c r="H95" s="734"/>
      <c r="I95" s="741"/>
      <c r="J95" s="741"/>
      <c r="K95" s="742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700" customFormat="1" ht="26.45" hidden="1" customHeight="1">
      <c r="B96" s="1336">
        <v>70</v>
      </c>
      <c r="C96" s="736"/>
      <c r="D96" s="731"/>
      <c r="E96" s="732"/>
      <c r="F96" s="733"/>
      <c r="G96" s="867"/>
      <c r="H96" s="734"/>
      <c r="I96" s="741"/>
      <c r="J96" s="741"/>
      <c r="K96" s="742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700" customFormat="1" ht="26.45" hidden="1" customHeight="1">
      <c r="B97" s="1336">
        <v>71</v>
      </c>
      <c r="C97" s="736"/>
      <c r="D97" s="731"/>
      <c r="E97" s="732"/>
      <c r="F97" s="733"/>
      <c r="G97" s="867"/>
      <c r="H97" s="734"/>
      <c r="I97" s="741"/>
      <c r="J97" s="741"/>
      <c r="K97" s="742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700" customFormat="1" ht="26.45" hidden="1" customHeight="1">
      <c r="B98" s="1336">
        <v>72</v>
      </c>
      <c r="C98" s="736"/>
      <c r="D98" s="731"/>
      <c r="E98" s="732"/>
      <c r="F98" s="733"/>
      <c r="G98" s="867"/>
      <c r="H98" s="734"/>
      <c r="I98" s="741"/>
      <c r="J98" s="741"/>
      <c r="K98" s="742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700" customFormat="1" ht="26.45" hidden="1" customHeight="1">
      <c r="B99" s="1336">
        <v>73</v>
      </c>
      <c r="C99" s="736"/>
      <c r="D99" s="731"/>
      <c r="E99" s="732"/>
      <c r="F99" s="733"/>
      <c r="G99" s="867"/>
      <c r="H99" s="734"/>
      <c r="I99" s="741"/>
      <c r="J99" s="741"/>
      <c r="K99" s="742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700" customFormat="1" ht="26.45" hidden="1" customHeight="1">
      <c r="B100" s="1336">
        <v>74</v>
      </c>
      <c r="C100" s="736"/>
      <c r="D100" s="731"/>
      <c r="E100" s="732"/>
      <c r="F100" s="733"/>
      <c r="G100" s="867"/>
      <c r="H100" s="734"/>
      <c r="I100" s="741"/>
      <c r="J100" s="741"/>
      <c r="K100" s="742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700" customFormat="1" ht="26.45" hidden="1" customHeight="1">
      <c r="B101" s="1336">
        <v>75</v>
      </c>
      <c r="C101" s="736"/>
      <c r="D101" s="731"/>
      <c r="E101" s="732"/>
      <c r="F101" s="733"/>
      <c r="G101" s="867"/>
      <c r="H101" s="734"/>
      <c r="I101" s="741"/>
      <c r="J101" s="741"/>
      <c r="K101" s="742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700" customFormat="1" ht="26.45" hidden="1" customHeight="1">
      <c r="B102" s="1336">
        <v>76</v>
      </c>
      <c r="C102" s="736"/>
      <c r="D102" s="731"/>
      <c r="E102" s="732"/>
      <c r="F102" s="733"/>
      <c r="G102" s="867"/>
      <c r="H102" s="734"/>
      <c r="I102" s="741"/>
      <c r="J102" s="741"/>
      <c r="K102" s="74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700" customFormat="1" ht="26.45" hidden="1" customHeight="1">
      <c r="B103" s="1336">
        <v>77</v>
      </c>
      <c r="C103" s="736"/>
      <c r="D103" s="731"/>
      <c r="E103" s="732"/>
      <c r="F103" s="733"/>
      <c r="G103" s="867"/>
      <c r="H103" s="734"/>
      <c r="I103" s="741"/>
      <c r="J103" s="741"/>
      <c r="K103" s="742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700" customFormat="1" ht="26.45" hidden="1" customHeight="1">
      <c r="B104" s="1336">
        <v>78</v>
      </c>
      <c r="C104" s="736"/>
      <c r="D104" s="731"/>
      <c r="E104" s="732"/>
      <c r="F104" s="733"/>
      <c r="G104" s="867"/>
      <c r="H104" s="734"/>
      <c r="I104" s="741"/>
      <c r="J104" s="741"/>
      <c r="K104" s="742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700" customFormat="1" ht="26.45" hidden="1" customHeight="1">
      <c r="B105" s="1336">
        <v>79</v>
      </c>
      <c r="C105" s="736"/>
      <c r="D105" s="731"/>
      <c r="E105" s="732"/>
      <c r="F105" s="733"/>
      <c r="G105" s="867"/>
      <c r="H105" s="734"/>
      <c r="I105" s="741"/>
      <c r="J105" s="741"/>
      <c r="K105" s="742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700" customFormat="1" ht="26.45" hidden="1" customHeight="1">
      <c r="B106" s="1336">
        <v>80</v>
      </c>
      <c r="C106" s="736"/>
      <c r="D106" s="731"/>
      <c r="E106" s="732"/>
      <c r="F106" s="733"/>
      <c r="G106" s="867"/>
      <c r="H106" s="734"/>
      <c r="I106" s="741"/>
      <c r="J106" s="741"/>
      <c r="K106" s="742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700" customFormat="1" ht="26.45" hidden="1" customHeight="1">
      <c r="B107" s="1336">
        <v>81</v>
      </c>
      <c r="C107" s="736"/>
      <c r="D107" s="731"/>
      <c r="E107" s="732"/>
      <c r="F107" s="733"/>
      <c r="G107" s="867"/>
      <c r="H107" s="734"/>
      <c r="I107" s="741"/>
      <c r="J107" s="741"/>
      <c r="K107" s="742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700" customFormat="1" ht="26.45" hidden="1" customHeight="1">
      <c r="B108" s="1336">
        <v>82</v>
      </c>
      <c r="C108" s="736"/>
      <c r="D108" s="731"/>
      <c r="E108" s="732"/>
      <c r="F108" s="733"/>
      <c r="G108" s="867"/>
      <c r="H108" s="734"/>
      <c r="I108" s="741"/>
      <c r="J108" s="741"/>
      <c r="K108" s="742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700" customFormat="1" ht="26.45" hidden="1" customHeight="1">
      <c r="B109" s="1336">
        <v>83</v>
      </c>
      <c r="C109" s="736"/>
      <c r="D109" s="731"/>
      <c r="E109" s="732"/>
      <c r="F109" s="733"/>
      <c r="G109" s="867"/>
      <c r="H109" s="734"/>
      <c r="I109" s="741"/>
      <c r="J109" s="741"/>
      <c r="K109" s="742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700" customFormat="1" ht="26.45" hidden="1" customHeight="1">
      <c r="B110" s="1336">
        <v>84</v>
      </c>
      <c r="C110" s="736"/>
      <c r="D110" s="731"/>
      <c r="E110" s="732"/>
      <c r="F110" s="733"/>
      <c r="G110" s="867"/>
      <c r="H110" s="734"/>
      <c r="I110" s="741"/>
      <c r="J110" s="741"/>
      <c r="K110" s="742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700" customFormat="1" ht="26.45" hidden="1" customHeight="1">
      <c r="B111" s="1336">
        <v>85</v>
      </c>
      <c r="C111" s="736"/>
      <c r="D111" s="731"/>
      <c r="E111" s="732"/>
      <c r="F111" s="733"/>
      <c r="G111" s="867"/>
      <c r="H111" s="734"/>
      <c r="I111" s="741"/>
      <c r="J111" s="741"/>
      <c r="K111" s="742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700" customFormat="1" ht="26.45" hidden="1" customHeight="1">
      <c r="B112" s="1336">
        <v>86</v>
      </c>
      <c r="C112" s="736"/>
      <c r="D112" s="731"/>
      <c r="E112" s="732"/>
      <c r="F112" s="733"/>
      <c r="G112" s="867"/>
      <c r="H112" s="734"/>
      <c r="I112" s="741"/>
      <c r="J112" s="741"/>
      <c r="K112" s="74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700" customFormat="1" ht="26.45" hidden="1" customHeight="1">
      <c r="B113" s="1336">
        <v>87</v>
      </c>
      <c r="C113" s="736"/>
      <c r="D113" s="731"/>
      <c r="E113" s="732"/>
      <c r="F113" s="733"/>
      <c r="G113" s="867"/>
      <c r="H113" s="734"/>
      <c r="I113" s="741"/>
      <c r="J113" s="741"/>
      <c r="K113" s="742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700" customFormat="1" ht="26.45" hidden="1" customHeight="1">
      <c r="B114" s="1336">
        <v>88</v>
      </c>
      <c r="C114" s="736"/>
      <c r="D114" s="731"/>
      <c r="E114" s="732"/>
      <c r="F114" s="733"/>
      <c r="G114" s="867"/>
      <c r="H114" s="734"/>
      <c r="I114" s="741"/>
      <c r="J114" s="741"/>
      <c r="K114" s="742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700" customFormat="1" ht="26.45" hidden="1" customHeight="1">
      <c r="B115" s="1336">
        <v>89</v>
      </c>
      <c r="C115" s="736"/>
      <c r="D115" s="731"/>
      <c r="E115" s="732"/>
      <c r="F115" s="733"/>
      <c r="G115" s="867"/>
      <c r="H115" s="734"/>
      <c r="I115" s="741"/>
      <c r="J115" s="741"/>
      <c r="K115" s="742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700" customFormat="1" ht="26.45" hidden="1" customHeight="1">
      <c r="B116" s="1336">
        <v>90</v>
      </c>
      <c r="C116" s="736"/>
      <c r="D116" s="731"/>
      <c r="E116" s="732"/>
      <c r="F116" s="733"/>
      <c r="G116" s="867"/>
      <c r="H116" s="734"/>
      <c r="I116" s="741"/>
      <c r="J116" s="741"/>
      <c r="K116" s="742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700" customFormat="1" ht="26.45" hidden="1" customHeight="1">
      <c r="B117" s="1336">
        <v>91</v>
      </c>
      <c r="C117" s="736"/>
      <c r="D117" s="731"/>
      <c r="E117" s="732"/>
      <c r="F117" s="733"/>
      <c r="G117" s="867"/>
      <c r="H117" s="734"/>
      <c r="I117" s="741"/>
      <c r="J117" s="741"/>
      <c r="K117" s="742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700" customFormat="1" ht="26.45" hidden="1" customHeight="1">
      <c r="B118" s="1336">
        <v>92</v>
      </c>
      <c r="C118" s="736"/>
      <c r="D118" s="731"/>
      <c r="E118" s="732"/>
      <c r="F118" s="733"/>
      <c r="G118" s="867"/>
      <c r="H118" s="734"/>
      <c r="I118" s="741"/>
      <c r="J118" s="741"/>
      <c r="K118" s="742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700" customFormat="1" ht="26.45" hidden="1" customHeight="1">
      <c r="B119" s="1336">
        <v>93</v>
      </c>
      <c r="C119" s="736"/>
      <c r="D119" s="731"/>
      <c r="E119" s="732"/>
      <c r="F119" s="733"/>
      <c r="G119" s="867"/>
      <c r="H119" s="734"/>
      <c r="I119" s="741"/>
      <c r="J119" s="741"/>
      <c r="K119" s="742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700" customFormat="1" ht="26.45" hidden="1" customHeight="1">
      <c r="B120" s="1336">
        <v>94</v>
      </c>
      <c r="C120" s="736"/>
      <c r="D120" s="731"/>
      <c r="E120" s="732"/>
      <c r="F120" s="733"/>
      <c r="G120" s="867"/>
      <c r="H120" s="734"/>
      <c r="I120" s="741"/>
      <c r="J120" s="741"/>
      <c r="K120" s="742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700" customFormat="1" ht="26.45" hidden="1" customHeight="1">
      <c r="B121" s="1336">
        <v>95</v>
      </c>
      <c r="C121" s="736"/>
      <c r="D121" s="731"/>
      <c r="E121" s="732"/>
      <c r="F121" s="733"/>
      <c r="G121" s="867"/>
      <c r="H121" s="734"/>
      <c r="I121" s="741"/>
      <c r="J121" s="741"/>
      <c r="K121" s="742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700" customFormat="1" ht="26.45" hidden="1" customHeight="1">
      <c r="B122" s="1336">
        <v>96</v>
      </c>
      <c r="C122" s="736"/>
      <c r="D122" s="731"/>
      <c r="E122" s="732"/>
      <c r="F122" s="733"/>
      <c r="G122" s="867"/>
      <c r="H122" s="734"/>
      <c r="I122" s="741"/>
      <c r="J122" s="741"/>
      <c r="K122" s="74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700" customFormat="1" ht="26.45" hidden="1" customHeight="1">
      <c r="B123" s="1336">
        <v>97</v>
      </c>
      <c r="C123" s="736"/>
      <c r="D123" s="731"/>
      <c r="E123" s="732"/>
      <c r="F123" s="733"/>
      <c r="G123" s="867"/>
      <c r="H123" s="734"/>
      <c r="I123" s="741"/>
      <c r="J123" s="741"/>
      <c r="K123" s="742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700" customFormat="1" ht="26.45" hidden="1" customHeight="1">
      <c r="B124" s="1336">
        <v>98</v>
      </c>
      <c r="C124" s="736"/>
      <c r="D124" s="731"/>
      <c r="E124" s="732"/>
      <c r="F124" s="733"/>
      <c r="G124" s="867"/>
      <c r="H124" s="734"/>
      <c r="I124" s="741"/>
      <c r="J124" s="741"/>
      <c r="K124" s="742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700" customFormat="1" ht="26.45" hidden="1" customHeight="1">
      <c r="B125" s="1336">
        <v>99</v>
      </c>
      <c r="C125" s="736"/>
      <c r="D125" s="731"/>
      <c r="E125" s="732"/>
      <c r="F125" s="733"/>
      <c r="G125" s="867"/>
      <c r="H125" s="734"/>
      <c r="I125" s="741"/>
      <c r="J125" s="741"/>
      <c r="K125" s="742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700" customFormat="1" ht="26.45" hidden="1" customHeight="1">
      <c r="B126" s="1336">
        <v>100</v>
      </c>
      <c r="C126" s="736"/>
      <c r="D126" s="731"/>
      <c r="E126" s="732"/>
      <c r="F126" s="733"/>
      <c r="G126" s="867"/>
      <c r="H126" s="734"/>
      <c r="I126" s="741"/>
      <c r="J126" s="741"/>
      <c r="K126" s="742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700" customFormat="1" ht="26.45" hidden="1" customHeight="1">
      <c r="B127" s="1336">
        <v>101</v>
      </c>
      <c r="C127" s="736"/>
      <c r="D127" s="731"/>
      <c r="E127" s="732"/>
      <c r="F127" s="733"/>
      <c r="G127" s="867"/>
      <c r="H127" s="734"/>
      <c r="I127" s="741"/>
      <c r="J127" s="741"/>
      <c r="K127" s="742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700" customFormat="1" ht="26.45" hidden="1" customHeight="1">
      <c r="B128" s="1336">
        <v>102</v>
      </c>
      <c r="C128" s="736"/>
      <c r="D128" s="731"/>
      <c r="E128" s="732"/>
      <c r="F128" s="733"/>
      <c r="G128" s="867"/>
      <c r="H128" s="734"/>
      <c r="I128" s="741"/>
      <c r="J128" s="741"/>
      <c r="K128" s="742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700" customFormat="1" ht="26.45" hidden="1" customHeight="1">
      <c r="B129" s="1336">
        <v>103</v>
      </c>
      <c r="C129" s="736"/>
      <c r="D129" s="731"/>
      <c r="E129" s="732"/>
      <c r="F129" s="733"/>
      <c r="G129" s="867"/>
      <c r="H129" s="734"/>
      <c r="I129" s="741"/>
      <c r="J129" s="741"/>
      <c r="K129" s="742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700" customFormat="1" ht="26.45" hidden="1" customHeight="1">
      <c r="B130" s="1336">
        <v>104</v>
      </c>
      <c r="C130" s="736"/>
      <c r="D130" s="731"/>
      <c r="E130" s="732"/>
      <c r="F130" s="733"/>
      <c r="G130" s="867"/>
      <c r="H130" s="734"/>
      <c r="I130" s="741"/>
      <c r="J130" s="741"/>
      <c r="K130" s="742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700" customFormat="1" ht="26.45" hidden="1" customHeight="1">
      <c r="B131" s="1336">
        <v>105</v>
      </c>
      <c r="C131" s="736"/>
      <c r="D131" s="731"/>
      <c r="E131" s="732"/>
      <c r="F131" s="733"/>
      <c r="G131" s="867"/>
      <c r="H131" s="734"/>
      <c r="I131" s="741"/>
      <c r="J131" s="741"/>
      <c r="K131" s="742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700" customFormat="1" ht="26.45" hidden="1" customHeight="1">
      <c r="B132" s="1336">
        <v>106</v>
      </c>
      <c r="C132" s="736"/>
      <c r="D132" s="731"/>
      <c r="E132" s="732"/>
      <c r="F132" s="733"/>
      <c r="G132" s="867"/>
      <c r="H132" s="734"/>
      <c r="I132" s="741"/>
      <c r="J132" s="741"/>
      <c r="K132" s="74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700" customFormat="1" ht="26.45" hidden="1" customHeight="1">
      <c r="B133" s="1336">
        <v>107</v>
      </c>
      <c r="C133" s="736"/>
      <c r="D133" s="731"/>
      <c r="E133" s="732"/>
      <c r="F133" s="733"/>
      <c r="G133" s="867"/>
      <c r="H133" s="734"/>
      <c r="I133" s="741"/>
      <c r="J133" s="741"/>
      <c r="K133" s="742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700" customFormat="1" ht="26.45" hidden="1" customHeight="1">
      <c r="B134" s="1336">
        <v>108</v>
      </c>
      <c r="C134" s="736"/>
      <c r="D134" s="731"/>
      <c r="E134" s="732"/>
      <c r="F134" s="733"/>
      <c r="G134" s="867"/>
      <c r="H134" s="734"/>
      <c r="I134" s="741"/>
      <c r="J134" s="741"/>
      <c r="K134" s="742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700" customFormat="1" ht="26.45" hidden="1" customHeight="1">
      <c r="B135" s="1336">
        <v>109</v>
      </c>
      <c r="C135" s="736"/>
      <c r="D135" s="731"/>
      <c r="E135" s="732"/>
      <c r="F135" s="733"/>
      <c r="G135" s="867"/>
      <c r="H135" s="734"/>
      <c r="I135" s="741"/>
      <c r="J135" s="741"/>
      <c r="K135" s="742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700" customFormat="1" ht="26.45" hidden="1" customHeight="1">
      <c r="B136" s="1336">
        <v>110</v>
      </c>
      <c r="C136" s="736"/>
      <c r="D136" s="731"/>
      <c r="E136" s="732"/>
      <c r="F136" s="733"/>
      <c r="G136" s="867"/>
      <c r="H136" s="734"/>
      <c r="I136" s="741"/>
      <c r="J136" s="741"/>
      <c r="K136" s="742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700" customFormat="1" ht="26.45" hidden="1" customHeight="1">
      <c r="B137" s="1336">
        <v>111</v>
      </c>
      <c r="C137" s="736"/>
      <c r="D137" s="731"/>
      <c r="E137" s="732"/>
      <c r="F137" s="733"/>
      <c r="G137" s="867"/>
      <c r="H137" s="734"/>
      <c r="I137" s="741"/>
      <c r="J137" s="741"/>
      <c r="K137" s="742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700" customFormat="1" ht="26.45" hidden="1" customHeight="1">
      <c r="B138" s="1336">
        <v>112</v>
      </c>
      <c r="C138" s="736"/>
      <c r="D138" s="731"/>
      <c r="E138" s="732"/>
      <c r="F138" s="733"/>
      <c r="G138" s="867"/>
      <c r="H138" s="734"/>
      <c r="I138" s="741"/>
      <c r="J138" s="741"/>
      <c r="K138" s="742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700" customFormat="1" ht="26.45" hidden="1" customHeight="1">
      <c r="B139" s="1336">
        <v>113</v>
      </c>
      <c r="C139" s="736"/>
      <c r="D139" s="731"/>
      <c r="E139" s="732"/>
      <c r="F139" s="733"/>
      <c r="G139" s="867"/>
      <c r="H139" s="734"/>
      <c r="I139" s="741"/>
      <c r="J139" s="741"/>
      <c r="K139" s="742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700" customFormat="1" ht="26.45" hidden="1" customHeight="1">
      <c r="B140" s="1336">
        <v>114</v>
      </c>
      <c r="C140" s="736"/>
      <c r="D140" s="731"/>
      <c r="E140" s="732"/>
      <c r="F140" s="733"/>
      <c r="G140" s="867"/>
      <c r="H140" s="734"/>
      <c r="I140" s="741"/>
      <c r="J140" s="741"/>
      <c r="K140" s="742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700" customFormat="1" ht="26.45" hidden="1" customHeight="1">
      <c r="B141" s="1336">
        <v>115</v>
      </c>
      <c r="C141" s="736"/>
      <c r="D141" s="731"/>
      <c r="E141" s="732"/>
      <c r="F141" s="733"/>
      <c r="G141" s="867"/>
      <c r="H141" s="734"/>
      <c r="I141" s="741"/>
      <c r="J141" s="741"/>
      <c r="K141" s="742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700" customFormat="1" ht="26.45" hidden="1" customHeight="1">
      <c r="B142" s="1336">
        <v>116</v>
      </c>
      <c r="C142" s="736"/>
      <c r="D142" s="731"/>
      <c r="E142" s="732"/>
      <c r="F142" s="733"/>
      <c r="G142" s="867"/>
      <c r="H142" s="734"/>
      <c r="I142" s="741"/>
      <c r="J142" s="741"/>
      <c r="K142" s="7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700" customFormat="1" ht="26.45" hidden="1" customHeight="1">
      <c r="B143" s="1336">
        <v>117</v>
      </c>
      <c r="C143" s="736"/>
      <c r="D143" s="731"/>
      <c r="E143" s="732"/>
      <c r="F143" s="733"/>
      <c r="G143" s="867"/>
      <c r="H143" s="734"/>
      <c r="I143" s="741"/>
      <c r="J143" s="741"/>
      <c r="K143" s="742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264" t="s">
        <v>1996</v>
      </c>
      <c r="D144" s="682"/>
      <c r="E144" s="765"/>
      <c r="F144" s="766">
        <v>4024</v>
      </c>
      <c r="G144" s="1867" t="s">
        <v>1993</v>
      </c>
      <c r="H144" s="1867"/>
      <c r="I144" s="1868"/>
      <c r="J144" s="743">
        <v>850</v>
      </c>
      <c r="K144" s="744">
        <v>3420400</v>
      </c>
      <c r="N144" s="762" t="s">
        <v>1991</v>
      </c>
      <c r="O144" s="770">
        <v>0</v>
      </c>
    </row>
    <row r="145" spans="2:28" ht="33.950000000000003" customHeight="1">
      <c r="C145" s="767" t="s">
        <v>3192</v>
      </c>
      <c r="D145" s="255"/>
      <c r="E145" s="702"/>
      <c r="F145" s="761"/>
      <c r="G145" s="1865" t="s">
        <v>1995</v>
      </c>
      <c r="H145" s="1865"/>
      <c r="I145" s="1866"/>
      <c r="J145" s="743">
        <v>0</v>
      </c>
      <c r="K145" s="744">
        <v>0</v>
      </c>
      <c r="N145" s="762" t="s">
        <v>1992</v>
      </c>
      <c r="O145" s="771">
        <v>0</v>
      </c>
    </row>
    <row r="146" spans="2:28" ht="33.950000000000003" customHeight="1">
      <c r="C146" s="1841" t="str">
        <f>SpellNumber(print_pb_grand_total)</f>
        <v>Eight Hundred Fifty  US Dollars and Zero Cents</v>
      </c>
      <c r="D146" s="1841"/>
      <c r="E146" s="1841"/>
      <c r="F146" s="1841"/>
      <c r="G146" s="1880" t="s">
        <v>3202</v>
      </c>
      <c r="H146" s="1880"/>
      <c r="I146" s="1881"/>
      <c r="J146" s="743">
        <v>850</v>
      </c>
      <c r="K146" s="744">
        <v>3420400</v>
      </c>
    </row>
    <row r="147" spans="2:28" ht="30" customHeight="1">
      <c r="C147" s="763"/>
      <c r="D147" s="763"/>
      <c r="E147" s="763"/>
      <c r="F147" s="763"/>
      <c r="G147" s="1831"/>
      <c r="H147" s="1831"/>
      <c r="I147" s="1831"/>
      <c r="J147" s="572"/>
    </row>
    <row r="148" spans="2:28">
      <c r="C148" s="764"/>
      <c r="D148" s="764"/>
      <c r="E148" s="764"/>
      <c r="F148" s="764"/>
      <c r="I148" s="115"/>
      <c r="J148" s="115"/>
      <c r="K148" s="115"/>
    </row>
    <row r="149" spans="2:28" ht="25.5">
      <c r="C149" s="735" t="s">
        <v>1975</v>
      </c>
      <c r="D149" s="703"/>
      <c r="E149" s="703"/>
      <c r="F149" s="704"/>
      <c r="G149" s="705"/>
      <c r="H149" s="706"/>
      <c r="I149" s="706"/>
      <c r="J149" s="707"/>
      <c r="K149" s="708"/>
    </row>
    <row r="150" spans="2:28">
      <c r="C150" s="717" t="s">
        <v>1941</v>
      </c>
      <c r="D150" s="718" t="s">
        <v>2812</v>
      </c>
      <c r="E150" s="718"/>
      <c r="F150" s="133"/>
      <c r="J150" s="5"/>
      <c r="K150" s="709"/>
    </row>
    <row r="151" spans="2:28">
      <c r="C151" s="717" t="s">
        <v>1942</v>
      </c>
      <c r="D151" s="718" t="s">
        <v>1675</v>
      </c>
      <c r="E151" s="718"/>
      <c r="F151" s="133"/>
      <c r="J151" s="5"/>
      <c r="K151" s="709"/>
    </row>
    <row r="152" spans="2:28">
      <c r="C152" s="717" t="s">
        <v>1943</v>
      </c>
      <c r="D152" s="754" t="s">
        <v>2813</v>
      </c>
      <c r="E152" s="719"/>
      <c r="F152" s="133"/>
      <c r="J152" s="5"/>
      <c r="K152" s="709"/>
    </row>
    <row r="153" spans="2:28">
      <c r="C153" s="710"/>
      <c r="D153" s="151"/>
      <c r="E153" s="151"/>
      <c r="F153"/>
      <c r="J153" s="5"/>
      <c r="K153" s="709"/>
    </row>
    <row r="154" spans="2:28">
      <c r="C154" s="711"/>
      <c r="D154" s="712"/>
      <c r="E154" s="712"/>
      <c r="F154" s="713"/>
      <c r="G154" s="714"/>
      <c r="H154" s="713"/>
      <c r="I154" s="713"/>
      <c r="J154" s="715"/>
      <c r="K154" s="716"/>
    </row>
    <row r="155" spans="2:28" ht="33.75" customHeight="1">
      <c r="C155" s="737" t="s">
        <v>1976</v>
      </c>
      <c r="D155" s="738"/>
      <c r="E155" s="738"/>
      <c r="F155" s="738"/>
      <c r="G155" s="738"/>
      <c r="H155" s="724"/>
      <c r="I155" s="724"/>
      <c r="J155" s="724"/>
      <c r="K155" s="725"/>
    </row>
    <row r="156" spans="2:28" s="3" customFormat="1" ht="26.25" customHeight="1">
      <c r="B156" s="13"/>
      <c r="C156" s="739" t="s">
        <v>1977</v>
      </c>
      <c r="D156" s="740"/>
      <c r="E156" s="740"/>
      <c r="F156" s="740"/>
      <c r="G156" s="740"/>
      <c r="H156" s="722"/>
      <c r="I156" s="722"/>
      <c r="J156" s="722"/>
      <c r="K156" s="723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701"/>
    </row>
    <row r="158" spans="2:28" ht="15">
      <c r="D158"/>
      <c r="E158"/>
      <c r="F158"/>
    </row>
    <row r="159" spans="2:28">
      <c r="C159" s="1832"/>
      <c r="D159" s="1832"/>
      <c r="E159" s="1832"/>
      <c r="F159" s="1832"/>
      <c r="G159" s="1832"/>
      <c r="H159" s="5"/>
      <c r="I159" s="1832"/>
      <c r="J159" s="1832"/>
      <c r="K159" s="1832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pane xSplit="26" topLeftCell="AA1" activePane="topRight" state="frozen"/>
      <selection pane="topRight" activeCell="C9" sqref="C9 F9"/>
    </sheetView>
  </sheetViews>
  <sheetFormatPr defaultRowHeight="24.95" customHeight="1"/>
  <cols>
    <col min="1" max="1" width="1.5703125" style="1408" customWidth="1"/>
    <col min="2" max="2" width="4" style="1408" customWidth="1"/>
    <col min="3" max="3" width="32" style="1408" customWidth="1"/>
    <col min="4" max="4" width="8.7109375" style="1408" customWidth="1"/>
    <col min="5" max="5" width="31.42578125" style="1408" customWidth="1"/>
    <col min="6" max="6" width="4.28515625" style="1413" customWidth="1"/>
    <col min="7" max="7" width="2.140625" style="1412" hidden="1" customWidth="1"/>
    <col min="8" max="8" width="4.85546875" style="1412" hidden="1" customWidth="1"/>
    <col min="9" max="9" width="3.5703125" style="1449" customWidth="1"/>
    <col min="10" max="10" width="8" style="1398" customWidth="1"/>
    <col min="11" max="11" width="6.28515625" style="1398" customWidth="1"/>
    <col min="12" max="12" width="6.7109375" style="1414" customWidth="1"/>
    <col min="13" max="13" width="48.5703125" style="1415" customWidth="1"/>
    <col min="14" max="14" width="11.28515625" style="1416" customWidth="1"/>
    <col min="15" max="15" width="10.85546875" style="1398" customWidth="1"/>
    <col min="16" max="16" width="20.7109375" style="1398" customWidth="1"/>
    <col min="17" max="17" width="13.85546875" style="1398" hidden="1" customWidth="1"/>
    <col min="18" max="18" width="16.140625" style="1398" hidden="1" customWidth="1"/>
    <col min="19" max="19" width="3.28515625" style="1418" customWidth="1"/>
    <col min="20" max="20" width="18.140625" style="1418" customWidth="1"/>
    <col min="21" max="21" width="19.5703125" style="1419" customWidth="1"/>
    <col min="22" max="22" width="3" style="1516" customWidth="1"/>
    <col min="23" max="23" width="18.7109375" style="1419" customWidth="1"/>
    <col min="24" max="24" width="3.28515625" style="1517" customWidth="1"/>
    <col min="25" max="25" width="16.5703125" style="1419" customWidth="1"/>
    <col min="26" max="26" width="24.7109375" style="1419" customWidth="1"/>
    <col min="27" max="27" width="14.85546875" style="1408" customWidth="1"/>
    <col min="28" max="28" width="20.28515625" style="1408" customWidth="1"/>
    <col min="29" max="29" width="14.85546875" style="1408" customWidth="1"/>
    <col min="30" max="30" width="16.140625" style="1398" customWidth="1"/>
    <col min="31" max="31" width="10.7109375" style="1398" customWidth="1"/>
    <col min="32" max="32" width="13.7109375" style="1408" customWidth="1"/>
    <col min="33" max="33" width="14.85546875" style="1408" customWidth="1"/>
    <col min="34" max="34" width="17.28515625" style="1408" customWidth="1"/>
    <col min="35" max="35" width="22.7109375" style="1408" customWidth="1"/>
    <col min="36" max="36" width="18.5703125" style="1408" customWidth="1"/>
    <col min="37" max="37" width="16.42578125" style="1408" customWidth="1"/>
    <col min="38" max="38" width="19.42578125" style="1422" hidden="1" customWidth="1"/>
    <col min="39" max="39" width="13.85546875" style="1422" hidden="1" customWidth="1"/>
    <col min="40" max="40" width="14.28515625" style="1423" hidden="1" customWidth="1"/>
    <col min="41" max="41" width="14.42578125" style="1423" hidden="1" customWidth="1"/>
    <col min="42" max="42" width="19.85546875" style="1423" hidden="1" customWidth="1"/>
    <col min="43" max="43" width="13.85546875" style="1423" hidden="1" customWidth="1"/>
    <col min="44" max="44" width="14.42578125" style="1423" hidden="1" customWidth="1"/>
    <col min="45" max="45" width="12.42578125" style="1445" hidden="1" customWidth="1"/>
    <col min="46" max="46" width="16.28515625" style="1423" hidden="1" customWidth="1"/>
    <col min="47" max="47" width="14.28515625" style="1423" bestFit="1" customWidth="1"/>
    <col min="48" max="48" width="13.7109375" style="1398" bestFit="1" customWidth="1"/>
    <col min="49" max="49" width="17.42578125" style="1398" bestFit="1" customWidth="1"/>
    <col min="50" max="50" width="9.85546875" style="1408" customWidth="1"/>
    <col min="51" max="51" width="21" style="1408" customWidth="1"/>
    <col min="52" max="52" width="7.7109375" style="1408" customWidth="1"/>
    <col min="53" max="53" width="6.7109375" style="1408" customWidth="1"/>
    <col min="54" max="54" width="6.140625" style="1408" bestFit="1" customWidth="1"/>
    <col min="55" max="55" width="9.140625" style="1408" customWidth="1"/>
    <col min="56" max="56" width="2.7109375" style="1518" customWidth="1"/>
    <col min="57" max="57" width="9.7109375" style="1408" customWidth="1"/>
    <col min="58" max="58" width="2.7109375" style="1518" customWidth="1"/>
    <col min="59" max="59" width="11.85546875" style="1408" customWidth="1"/>
    <col min="60" max="60" width="2.7109375" style="1518" customWidth="1"/>
    <col min="61" max="61" width="16" style="1408" customWidth="1"/>
    <col min="62" max="62" width="2.85546875" style="1408" customWidth="1"/>
    <col min="63" max="63" width="5.140625" style="1408" customWidth="1"/>
    <col min="64" max="64" width="1.85546875" style="1408" customWidth="1"/>
    <col min="65" max="65" width="5.85546875" style="1408" customWidth="1"/>
    <col min="66" max="66" width="7.140625" style="1408" customWidth="1"/>
    <col min="67" max="67" width="1.42578125" style="1408" customWidth="1"/>
    <col min="68" max="68" width="9.85546875" style="1408" customWidth="1"/>
    <col min="69" max="69" width="21" style="1408" customWidth="1"/>
    <col min="70" max="70" width="7.7109375" style="1408" customWidth="1"/>
    <col min="71" max="72" width="6.7109375" style="1408" customWidth="1"/>
    <col min="73" max="73" width="9.28515625" style="1408" customWidth="1"/>
    <col min="74" max="74" width="2.7109375" style="1518" customWidth="1"/>
    <col min="75" max="75" width="9.7109375" style="1408" customWidth="1"/>
    <col min="76" max="76" width="2.7109375" style="1518" customWidth="1"/>
    <col min="77" max="77" width="11.85546875" style="1408" customWidth="1"/>
    <col min="78" max="78" width="2.7109375" style="1518" customWidth="1"/>
    <col min="79" max="79" width="16" style="1408" customWidth="1"/>
    <col min="80" max="80" width="1.7109375" style="1408" customWidth="1"/>
    <col min="81" max="81" width="9.140625" style="1408" customWidth="1"/>
    <col min="82" max="16384" width="9.140625" style="1408"/>
  </cols>
  <sheetData>
    <row r="1" spans="1:78" ht="8.25" customHeight="1" thickBot="1">
      <c r="B1" s="1409"/>
      <c r="C1" s="1410"/>
      <c r="D1" s="1410"/>
      <c r="E1" s="1410"/>
      <c r="F1" s="1411"/>
    </row>
    <row r="2" spans="1:78" ht="38.25">
      <c r="B2" s="1519"/>
      <c r="C2" s="1520"/>
      <c r="D2" s="1520"/>
      <c r="E2" s="1520"/>
      <c r="F2" s="1521"/>
      <c r="G2" s="1425"/>
      <c r="H2" s="1425"/>
      <c r="I2" s="1501"/>
      <c r="J2" s="1522" t="s">
        <v>1892</v>
      </c>
      <c r="K2" s="1523"/>
      <c r="L2" s="1523"/>
      <c r="M2" s="1523"/>
      <c r="N2" s="1428"/>
      <c r="O2" s="1428"/>
      <c r="P2" s="1792" t="s">
        <v>3558</v>
      </c>
      <c r="Q2" s="1428"/>
      <c r="R2" s="1428"/>
      <c r="S2" s="1882" t="str">
        <f>nbc_exchange_date</f>
        <v>២៣ មិថុនា ២០២៦</v>
      </c>
      <c r="T2" s="1882"/>
      <c r="U2" s="1882"/>
      <c r="V2" s="1882"/>
      <c r="W2" s="1431"/>
      <c r="X2" s="1437"/>
      <c r="Y2" s="1431"/>
      <c r="Z2" s="1431"/>
    </row>
    <row r="3" spans="1:78" ht="8.25" customHeight="1" thickBot="1">
      <c r="B3" s="1525"/>
      <c r="C3" s="1432"/>
      <c r="D3" s="1432"/>
      <c r="E3" s="1432"/>
      <c r="F3" s="1526"/>
      <c r="G3" s="1433"/>
      <c r="H3" s="1433"/>
      <c r="I3" s="1502"/>
      <c r="J3" s="1435"/>
      <c r="K3" s="1435"/>
      <c r="L3" s="1435"/>
      <c r="M3" s="1435"/>
      <c r="N3" s="1435"/>
      <c r="O3" s="1435"/>
      <c r="P3" s="1435"/>
      <c r="Q3" s="1435"/>
      <c r="R3" s="1435"/>
      <c r="S3" s="1437"/>
      <c r="T3" s="1437"/>
      <c r="U3" s="1438"/>
      <c r="V3" s="1524"/>
      <c r="W3" s="1438"/>
      <c r="X3" s="1437"/>
      <c r="Y3" s="1438"/>
      <c r="Z3" s="1438"/>
    </row>
    <row r="4" spans="1:78" ht="35.1" customHeight="1" thickBot="1">
      <c r="A4" s="1439"/>
      <c r="B4" s="1527"/>
      <c r="C4" s="1440"/>
      <c r="D4" s="1440"/>
      <c r="E4" s="1440"/>
      <c r="F4" s="1528"/>
      <c r="J4" s="1896" t="str">
        <f>MID(pb_vendor,5,100)</f>
        <v>ក្រុមហ៊ុនជីប ម៉ុង (CHIP MONG)</v>
      </c>
      <c r="K4" s="1897"/>
      <c r="L4" s="1897"/>
      <c r="M4" s="1898"/>
      <c r="N4" s="1529"/>
      <c r="O4" s="1530"/>
      <c r="P4" s="1791" t="s">
        <v>3464</v>
      </c>
      <c r="Q4" s="1531"/>
      <c r="R4" s="1531"/>
      <c r="S4" s="1893">
        <v>4024</v>
      </c>
      <c r="T4" s="1894"/>
      <c r="U4" s="1894"/>
      <c r="V4" s="1895"/>
    </row>
    <row r="5" spans="1:78" s="1398" customFormat="1" ht="9" customHeight="1">
      <c r="A5" s="1446"/>
      <c r="B5" s="1532"/>
      <c r="C5" s="1447"/>
      <c r="D5" s="1447"/>
      <c r="E5" s="1447"/>
      <c r="F5" s="1533"/>
      <c r="G5" s="1448"/>
      <c r="H5" s="1448"/>
      <c r="I5" s="1449"/>
      <c r="L5" s="1414"/>
      <c r="M5" s="1415"/>
      <c r="N5" s="1416"/>
      <c r="S5" s="1418"/>
      <c r="T5" s="1418"/>
      <c r="U5" s="1450"/>
      <c r="V5" s="1516"/>
      <c r="W5" s="1450"/>
      <c r="X5" s="1418"/>
      <c r="Y5" s="1450"/>
      <c r="Z5" s="1450"/>
      <c r="AL5" s="1423"/>
      <c r="AM5" s="1423"/>
      <c r="AN5" s="1423"/>
      <c r="AO5" s="1423"/>
      <c r="AP5" s="1423"/>
      <c r="AQ5" s="1423"/>
      <c r="AR5" s="1423"/>
      <c r="AT5" s="1423"/>
      <c r="AU5" s="1423"/>
      <c r="BD5" s="1494"/>
      <c r="BF5" s="1494"/>
      <c r="BH5" s="1494"/>
      <c r="BV5" s="1494"/>
      <c r="BX5" s="1494"/>
      <c r="BZ5" s="1494"/>
    </row>
    <row r="6" spans="1:78" s="1423" customFormat="1" ht="28.5" customHeight="1">
      <c r="A6" s="1453"/>
      <c r="B6" s="1534"/>
      <c r="C6" s="1512" t="s">
        <v>2004</v>
      </c>
      <c r="D6" s="2138">
        <v>1</v>
      </c>
      <c r="E6" s="1512" t="str">
        <f>IF(pb_status=-1,"Edit",IF(pb_status=1,"Issue",IF(pb_status=2,"Fullfilied",IF(pb_status=3,"Partial",1))))</f>
        <v>Issue</v>
      </c>
      <c r="F6" s="1528"/>
      <c r="G6" s="1454"/>
      <c r="H6" s="1454"/>
      <c r="I6" s="1455"/>
      <c r="J6" s="1535" t="s">
        <v>47</v>
      </c>
      <c r="K6" s="1883" t="s">
        <v>741</v>
      </c>
      <c r="L6" s="1884"/>
      <c r="M6" s="1538" t="s">
        <v>105</v>
      </c>
      <c r="N6" s="1536" t="s">
        <v>152</v>
      </c>
      <c r="O6" s="1535" t="s">
        <v>1681</v>
      </c>
      <c r="P6" s="1535" t="s">
        <v>1989</v>
      </c>
      <c r="Q6" s="1537" t="s">
        <v>736</v>
      </c>
      <c r="R6" s="1535" t="s">
        <v>735</v>
      </c>
      <c r="S6" s="1539" t="str">
        <f>"ថ្លៃដើម"&amp;IF(pb_branch="",""," ("&amp;pb_currency_symbol&amp;")")</f>
        <v>ថ្លៃដើម ($)</v>
      </c>
      <c r="T6" s="1540"/>
      <c r="U6" s="1541"/>
      <c r="V6" s="1883" t="str">
        <f>"បញ្ចុះតម្លៃ"&amp;IF(pb_branch="",""," ("&amp;pb_currency_symbol&amp;")")</f>
        <v>បញ្ចុះតម្លៃ ($)</v>
      </c>
      <c r="W6" s="1884"/>
      <c r="X6" s="1883" t="str">
        <f>"សរុបតម្លៃ"&amp;IF(pb_branch="",""," ("&amp;pb_currency_symbol&amp;")")</f>
        <v>សរុបតម្លៃ ($)</v>
      </c>
      <c r="Y6" s="1884"/>
      <c r="Z6" s="1535" t="s">
        <v>71</v>
      </c>
      <c r="AA6" s="1535" t="s">
        <v>1612</v>
      </c>
      <c r="AB6" s="1535" t="s">
        <v>1911</v>
      </c>
      <c r="AC6" s="1535" t="s">
        <v>46</v>
      </c>
      <c r="AD6" s="1535" t="s">
        <v>1924</v>
      </c>
      <c r="AE6" s="1535" t="s">
        <v>278</v>
      </c>
      <c r="AF6" s="1535" t="s">
        <v>1912</v>
      </c>
      <c r="AG6" s="1535" t="s">
        <v>1913</v>
      </c>
      <c r="AH6" s="1535" t="s">
        <v>2059</v>
      </c>
      <c r="AI6" s="1535" t="s">
        <v>2071</v>
      </c>
      <c r="AJ6" s="1535" t="s">
        <v>2010</v>
      </c>
      <c r="AK6" s="1535" t="s">
        <v>1988</v>
      </c>
      <c r="AL6" s="1542" t="s">
        <v>1914</v>
      </c>
      <c r="AM6" s="1542" t="s">
        <v>1915</v>
      </c>
      <c r="AN6" s="1542" t="s">
        <v>1916</v>
      </c>
      <c r="AO6" s="1542" t="s">
        <v>1917</v>
      </c>
      <c r="AP6" s="1542" t="s">
        <v>1919</v>
      </c>
      <c r="AQ6" s="1542"/>
      <c r="AR6" s="1542"/>
      <c r="AS6" s="1542"/>
      <c r="AT6" s="1542"/>
      <c r="BD6" s="1543"/>
      <c r="BF6" s="1543"/>
      <c r="BH6" s="1543"/>
      <c r="BV6" s="1543"/>
      <c r="BX6" s="1543"/>
      <c r="BZ6" s="1543"/>
    </row>
    <row r="7" spans="1:78" ht="19.5" customHeight="1">
      <c r="A7" s="1439"/>
      <c r="B7" s="1544"/>
      <c r="C7" s="1456"/>
      <c r="D7" s="1456"/>
      <c r="E7" s="1456"/>
      <c r="F7" s="1545"/>
      <c r="G7" s="1457"/>
      <c r="I7" s="1449" t="s">
        <v>1903</v>
      </c>
      <c r="J7" s="1509" t="s">
        <v>9</v>
      </c>
      <c r="K7" s="1546" t="s">
        <v>111</v>
      </c>
      <c r="L7" s="1547"/>
      <c r="M7" s="1548" t="s">
        <v>103</v>
      </c>
      <c r="N7" s="1546" t="s">
        <v>76</v>
      </c>
      <c r="O7" s="1549" t="s">
        <v>732</v>
      </c>
      <c r="P7" s="1509" t="s">
        <v>1990</v>
      </c>
      <c r="Q7" s="1550" t="s">
        <v>2069</v>
      </c>
      <c r="R7" s="1549" t="s">
        <v>473</v>
      </c>
      <c r="S7" s="1551" t="s">
        <v>2011</v>
      </c>
      <c r="T7" s="1552"/>
      <c r="U7" s="1553" t="s">
        <v>2016</v>
      </c>
      <c r="V7" s="1899" t="s">
        <v>95</v>
      </c>
      <c r="W7" s="1900"/>
      <c r="X7" s="1899" t="s">
        <v>2007</v>
      </c>
      <c r="Y7" s="1900"/>
      <c r="Z7" s="1509" t="s">
        <v>87</v>
      </c>
      <c r="AA7" s="1509" t="s">
        <v>303</v>
      </c>
      <c r="AB7" s="1509" t="s">
        <v>1920</v>
      </c>
      <c r="AC7" s="1509" t="s">
        <v>2008</v>
      </c>
      <c r="AD7" s="1509" t="s">
        <v>1938</v>
      </c>
      <c r="AE7" s="1509" t="s">
        <v>718</v>
      </c>
      <c r="AF7" s="1509" t="s">
        <v>737</v>
      </c>
      <c r="AG7" s="1509" t="s">
        <v>738</v>
      </c>
      <c r="AH7" s="1509" t="s">
        <v>2058</v>
      </c>
      <c r="AI7" s="1509" t="s">
        <v>2061</v>
      </c>
      <c r="AJ7" s="1509" t="s">
        <v>2009</v>
      </c>
      <c r="AK7" s="1509" t="s">
        <v>1987</v>
      </c>
      <c r="AL7" s="1554" t="s">
        <v>1626</v>
      </c>
      <c r="AM7" s="1554" t="s">
        <v>1921</v>
      </c>
      <c r="AN7" s="1554" t="s">
        <v>1922</v>
      </c>
      <c r="AO7" s="1554" t="s">
        <v>1923</v>
      </c>
      <c r="AP7" s="1554" t="s">
        <v>1918</v>
      </c>
      <c r="AQ7" s="1554" t="s">
        <v>2102</v>
      </c>
      <c r="AR7" s="1554" t="s">
        <v>2103</v>
      </c>
      <c r="AS7" s="1554" t="s">
        <v>3629</v>
      </c>
      <c r="AT7" s="1554" t="s">
        <v>3630</v>
      </c>
      <c r="AV7" s="1423"/>
      <c r="AW7" s="1423"/>
      <c r="AX7" s="1423"/>
    </row>
    <row r="8" spans="1:78" ht="27" customHeight="1" thickBot="1">
      <c r="A8" s="1439"/>
      <c r="B8" s="1555"/>
      <c r="C8" s="1458" t="s">
        <v>2797</v>
      </c>
      <c r="D8" s="1556"/>
      <c r="E8" s="1557" t="s">
        <v>2798</v>
      </c>
      <c r="F8" s="1558">
        <f>COUNTIFS([1]PurchaseBill!AM8:AM10000,"&gt;0")</f>
        <v>8</v>
      </c>
      <c r="G8" s="1461"/>
      <c r="H8" s="1461"/>
      <c r="I8" s="2139" t="str">
        <f>IF(M8="","",MID(M8,1,5)*1)</f>
        <v/>
      </c>
      <c r="J8" s="2171" t="str">
        <f>IF(M8="","",1)</f>
        <v/>
      </c>
      <c r="K8" s="2172" t="str">
        <f t="shared" ref="K8:K39" si="0">IF(M8="","",VLOOKUP(I8,product_list,4,FALSE))</f>
        <v/>
      </c>
      <c r="L8" s="2173"/>
      <c r="M8" s="1559"/>
      <c r="N8" s="1560"/>
      <c r="O8" s="1561"/>
      <c r="P8" s="1562"/>
      <c r="Q8" s="1563"/>
      <c r="R8" s="1564"/>
      <c r="S8" s="2177" t="str">
        <f>IF(M8="","",pb_currency_symbol)</f>
        <v/>
      </c>
      <c r="T8" s="1565"/>
      <c r="U8" s="2179" t="str">
        <f>IF(M8="","",ROUND(IF(P8=AL8,AD8,IF(P8=AM8,ROUND(AD8/AA8,9),IF(P8=AN8,ROUND(AD8/AB8,9)))),2))</f>
        <v/>
      </c>
      <c r="V8" s="2177" t="str">
        <f t="shared" ref="V8" si="1">IF(W8=0,"",pb_currency_symbol)</f>
        <v/>
      </c>
      <c r="W8" s="1566"/>
      <c r="X8" s="2177" t="str">
        <f t="shared" ref="X8" si="2">IF(M8="","",pb_currency_symbol)</f>
        <v/>
      </c>
      <c r="Y8" s="2181" t="str">
        <f>IF(M8="","",ROUND(IF(T8&gt;0,(N8)*T8-W8,(N8)*U8-W8),2))</f>
        <v/>
      </c>
      <c r="Z8" s="1567"/>
      <c r="AA8" s="2183" t="str" cm="1">
        <f t="array" ref="AA8">IF(M8="","",IF(P8=AL8,1,Slookup(MID(AL8,1,3)*1,UomConversion!$D$8:$J$500,5,UomConversion!$E$8:$E$500,MID(P8,1,3)*1,UomConversion!$J$8:$J$500,1)))</f>
        <v/>
      </c>
      <c r="AB8" s="2184" t="str">
        <f t="shared" ref="AB8" si="3">IF(AND(M8="",ISNA(VLOOKUP(I8,product_list,18,FALSE))),"",VLOOKUP(I8,product_list,18,FALSE))</f>
        <v/>
      </c>
      <c r="AC8" s="2185" t="str">
        <f>IF(M8="","",W8)</f>
        <v/>
      </c>
      <c r="AD8" s="2186" t="str">
        <f t="shared" ref="AD8" si="4">IF(M8="","",VLOOKUP(I8,product_list,14,FALSE))</f>
        <v/>
      </c>
      <c r="AE8" s="2187" t="str">
        <f t="shared" ref="AE8" si="5">IF(M8="","",VLOOKUP(I8,product_list,23,FALSE))</f>
        <v/>
      </c>
      <c r="AF8" s="2184" t="str">
        <f>IF(I8="","",IF(ISNA(MATCH(I8,IF(invoice_location_id=1,'[1]1_inventory_totals'!$C$8:$C$10000,IF(invoice_location_id=2,'[1]2_inventory_totals'!$C$8:$C$10000,0)),0)),0,IF(AS8&gt;0,1,0)))</f>
        <v/>
      </c>
      <c r="AG8" s="2184" t="str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/>
      </c>
      <c r="AH8" s="2184" t="str">
        <f>IF(M8="","",IF(ISNA(MATCH(I8,'[1]1_group_totals'!$C$8:$C$10000)),0,IF(AT8&gt;0,1,0)))</f>
        <v/>
      </c>
      <c r="AI8" s="2184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/>
      </c>
      <c r="AJ8" s="2184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/>
      </c>
      <c r="AK8" s="2184" t="str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/>
      </c>
      <c r="AL8" s="2188" t="str">
        <f t="shared" ref="AL8" si="6">IF(M8="","",VLOOKUP(I8,product_list,8,FALSE))</f>
        <v/>
      </c>
      <c r="AM8" s="2188" t="str">
        <f>IF(OR(ISNA(MATCH(MID(AL8,1,3)*1,UomConversion!$D$8:$D$500,0)),M8=""),"",IF(AQ8="","",AQ8))</f>
        <v/>
      </c>
      <c r="AN8" s="2188" t="str">
        <f>IF(AND(AO8&gt;0,COUNTIFS(UomConversion!$D$8:$D$500,MID(AL8,1,3)*1,UomConversion!$J$8:$J$500,1)&gt;1),TEXT(AO8,"000")&amp;"."&amp;VLOOKUP(AO8,uom_list,5,FALSE),"")</f>
        <v/>
      </c>
      <c r="AO8" s="2184" t="str">
        <f>IF(AND(AR8&gt;0,M8&lt;&gt;""),AR8,"")</f>
        <v/>
      </c>
      <c r="AP8" s="2184" t="str">
        <f>IF(M8="","",IF(AA8&gt;0,AB8/AA8,""))</f>
        <v/>
      </c>
      <c r="AQ8" s="2189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/>
      </c>
      <c r="AR8" s="2190" t="str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/>
      </c>
      <c r="AS8" s="2191" t="str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/>
      </c>
      <c r="AT8" s="2190" t="str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/>
      </c>
    </row>
    <row r="9" spans="1:78" ht="27" customHeight="1" thickBot="1">
      <c r="A9" s="1439"/>
      <c r="B9" s="1544"/>
      <c r="C9" s="1568">
        <v>46216</v>
      </c>
      <c r="D9" s="2166">
        <f>IFERROR(IF(pb_date="","",IF(AND(DAY(pb_date)&gt;0,DAY(pb_date)&lt;8),1,IF(AND(DAY(pb_date)&gt;7,DAY(pb_date)&lt;15),2,IF(AND(DAY(pb_date)&gt;14,DAY(pb_date)&lt;22),3,IF(AND(DAY(pb_date)&gt;21,DAY(pb_date)&lt;32),4,""))))),"")</f>
        <v>2</v>
      </c>
      <c r="E9" s="2162" t="str">
        <f>"KSPB"&amp;RIGHT(YEAR(C9),2)&amp;"-"&amp;TEXT(pb_no,"0000")</f>
        <v>KSPB26-0009</v>
      </c>
      <c r="F9" s="2161">
        <f>COUNTIFS([1]PurchaseBill!AM8:AM10000,"&gt;0")+1</f>
        <v>9</v>
      </c>
      <c r="G9" s="1457"/>
      <c r="I9" s="2139" t="str">
        <f t="shared" ref="I9:I72" si="8">IF(M9="","",MID(M9,1,5)*1)</f>
        <v/>
      </c>
      <c r="J9" s="2174" t="str">
        <f>IF(M9="","",J8+1)</f>
        <v/>
      </c>
      <c r="K9" s="2172" t="str">
        <f t="shared" si="0"/>
        <v/>
      </c>
      <c r="L9" s="2173"/>
      <c r="M9" s="1559"/>
      <c r="N9" s="1560"/>
      <c r="O9" s="1561"/>
      <c r="P9" s="1562"/>
      <c r="Q9" s="1563"/>
      <c r="R9" s="1569"/>
      <c r="S9" s="2178" t="str">
        <f t="shared" ref="S9" si="9">IF(M9="","",pb_currency_symbol)</f>
        <v/>
      </c>
      <c r="T9" s="1565"/>
      <c r="U9" s="2180" t="str">
        <f t="shared" ref="U9:U72" si="10">IF(M9="","",ROUND(IF(P9=AL9,AD9,IF(P9=AM9,ROUND(AD9/AA9,9),IF(P9=AN9,ROUND(AD9/AB9,9)))),2))</f>
        <v/>
      </c>
      <c r="V9" s="2178" t="str">
        <f t="shared" ref="V9" si="11">IF(W9=0,"",pb_currency_symbol)</f>
        <v/>
      </c>
      <c r="W9" s="1570"/>
      <c r="X9" s="2178" t="str">
        <f t="shared" ref="X9" si="12">IF(M9="","",pb_currency_symbol)</f>
        <v/>
      </c>
      <c r="Y9" s="2182" t="str">
        <f>IF(M9="","",ROUND(IF(T9&gt;0,(N9)*T9-W9,(N9)*U9-W9),2))</f>
        <v/>
      </c>
      <c r="Z9" s="1571"/>
      <c r="AA9" s="2183" t="str" cm="1">
        <f t="array" ref="AA9">IF(M9="","",IF(P9=AL9,1,Slookup(MID(AL9,1,3)*1,UomConversion!$D$8:$J$500,5,UomConversion!$E$8:$E$500,MID(P9,1,3)*1,UomConversion!$J$8:$J$500,1)))</f>
        <v/>
      </c>
      <c r="AB9" s="2184" t="str">
        <f t="shared" ref="AB9:AB72" si="13">IF(AND(M9="",ISNA(VLOOKUP(I9,product_list,18,FALSE))),"",VLOOKUP(I9,product_list,18,FALSE))</f>
        <v/>
      </c>
      <c r="AC9" s="2185" t="str">
        <f t="shared" ref="AC9:AC72" si="14">IF(M9="","",W9)</f>
        <v/>
      </c>
      <c r="AD9" s="2186" t="str">
        <f t="shared" ref="AD9:AD72" si="15">IF(M9="","",VLOOKUP(I9,product_list,14,FALSE))</f>
        <v/>
      </c>
      <c r="AE9" s="2187" t="str">
        <f t="shared" ref="AE9:AE72" si="16">IF(M9="","",VLOOKUP(I9,product_list,23,FALSE))</f>
        <v/>
      </c>
      <c r="AF9" s="2184" t="str">
        <f>IF(I9="","",IF(ISNA(MATCH(I9,IF(invoice_location_id=1,'[1]1_inventory_totals'!$C$8:$C$10000,IF(invoice_location_id=2,'[1]2_inventory_totals'!$C$8:$C$10000,0)),0)),0,IF(AS9&gt;0,1,0)))</f>
        <v/>
      </c>
      <c r="AG9" s="2184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H9" s="2184" t="str">
        <f>IF(M9="","",IF(ISNA(MATCH(I9,'[1]1_group_totals'!$C$8:$C$10000)),0,IF(AT9&gt;0,1,0)))</f>
        <v/>
      </c>
      <c r="AI9" s="2184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J9" s="2184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K9" s="2184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L9" s="2188" t="str">
        <f t="shared" ref="AL9:AL72" si="17">IF(M9="","",VLOOKUP(I9,product_list,8,FALSE))</f>
        <v/>
      </c>
      <c r="AM9" s="2188" t="str">
        <f>IF(OR(ISNA(MATCH(MID(AL9,1,3)*1,UomConversion!$D$8:$D$500,0)),M9=""),"",IF(AQ9="","",AQ9))</f>
        <v/>
      </c>
      <c r="AN9" s="2188" t="str">
        <f>IF(AND(AO9&gt;0,COUNTIFS(UomConversion!$D$8:$D$500,MID(AL9,1,3)*1,UomConversion!$J$8:$J$500,1)&gt;1),TEXT(AO9,"000")&amp;"."&amp;VLOOKUP(AO9,uom_list,5,FALSE),"")</f>
        <v/>
      </c>
      <c r="AO9" s="2184" t="str">
        <f t="shared" ref="AO9:AO72" si="18">IF(AND(AR9&gt;0,M9&lt;&gt;""),AR9,"")</f>
        <v/>
      </c>
      <c r="AP9" s="2184" t="str">
        <f t="shared" ref="AP9:AP72" si="19">IF(M9="","",IF(AA9&gt;0,AB9/AA9,""))</f>
        <v/>
      </c>
      <c r="AQ9" s="2189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2190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2191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2190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1439"/>
      <c r="B10" s="1544"/>
      <c r="C10" s="1463" t="s">
        <v>2796</v>
      </c>
      <c r="D10" s="1572"/>
      <c r="E10" s="1463" t="s">
        <v>2795</v>
      </c>
      <c r="F10" s="1573" t="str">
        <f>IF(ISNA(MATCH(pb_no*1,#REF!,0)),"not exist","exist")</f>
        <v>exist</v>
      </c>
      <c r="I10" s="2139" t="str">
        <f t="shared" si="8"/>
        <v/>
      </c>
      <c r="J10" s="2175" t="str">
        <f>IF(M10="","",J9+1)</f>
        <v/>
      </c>
      <c r="K10" s="2172" t="str">
        <f t="shared" si="0"/>
        <v/>
      </c>
      <c r="L10" s="2176"/>
      <c r="M10" s="1559"/>
      <c r="N10" s="1560"/>
      <c r="O10" s="1561"/>
      <c r="P10" s="1562"/>
      <c r="Q10" s="1563"/>
      <c r="R10" s="1569"/>
      <c r="S10" s="2178" t="str">
        <f t="shared" ref="S10" si="21">IF(M10="","",pb_currency_symbol)</f>
        <v/>
      </c>
      <c r="T10" s="1565"/>
      <c r="U10" s="2180" t="str">
        <f t="shared" si="10"/>
        <v/>
      </c>
      <c r="V10" s="2178" t="str">
        <f t="shared" ref="V10" si="22">IF(W10=0,"",pb_currency_symbol)</f>
        <v/>
      </c>
      <c r="W10" s="1570"/>
      <c r="X10" s="2178" t="str">
        <f t="shared" ref="X10" si="23">IF(M10="","",pb_currency_symbol)</f>
        <v/>
      </c>
      <c r="Y10" s="2182" t="str">
        <f t="shared" ref="Y10:Y72" si="24">IF(M10="","",ROUND(IF(T10&gt;0,(N10)*T10-W10,(N10)*U10-W10),2))</f>
        <v/>
      </c>
      <c r="Z10" s="1571"/>
      <c r="AA10" s="2183" t="str" cm="1">
        <f t="array" ref="AA10">IF(M10="","",IF(P10=AL10,1,Slookup(MID(AL10,1,3)*1,UomConversion!$D$8:$J$500,5,UomConversion!$E$8:$E$500,MID(P10,1,3)*1,UomConversion!$J$8:$J$500,1)))</f>
        <v/>
      </c>
      <c r="AB10" s="2184" t="str">
        <f t="shared" si="13"/>
        <v/>
      </c>
      <c r="AC10" s="2185" t="str">
        <f t="shared" si="14"/>
        <v/>
      </c>
      <c r="AD10" s="2186" t="str">
        <f t="shared" si="15"/>
        <v/>
      </c>
      <c r="AE10" s="2187" t="str">
        <f t="shared" si="16"/>
        <v/>
      </c>
      <c r="AF10" s="2184" t="str">
        <f>IF(I10="","",IF(ISNA(MATCH(I10,IF(invoice_location_id=1,'[1]1_inventory_totals'!$C$8:$C$10000,IF(invoice_location_id=2,'[1]2_inventory_totals'!$C$8:$C$10000,0)),0)),0,IF(AS10&gt;0,1,0)))</f>
        <v/>
      </c>
      <c r="AG10" s="2184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H10" s="2184" t="str">
        <f>IF(M10="","",IF(ISNA(MATCH(I10,'[1]1_group_totals'!$C$8:$C$10000)),0,IF(AT10&gt;0,1,0)))</f>
        <v/>
      </c>
      <c r="AI10" s="2184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J10" s="2184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K10" s="2184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L10" s="2188" t="str">
        <f t="shared" si="17"/>
        <v/>
      </c>
      <c r="AM10" s="2188" t="str">
        <f>IF(OR(ISNA(MATCH(MID(AL10,1,3)*1,UomConversion!$D$8:$D$500,0)),M10=""),"",IF(AQ10="","",AQ10))</f>
        <v/>
      </c>
      <c r="AN10" s="2188" t="str">
        <f>IF(AND(AO10&gt;0,COUNTIFS(UomConversion!$D$8:$D$500,MID(AL10,1,3)*1,UomConversion!$J$8:$J$500,1)&gt;1),TEXT(AO10,"000")&amp;"."&amp;VLOOKUP(AO10,uom_list,5,FALSE),"")</f>
        <v/>
      </c>
      <c r="AO10" s="2184" t="str">
        <f t="shared" si="18"/>
        <v/>
      </c>
      <c r="AP10" s="2184" t="str">
        <f t="shared" si="19"/>
        <v/>
      </c>
      <c r="AQ10" s="2189" t="str">
        <f t="shared" si="20"/>
        <v/>
      </c>
      <c r="AR10" s="2190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2191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2190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1439"/>
      <c r="B11" s="1544"/>
      <c r="C11" s="1574" t="s">
        <v>3551</v>
      </c>
      <c r="D11" s="2126">
        <f>IF(pb_vendor="","",MID(pb_vendor,1,3)*1)</f>
        <v>1</v>
      </c>
      <c r="E11" s="1575" t="s">
        <v>2741</v>
      </c>
      <c r="F11" s="1576">
        <f>MID(E11,1,3)*1</f>
        <v>1</v>
      </c>
      <c r="G11" s="1457"/>
      <c r="I11" s="2139" t="str">
        <f t="shared" si="8"/>
        <v/>
      </c>
      <c r="J11" s="2175" t="str">
        <f t="shared" ref="J11:J73" si="25">IF(M11="","",J10+1)</f>
        <v/>
      </c>
      <c r="K11" s="2172" t="str">
        <f t="shared" si="0"/>
        <v/>
      </c>
      <c r="L11" s="2176"/>
      <c r="M11" s="1559"/>
      <c r="N11" s="1560"/>
      <c r="O11" s="1561"/>
      <c r="P11" s="1562"/>
      <c r="Q11" s="1563"/>
      <c r="R11" s="1569"/>
      <c r="S11" s="2178" t="str">
        <f t="shared" ref="S11" si="26">IF(M11="","",pb_currency_symbol)</f>
        <v/>
      </c>
      <c r="T11" s="1565"/>
      <c r="U11" s="2180" t="str">
        <f t="shared" si="10"/>
        <v/>
      </c>
      <c r="V11" s="2178" t="str">
        <f t="shared" ref="V11" si="27">IF(W11=0,"",pb_currency_symbol)</f>
        <v/>
      </c>
      <c r="W11" s="1570"/>
      <c r="X11" s="2178" t="str">
        <f t="shared" ref="X11" si="28">IF(M11="","",pb_currency_symbol)</f>
        <v/>
      </c>
      <c r="Y11" s="2182" t="str">
        <f t="shared" si="24"/>
        <v/>
      </c>
      <c r="Z11" s="1571"/>
      <c r="AA11" s="2183" t="str" cm="1">
        <f t="array" ref="AA11">IF(M11="","",IF(P11=AL11,1,Slookup(MID(AL11,1,3)*1,UomConversion!$D$8:$J$500,5,UomConversion!$E$8:$E$500,MID(P11,1,3)*1,UomConversion!$J$8:$J$500,1)))</f>
        <v/>
      </c>
      <c r="AB11" s="2184" t="str">
        <f t="shared" si="13"/>
        <v/>
      </c>
      <c r="AC11" s="2185" t="str">
        <f t="shared" si="14"/>
        <v/>
      </c>
      <c r="AD11" s="2186" t="str">
        <f t="shared" si="15"/>
        <v/>
      </c>
      <c r="AE11" s="2187" t="str">
        <f t="shared" si="16"/>
        <v/>
      </c>
      <c r="AF11" s="2184" t="str">
        <f>IF(I11="","",IF(ISNA(MATCH(I11,IF(invoice_location_id=1,'[1]1_inventory_totals'!$C$8:$C$10000,IF(invoice_location_id=2,'[1]2_inventory_totals'!$C$8:$C$10000,0)),0)),0,IF(AS11&gt;0,1,0)))</f>
        <v/>
      </c>
      <c r="AG11" s="2184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H11" s="2184" t="str">
        <f>IF(M11="","",IF(ISNA(MATCH(I11,'[1]1_group_totals'!$C$8:$C$10000)),0,IF(AT11&gt;0,1,0)))</f>
        <v/>
      </c>
      <c r="AI11" s="2184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J11" s="2184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K11" s="2184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L11" s="2188" t="str">
        <f t="shared" si="17"/>
        <v/>
      </c>
      <c r="AM11" s="2188" t="str">
        <f>IF(OR(ISNA(MATCH(MID(AL11,1,3)*1,UomConversion!$D$8:$D$500,0)),M11=""),"",IF(AQ11="","",AQ11))</f>
        <v/>
      </c>
      <c r="AN11" s="2188" t="str">
        <f>IF(AND(AO11&gt;0,COUNTIFS(UomConversion!$D$8:$D$500,MID(AL11,1,3)*1,UomConversion!$J$8:$J$500,1)&gt;1),TEXT(AO11,"000")&amp;"."&amp;VLOOKUP(AO11,uom_list,5,FALSE),"")</f>
        <v/>
      </c>
      <c r="AO11" s="2184" t="str">
        <f t="shared" si="18"/>
        <v/>
      </c>
      <c r="AP11" s="2184" t="str">
        <f t="shared" si="19"/>
        <v/>
      </c>
      <c r="AQ11" s="2189" t="str">
        <f t="shared" si="20"/>
        <v/>
      </c>
      <c r="AR11" s="2190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2191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2190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1439"/>
      <c r="B12" s="1544"/>
      <c r="C12" s="1463" t="s">
        <v>2799</v>
      </c>
      <c r="D12" s="1572"/>
      <c r="E12" s="1463" t="s">
        <v>2800</v>
      </c>
      <c r="F12" s="1573"/>
      <c r="G12" s="1457"/>
      <c r="I12" s="2139" t="str">
        <f t="shared" si="8"/>
        <v/>
      </c>
      <c r="J12" s="2175" t="str">
        <f t="shared" si="25"/>
        <v/>
      </c>
      <c r="K12" s="2172" t="str">
        <f t="shared" si="0"/>
        <v/>
      </c>
      <c r="L12" s="2176"/>
      <c r="M12" s="1559"/>
      <c r="N12" s="1560"/>
      <c r="O12" s="1561"/>
      <c r="P12" s="1562"/>
      <c r="Q12" s="1563"/>
      <c r="R12" s="1569"/>
      <c r="S12" s="2178" t="str">
        <f t="shared" ref="S12" si="29">IF(M12="","",pb_currency_symbol)</f>
        <v/>
      </c>
      <c r="T12" s="1565"/>
      <c r="U12" s="2180" t="str">
        <f t="shared" si="10"/>
        <v/>
      </c>
      <c r="V12" s="2178" t="str">
        <f t="shared" ref="V12" si="30">IF(W12=0,"",pb_currency_symbol)</f>
        <v/>
      </c>
      <c r="W12" s="1570"/>
      <c r="X12" s="2178" t="str">
        <f t="shared" ref="X12" si="31">IF(M12="","",pb_currency_symbol)</f>
        <v/>
      </c>
      <c r="Y12" s="2182" t="str">
        <f t="shared" si="24"/>
        <v/>
      </c>
      <c r="Z12" s="1571"/>
      <c r="AA12" s="2183" t="str" cm="1">
        <f t="array" ref="AA12">IF(M12="","",IF(P12=AL12,1,Slookup(MID(AL12,1,3)*1,UomConversion!$D$8:$J$500,5,UomConversion!$E$8:$E$500,MID(P12,1,3)*1,UomConversion!$J$8:$J$500,1)))</f>
        <v/>
      </c>
      <c r="AB12" s="2184" t="str">
        <f t="shared" si="13"/>
        <v/>
      </c>
      <c r="AC12" s="2185" t="str">
        <f t="shared" si="14"/>
        <v/>
      </c>
      <c r="AD12" s="2186" t="str">
        <f t="shared" si="15"/>
        <v/>
      </c>
      <c r="AE12" s="2187" t="str">
        <f t="shared" si="16"/>
        <v/>
      </c>
      <c r="AF12" s="2184" t="str">
        <f>IF(I12="","",IF(ISNA(MATCH(I12,IF(invoice_location_id=1,'[1]1_inventory_totals'!$C$8:$C$10000,IF(invoice_location_id=2,'[1]2_inventory_totals'!$C$8:$C$10000,0)),0)),0,IF(AS12&gt;0,1,0)))</f>
        <v/>
      </c>
      <c r="AG12" s="2184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H12" s="2184" t="str">
        <f>IF(M12="","",IF(ISNA(MATCH(I12,'[1]1_group_totals'!$C$8:$C$10000)),0,IF(AT12&gt;0,1,0)))</f>
        <v/>
      </c>
      <c r="AI12" s="2184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J12" s="2184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K12" s="2184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L12" s="2188" t="str">
        <f t="shared" si="17"/>
        <v/>
      </c>
      <c r="AM12" s="2188" t="str">
        <f>IF(OR(ISNA(MATCH(MID(AL12,1,3)*1,UomConversion!$D$8:$D$500,0)),M12=""),"",IF(AQ12="","",AQ12))</f>
        <v/>
      </c>
      <c r="AN12" s="2188" t="str">
        <f>IF(AND(AO12&gt;0,COUNTIFS(UomConversion!$D$8:$D$500,MID(AL12,1,3)*1,UomConversion!$J$8:$J$500,1)&gt;1),TEXT(AO12,"000")&amp;"."&amp;VLOOKUP(AO12,uom_list,5,FALSE),"")</f>
        <v/>
      </c>
      <c r="AO12" s="2184" t="str">
        <f t="shared" si="18"/>
        <v/>
      </c>
      <c r="AP12" s="2184" t="str">
        <f t="shared" si="19"/>
        <v/>
      </c>
      <c r="AQ12" s="2189" t="str">
        <f t="shared" si="20"/>
        <v/>
      </c>
      <c r="AR12" s="2190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2191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2190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1439"/>
      <c r="B13" s="1544"/>
      <c r="C13" s="1575" t="s">
        <v>1960</v>
      </c>
      <c r="D13" s="2127">
        <f>MID(pb_branch,1,2)*1</f>
        <v>1</v>
      </c>
      <c r="E13" s="1575" t="s">
        <v>2741</v>
      </c>
      <c r="F13" s="2163">
        <f>MID(pb_location,1,3)*1</f>
        <v>1</v>
      </c>
      <c r="G13" s="1457"/>
      <c r="I13" s="2139" t="str">
        <f t="shared" si="8"/>
        <v/>
      </c>
      <c r="J13" s="2175" t="str">
        <f t="shared" si="25"/>
        <v/>
      </c>
      <c r="K13" s="2172" t="str">
        <f t="shared" si="0"/>
        <v/>
      </c>
      <c r="L13" s="2176"/>
      <c r="M13" s="1559"/>
      <c r="N13" s="1560"/>
      <c r="O13" s="1561"/>
      <c r="P13" s="1562"/>
      <c r="Q13" s="1563"/>
      <c r="R13" s="1569"/>
      <c r="S13" s="2178" t="str">
        <f t="shared" ref="S13" si="32">IF(M13="","",pb_currency_symbol)</f>
        <v/>
      </c>
      <c r="T13" s="1565"/>
      <c r="U13" s="2180" t="str">
        <f t="shared" si="10"/>
        <v/>
      </c>
      <c r="V13" s="2178" t="str">
        <f t="shared" ref="V13" si="33">IF(W13=0,"",pb_currency_symbol)</f>
        <v/>
      </c>
      <c r="W13" s="1570"/>
      <c r="X13" s="2178" t="str">
        <f t="shared" ref="X13" si="34">IF(M13="","",pb_currency_symbol)</f>
        <v/>
      </c>
      <c r="Y13" s="2182" t="str">
        <f t="shared" si="24"/>
        <v/>
      </c>
      <c r="Z13" s="1571"/>
      <c r="AA13" s="2183" t="str" cm="1">
        <f t="array" ref="AA13">IF(M13="","",IF(P13=AL13,1,Slookup(MID(AL13,1,3)*1,UomConversion!$D$8:$J$500,5,UomConversion!$E$8:$E$500,MID(P13,1,3)*1,UomConversion!$J$8:$J$500,1)))</f>
        <v/>
      </c>
      <c r="AB13" s="2184" t="str">
        <f t="shared" si="13"/>
        <v/>
      </c>
      <c r="AC13" s="2185" t="str">
        <f t="shared" si="14"/>
        <v/>
      </c>
      <c r="AD13" s="2186" t="str">
        <f t="shared" si="15"/>
        <v/>
      </c>
      <c r="AE13" s="2187" t="str">
        <f t="shared" si="16"/>
        <v/>
      </c>
      <c r="AF13" s="2184" t="str">
        <f>IF(I13="","",IF(ISNA(MATCH(I13,IF(invoice_location_id=1,'[1]1_inventory_totals'!$C$8:$C$10000,IF(invoice_location_id=2,'[1]2_inventory_totals'!$C$8:$C$10000,0)),0)),0,IF(AS13&gt;0,1,0)))</f>
        <v/>
      </c>
      <c r="AG13" s="2184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H13" s="2184" t="str">
        <f>IF(M13="","",IF(ISNA(MATCH(I13,'[1]1_group_totals'!$C$8:$C$10000)),0,IF(AT13&gt;0,1,0)))</f>
        <v/>
      </c>
      <c r="AI13" s="2184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J13" s="2184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K13" s="2184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L13" s="2188" t="str">
        <f t="shared" si="17"/>
        <v/>
      </c>
      <c r="AM13" s="2188" t="str">
        <f>IF(OR(ISNA(MATCH(MID(AL13,1,3)*1,UomConversion!$D$8:$D$500,0)),M13=""),"",IF(AQ13="","",AQ13))</f>
        <v/>
      </c>
      <c r="AN13" s="2188" t="str">
        <f>IF(AND(AO13&gt;0,COUNTIFS(UomConversion!$D$8:$D$500,MID(AL13,1,3)*1,UomConversion!$J$8:$J$500,1)&gt;1),TEXT(AO13,"000")&amp;"."&amp;VLOOKUP(AO13,uom_list,5,FALSE),"")</f>
        <v/>
      </c>
      <c r="AO13" s="2184" t="str">
        <f t="shared" si="18"/>
        <v/>
      </c>
      <c r="AP13" s="2184" t="str">
        <f t="shared" si="19"/>
        <v/>
      </c>
      <c r="AQ13" s="2189" t="str">
        <f t="shared" si="20"/>
        <v/>
      </c>
      <c r="AR13" s="2190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2191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2190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1439"/>
      <c r="B14" s="1527"/>
      <c r="C14" s="1463" t="s">
        <v>2005</v>
      </c>
      <c r="D14" s="1577"/>
      <c r="E14" s="1463" t="s">
        <v>2006</v>
      </c>
      <c r="F14" s="1573"/>
      <c r="I14" s="2139" t="str">
        <f t="shared" si="8"/>
        <v/>
      </c>
      <c r="J14" s="2175" t="str">
        <f t="shared" si="25"/>
        <v/>
      </c>
      <c r="K14" s="2172" t="str">
        <f t="shared" si="0"/>
        <v/>
      </c>
      <c r="L14" s="2176"/>
      <c r="M14" s="1559"/>
      <c r="N14" s="1560"/>
      <c r="O14" s="1561"/>
      <c r="P14" s="1562"/>
      <c r="Q14" s="1563"/>
      <c r="R14" s="1569"/>
      <c r="S14" s="2178" t="str">
        <f t="shared" ref="S14" si="35">IF(M14="","",pb_currency_symbol)</f>
        <v/>
      </c>
      <c r="T14" s="1565"/>
      <c r="U14" s="2180" t="str">
        <f t="shared" si="10"/>
        <v/>
      </c>
      <c r="V14" s="2178" t="str">
        <f t="shared" ref="V14" si="36">IF(W14=0,"",pb_currency_symbol)</f>
        <v/>
      </c>
      <c r="W14" s="1570"/>
      <c r="X14" s="2178" t="str">
        <f t="shared" ref="X14" si="37">IF(M14="","",pb_currency_symbol)</f>
        <v/>
      </c>
      <c r="Y14" s="2182" t="str">
        <f t="shared" si="24"/>
        <v/>
      </c>
      <c r="Z14" s="1578"/>
      <c r="AA14" s="2183" t="str" cm="1">
        <f t="array" ref="AA14">IF(M14="","",IF(P14=AL14,1,Slookup(MID(AL14,1,3)*1,UomConversion!$D$8:$J$500,5,UomConversion!$E$8:$E$500,MID(P14,1,3)*1,UomConversion!$J$8:$J$500,1)))</f>
        <v/>
      </c>
      <c r="AB14" s="2184" t="str">
        <f t="shared" si="13"/>
        <v/>
      </c>
      <c r="AC14" s="2185" t="str">
        <f t="shared" si="14"/>
        <v/>
      </c>
      <c r="AD14" s="2186" t="str">
        <f t="shared" si="15"/>
        <v/>
      </c>
      <c r="AE14" s="2187" t="str">
        <f t="shared" si="16"/>
        <v/>
      </c>
      <c r="AF14" s="2184" t="str">
        <f>IF(I14="","",IF(ISNA(MATCH(I14,IF(invoice_location_id=1,'[1]1_inventory_totals'!$C$8:$C$10000,IF(invoice_location_id=2,'[1]2_inventory_totals'!$C$8:$C$10000,0)),0)),0,IF(AS14&gt;0,1,0)))</f>
        <v/>
      </c>
      <c r="AG14" s="2184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H14" s="2184" t="str">
        <f>IF(M14="","",IF(ISNA(MATCH(I14,'[1]1_group_totals'!$C$8:$C$10000)),0,IF(AT14&gt;0,1,0)))</f>
        <v/>
      </c>
      <c r="AI14" s="2184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J14" s="2184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K14" s="2184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L14" s="2188" t="str">
        <f t="shared" si="17"/>
        <v/>
      </c>
      <c r="AM14" s="2188" t="str">
        <f>IF(OR(ISNA(MATCH(MID(AL14,1,3)*1,UomConversion!$D$8:$D$500,0)),M14=""),"",IF(AQ14="","",AQ14))</f>
        <v/>
      </c>
      <c r="AN14" s="2188" t="str">
        <f>IF(AND(AO14&gt;0,COUNTIFS(UomConversion!$D$8:$D$500,MID(AL14,1,3)*1,UomConversion!$J$8:$J$500,1)&gt;1),TEXT(AO14,"000")&amp;"."&amp;VLOOKUP(AO14,uom_list,5,FALSE),"")</f>
        <v/>
      </c>
      <c r="AO14" s="2184" t="str">
        <f t="shared" si="18"/>
        <v/>
      </c>
      <c r="AP14" s="2184" t="str">
        <f t="shared" si="19"/>
        <v/>
      </c>
      <c r="AQ14" s="2189" t="str">
        <f t="shared" si="20"/>
        <v/>
      </c>
      <c r="AR14" s="2190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2191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2190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1439"/>
      <c r="B15" s="1544"/>
      <c r="C15" s="1579"/>
      <c r="D15" s="1580"/>
      <c r="E15" s="1581"/>
      <c r="F15" s="1573"/>
      <c r="G15" s="1457"/>
      <c r="I15" s="2139" t="str">
        <f t="shared" si="8"/>
        <v/>
      </c>
      <c r="J15" s="2175" t="str">
        <f t="shared" si="25"/>
        <v/>
      </c>
      <c r="K15" s="2172" t="str">
        <f t="shared" si="0"/>
        <v/>
      </c>
      <c r="L15" s="2176"/>
      <c r="M15" s="1559"/>
      <c r="N15" s="1560"/>
      <c r="O15" s="1561"/>
      <c r="P15" s="1562"/>
      <c r="Q15" s="1563"/>
      <c r="R15" s="1569"/>
      <c r="S15" s="2178" t="str">
        <f t="shared" ref="S15" si="38">IF(M15="","",pb_currency_symbol)</f>
        <v/>
      </c>
      <c r="T15" s="1565"/>
      <c r="U15" s="2180" t="str">
        <f t="shared" si="10"/>
        <v/>
      </c>
      <c r="V15" s="2178" t="str">
        <f t="shared" ref="V15" si="39">IF(W15=0,"",pb_currency_symbol)</f>
        <v/>
      </c>
      <c r="W15" s="1570"/>
      <c r="X15" s="2178" t="str">
        <f t="shared" ref="X15" si="40">IF(M15="","",pb_currency_symbol)</f>
        <v/>
      </c>
      <c r="Y15" s="2182" t="str">
        <f t="shared" si="24"/>
        <v/>
      </c>
      <c r="Z15" s="1578"/>
      <c r="AA15" s="2183" t="str" cm="1">
        <f t="array" ref="AA15">IF(M15="","",IF(P15=AL15,1,Slookup(MID(AL15,1,3)*1,UomConversion!$D$8:$J$500,5,UomConversion!$E$8:$E$500,MID(P15,1,3)*1,UomConversion!$J$8:$J$500,1)))</f>
        <v/>
      </c>
      <c r="AB15" s="2184" t="str">
        <f t="shared" si="13"/>
        <v/>
      </c>
      <c r="AC15" s="2185" t="str">
        <f t="shared" si="14"/>
        <v/>
      </c>
      <c r="AD15" s="2186" t="str">
        <f t="shared" si="15"/>
        <v/>
      </c>
      <c r="AE15" s="2187" t="str">
        <f t="shared" si="16"/>
        <v/>
      </c>
      <c r="AF15" s="2184" t="str">
        <f>IF(I15="","",IF(ISNA(MATCH(I15,IF(invoice_location_id=1,'[1]1_inventory_totals'!$C$8:$C$10000,IF(invoice_location_id=2,'[1]2_inventory_totals'!$C$8:$C$10000,0)),0)),0,IF(AS15&gt;0,1,0)))</f>
        <v/>
      </c>
      <c r="AG15" s="2184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H15" s="2184" t="str">
        <f>IF(M15="","",IF(ISNA(MATCH(I15,'[1]1_group_totals'!$C$8:$C$10000)),0,IF(AT15&gt;0,1,0)))</f>
        <v/>
      </c>
      <c r="AI15" s="2184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J15" s="2184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K15" s="2184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L15" s="2188" t="str">
        <f t="shared" si="17"/>
        <v/>
      </c>
      <c r="AM15" s="2188" t="str">
        <f>IF(OR(ISNA(MATCH(MID(AL15,1,3)*1,UomConversion!$D$8:$D$500,0)),M15=""),"",IF(AQ15="","",AQ15))</f>
        <v/>
      </c>
      <c r="AN15" s="2188" t="str">
        <f>IF(AND(AO15&gt;0,COUNTIFS(UomConversion!$D$8:$D$500,MID(AL15,1,3)*1,UomConversion!$J$8:$J$500,1)&gt;1),TEXT(AO15,"000")&amp;"."&amp;VLOOKUP(AO15,uom_list,5,FALSE),"")</f>
        <v/>
      </c>
      <c r="AO15" s="2184" t="str">
        <f t="shared" si="18"/>
        <v/>
      </c>
      <c r="AP15" s="2184" t="str">
        <f t="shared" si="19"/>
        <v/>
      </c>
      <c r="AQ15" s="2189" t="str">
        <f t="shared" si="20"/>
        <v/>
      </c>
      <c r="AR15" s="2190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2191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2190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1439"/>
      <c r="B16" s="1527"/>
      <c r="C16" s="1463" t="s">
        <v>1629</v>
      </c>
      <c r="D16" s="1582"/>
      <c r="E16" s="1463" t="s">
        <v>2801</v>
      </c>
      <c r="F16" s="1573"/>
      <c r="I16" s="2139" t="str">
        <f t="shared" si="8"/>
        <v/>
      </c>
      <c r="J16" s="2175" t="str">
        <f t="shared" si="25"/>
        <v/>
      </c>
      <c r="K16" s="2172" t="str">
        <f t="shared" si="0"/>
        <v/>
      </c>
      <c r="L16" s="2176"/>
      <c r="M16" s="1559"/>
      <c r="N16" s="1560"/>
      <c r="O16" s="1561"/>
      <c r="P16" s="1562"/>
      <c r="Q16" s="1563"/>
      <c r="R16" s="1569"/>
      <c r="S16" s="2178" t="str">
        <f t="shared" ref="S16" si="41">IF(M16="","",pb_currency_symbol)</f>
        <v/>
      </c>
      <c r="T16" s="1565"/>
      <c r="U16" s="2180" t="str">
        <f t="shared" si="10"/>
        <v/>
      </c>
      <c r="V16" s="2178" t="str">
        <f t="shared" ref="V16" si="42">IF(W16=0,"",pb_currency_symbol)</f>
        <v/>
      </c>
      <c r="W16" s="1570"/>
      <c r="X16" s="2178" t="str">
        <f t="shared" ref="X16" si="43">IF(M16="","",pb_currency_symbol)</f>
        <v/>
      </c>
      <c r="Y16" s="2182" t="str">
        <f t="shared" si="24"/>
        <v/>
      </c>
      <c r="Z16" s="1578"/>
      <c r="AA16" s="2183" t="str" cm="1">
        <f t="array" ref="AA16">IF(M16="","",IF(P16=AL16,1,Slookup(MID(AL16,1,3)*1,UomConversion!$D$8:$J$500,5,UomConversion!$E$8:$E$500,MID(P16,1,3)*1,UomConversion!$J$8:$J$500,1)))</f>
        <v/>
      </c>
      <c r="AB16" s="2184" t="str">
        <f t="shared" si="13"/>
        <v/>
      </c>
      <c r="AC16" s="2185" t="str">
        <f t="shared" si="14"/>
        <v/>
      </c>
      <c r="AD16" s="2186" t="str">
        <f t="shared" si="15"/>
        <v/>
      </c>
      <c r="AE16" s="2187" t="str">
        <f t="shared" si="16"/>
        <v/>
      </c>
      <c r="AF16" s="2184" t="str">
        <f>IF(I16="","",IF(ISNA(MATCH(I16,IF(invoice_location_id=1,'[1]1_inventory_totals'!$C$8:$C$10000,IF(invoice_location_id=2,'[1]2_inventory_totals'!$C$8:$C$10000,0)),0)),0,IF(AS16&gt;0,1,0)))</f>
        <v/>
      </c>
      <c r="AG16" s="2184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H16" s="2184" t="str">
        <f>IF(M16="","",IF(ISNA(MATCH(I16,'[1]1_group_totals'!$C$8:$C$10000)),0,IF(AT16&gt;0,1,0)))</f>
        <v/>
      </c>
      <c r="AI16" s="2184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J16" s="2184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K16" s="2184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L16" s="2188" t="str">
        <f t="shared" si="17"/>
        <v/>
      </c>
      <c r="AM16" s="2188" t="str">
        <f>IF(OR(ISNA(MATCH(MID(AL16,1,3)*1,UomConversion!$D$8:$D$500,0)),M16=""),"",IF(AQ16="","",AQ16))</f>
        <v/>
      </c>
      <c r="AN16" s="2188" t="str">
        <f>IF(AND(AO16&gt;0,COUNTIFS(UomConversion!$D$8:$D$500,MID(AL16,1,3)*1,UomConversion!$J$8:$J$500,1)&gt;1),TEXT(AO16,"000")&amp;"."&amp;VLOOKUP(AO16,uom_list,5,FALSE),"")</f>
        <v/>
      </c>
      <c r="AO16" s="2184" t="str">
        <f t="shared" si="18"/>
        <v/>
      </c>
      <c r="AP16" s="2184" t="str">
        <f t="shared" si="19"/>
        <v/>
      </c>
      <c r="AQ16" s="2189" t="str">
        <f t="shared" si="20"/>
        <v/>
      </c>
      <c r="AR16" s="2190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2191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2190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1439"/>
      <c r="B17" s="1544"/>
      <c r="C17" s="1581" t="str">
        <f>IF(pb_currency_id="","",VLOOKUP(pb_currency_id,currency_list,2,FALSE))</f>
        <v>USD - US Dollar</v>
      </c>
      <c r="D17" s="1583" t="str">
        <f>IF(pb_currency_id="","",VLOOKUP(pb_currency_id,currency_list,3,FALSE))</f>
        <v>$</v>
      </c>
      <c r="E17" s="1568"/>
      <c r="F17" s="1528"/>
      <c r="G17" s="1457"/>
      <c r="I17" s="2139" t="str">
        <f t="shared" si="8"/>
        <v/>
      </c>
      <c r="J17" s="2175" t="str">
        <f t="shared" si="25"/>
        <v/>
      </c>
      <c r="K17" s="2172" t="str">
        <f t="shared" si="0"/>
        <v/>
      </c>
      <c r="L17" s="2176"/>
      <c r="M17" s="1559"/>
      <c r="N17" s="1560"/>
      <c r="O17" s="1560"/>
      <c r="P17" s="1562"/>
      <c r="Q17" s="1563"/>
      <c r="R17" s="1569"/>
      <c r="S17" s="2178" t="str">
        <f t="shared" ref="S17" si="44">IF(M17="","",pb_currency_symbol)</f>
        <v/>
      </c>
      <c r="T17" s="1584"/>
      <c r="U17" s="2180" t="str">
        <f t="shared" si="10"/>
        <v/>
      </c>
      <c r="V17" s="2178" t="str">
        <f t="shared" ref="V17" si="45">IF(W17=0,"",pb_currency_symbol)</f>
        <v/>
      </c>
      <c r="W17" s="1570"/>
      <c r="X17" s="2178" t="str">
        <f t="shared" ref="X17" si="46">IF(M17="","",pb_currency_symbol)</f>
        <v/>
      </c>
      <c r="Y17" s="2182" t="str">
        <f t="shared" si="24"/>
        <v/>
      </c>
      <c r="Z17" s="1578"/>
      <c r="AA17" s="2183" t="str" cm="1">
        <f t="array" ref="AA17">IF(M17="","",IF(P17=AL17,1,Slookup(MID(AL17,1,3)*1,UomConversion!$D$8:$J$500,5,UomConversion!$E$8:$E$500,MID(P17,1,3)*1,UomConversion!$J$8:$J$500,1)))</f>
        <v/>
      </c>
      <c r="AB17" s="2184" t="str">
        <f t="shared" si="13"/>
        <v/>
      </c>
      <c r="AC17" s="2185" t="str">
        <f t="shared" si="14"/>
        <v/>
      </c>
      <c r="AD17" s="2186" t="str">
        <f t="shared" si="15"/>
        <v/>
      </c>
      <c r="AE17" s="2187" t="str">
        <f t="shared" si="16"/>
        <v/>
      </c>
      <c r="AF17" s="2184" t="str">
        <f>IF(I17="","",IF(ISNA(MATCH(I17,IF(invoice_location_id=1,'[1]1_inventory_totals'!$C$8:$C$10000,IF(invoice_location_id=2,'[1]2_inventory_totals'!$C$8:$C$10000,0)),0)),0,IF(AS17&gt;0,1,0)))</f>
        <v/>
      </c>
      <c r="AG17" s="2184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H17" s="2184" t="str">
        <f>IF(M17="","",IF(ISNA(MATCH(I17,'[1]1_group_totals'!$C$8:$C$10000)),0,IF(AT17&gt;0,1,0)))</f>
        <v/>
      </c>
      <c r="AI17" s="2184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J17" s="2184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K17" s="2184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L17" s="2188" t="str">
        <f t="shared" si="17"/>
        <v/>
      </c>
      <c r="AM17" s="2188" t="str">
        <f>IF(OR(ISNA(MATCH(MID(AL17,1,3)*1,UomConversion!$D$8:$D$500,0)),M17=""),"",IF(AQ17="","",AQ17))</f>
        <v/>
      </c>
      <c r="AN17" s="2188" t="str">
        <f>IF(AND(AO17&gt;0,COUNTIFS(UomConversion!$D$8:$D$500,MID(AL17,1,3)*1,UomConversion!$J$8:$J$500,1)&gt;1),TEXT(AO17,"000")&amp;"."&amp;VLOOKUP(AO17,uom_list,5,FALSE),"")</f>
        <v/>
      </c>
      <c r="AO17" s="2184" t="str">
        <f t="shared" si="18"/>
        <v/>
      </c>
      <c r="AP17" s="2184" t="str">
        <f t="shared" si="19"/>
        <v/>
      </c>
      <c r="AQ17" s="2189" t="str">
        <f t="shared" si="20"/>
        <v/>
      </c>
      <c r="AR17" s="2190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2191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2190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1439"/>
      <c r="B18" s="1544"/>
      <c r="C18" s="2134">
        <f>IF(pb_branch="","",VLOOKUP(MID(pb_branch,1,2)*1,branch_list,24,FALSE))</f>
        <v>1</v>
      </c>
      <c r="D18" s="1413"/>
      <c r="E18" s="1440"/>
      <c r="F18" s="1545"/>
      <c r="G18" s="1457"/>
      <c r="I18" s="2139" t="str">
        <f t="shared" si="8"/>
        <v/>
      </c>
      <c r="J18" s="2175" t="str">
        <f t="shared" si="25"/>
        <v/>
      </c>
      <c r="K18" s="2172" t="str">
        <f t="shared" si="0"/>
        <v/>
      </c>
      <c r="L18" s="2176"/>
      <c r="M18" s="1559"/>
      <c r="N18" s="1560"/>
      <c r="O18" s="1560"/>
      <c r="P18" s="1562"/>
      <c r="Q18" s="1563"/>
      <c r="R18" s="1569"/>
      <c r="S18" s="2178" t="str">
        <f t="shared" ref="S18" si="47">IF(M18="","",pb_currency_symbol)</f>
        <v/>
      </c>
      <c r="T18" s="1584"/>
      <c r="U18" s="2180" t="str">
        <f t="shared" si="10"/>
        <v/>
      </c>
      <c r="V18" s="2178" t="str">
        <f t="shared" ref="V18" si="48">IF(W18=0,"",pb_currency_symbol)</f>
        <v/>
      </c>
      <c r="W18" s="1570"/>
      <c r="X18" s="2178" t="str">
        <f t="shared" ref="X18" si="49">IF(M18="","",pb_currency_symbol)</f>
        <v/>
      </c>
      <c r="Y18" s="2182" t="str">
        <f t="shared" si="24"/>
        <v/>
      </c>
      <c r="Z18" s="1578"/>
      <c r="AA18" s="2183" t="str" cm="1">
        <f t="array" ref="AA18">IF(M18="","",IF(P18=AL18,1,Slookup(MID(AL18,1,3)*1,UomConversion!$D$8:$J$500,5,UomConversion!$E$8:$E$500,MID(P18,1,3)*1,UomConversion!$J$8:$J$500,1)))</f>
        <v/>
      </c>
      <c r="AB18" s="2184" t="str">
        <f t="shared" si="13"/>
        <v/>
      </c>
      <c r="AC18" s="2185" t="str">
        <f t="shared" si="14"/>
        <v/>
      </c>
      <c r="AD18" s="2186" t="str">
        <f t="shared" si="15"/>
        <v/>
      </c>
      <c r="AE18" s="2187" t="str">
        <f t="shared" si="16"/>
        <v/>
      </c>
      <c r="AF18" s="2184" t="str">
        <f>IF(I18="","",IF(ISNA(MATCH(I18,IF(invoice_location_id=1,'[1]1_inventory_totals'!$C$8:$C$10000,IF(invoice_location_id=2,'[1]2_inventory_totals'!$C$8:$C$10000,0)),0)),0,IF(AS18&gt;0,1,0)))</f>
        <v/>
      </c>
      <c r="AG18" s="2184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H18" s="2184" t="str">
        <f>IF(M18="","",IF(ISNA(MATCH(I18,'[1]1_group_totals'!$C$8:$C$10000)),0,IF(AT18&gt;0,1,0)))</f>
        <v/>
      </c>
      <c r="AI18" s="2184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J18" s="2184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K18" s="2184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L18" s="2188" t="str">
        <f t="shared" si="17"/>
        <v/>
      </c>
      <c r="AM18" s="2188" t="str">
        <f>IF(OR(ISNA(MATCH(MID(AL18,1,3)*1,UomConversion!$D$8:$D$500,0)),M18=""),"",IF(AQ18="","",AQ18))</f>
        <v/>
      </c>
      <c r="AN18" s="2188" t="str">
        <f>IF(AND(AO18&gt;0,COUNTIFS(UomConversion!$D$8:$D$500,MID(AL18,1,3)*1,UomConversion!$J$8:$J$500,1)&gt;1),TEXT(AO18,"000")&amp;"."&amp;VLOOKUP(AO18,uom_list,5,FALSE),"")</f>
        <v/>
      </c>
      <c r="AO18" s="2184" t="str">
        <f t="shared" si="18"/>
        <v/>
      </c>
      <c r="AP18" s="2184" t="str">
        <f t="shared" si="19"/>
        <v/>
      </c>
      <c r="AQ18" s="2189" t="str">
        <f t="shared" si="20"/>
        <v/>
      </c>
      <c r="AR18" s="2190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2191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2190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1439"/>
      <c r="B19" s="1544"/>
      <c r="C19" s="1463" t="s">
        <v>1886</v>
      </c>
      <c r="D19" s="1464"/>
      <c r="E19" s="1463" t="s">
        <v>1984</v>
      </c>
      <c r="F19" s="1573"/>
      <c r="G19" s="1457"/>
      <c r="I19" s="2139" t="str">
        <f t="shared" si="8"/>
        <v/>
      </c>
      <c r="J19" s="2175" t="str">
        <f t="shared" si="25"/>
        <v/>
      </c>
      <c r="K19" s="2172" t="str">
        <f t="shared" si="0"/>
        <v/>
      </c>
      <c r="L19" s="2176"/>
      <c r="M19" s="1559"/>
      <c r="N19" s="1560"/>
      <c r="O19" s="1560"/>
      <c r="P19" s="1562"/>
      <c r="Q19" s="1563"/>
      <c r="R19" s="1569"/>
      <c r="S19" s="2178" t="str">
        <f t="shared" ref="S19" si="50">IF(M19="","",pb_currency_symbol)</f>
        <v/>
      </c>
      <c r="T19" s="1584"/>
      <c r="U19" s="2180" t="str">
        <f t="shared" si="10"/>
        <v/>
      </c>
      <c r="V19" s="2178" t="str">
        <f t="shared" ref="V19" si="51">IF(W19=0,"",pb_currency_symbol)</f>
        <v/>
      </c>
      <c r="W19" s="1570"/>
      <c r="X19" s="2178" t="str">
        <f t="shared" ref="X19" si="52">IF(M19="","",pb_currency_symbol)</f>
        <v/>
      </c>
      <c r="Y19" s="2182" t="str">
        <f t="shared" si="24"/>
        <v/>
      </c>
      <c r="Z19" s="1578"/>
      <c r="AA19" s="2183" t="str" cm="1">
        <f t="array" ref="AA19">IF(M19="","",IF(P19=AL19,1,Slookup(MID(AL19,1,3)*1,UomConversion!$D$8:$J$500,5,UomConversion!$E$8:$E$500,MID(P19,1,3)*1,UomConversion!$J$8:$J$500,1)))</f>
        <v/>
      </c>
      <c r="AB19" s="2184" t="str">
        <f t="shared" si="13"/>
        <v/>
      </c>
      <c r="AC19" s="2185" t="str">
        <f t="shared" si="14"/>
        <v/>
      </c>
      <c r="AD19" s="2186" t="str">
        <f t="shared" si="15"/>
        <v/>
      </c>
      <c r="AE19" s="2187" t="str">
        <f t="shared" si="16"/>
        <v/>
      </c>
      <c r="AF19" s="2184" t="str">
        <f>IF(I19="","",IF(ISNA(MATCH(I19,IF(invoice_location_id=1,'[1]1_inventory_totals'!$C$8:$C$10000,IF(invoice_location_id=2,'[1]2_inventory_totals'!$C$8:$C$10000,0)),0)),0,IF(AS19&gt;0,1,0)))</f>
        <v/>
      </c>
      <c r="AG19" s="2184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H19" s="2184" t="str">
        <f>IF(M19="","",IF(ISNA(MATCH(I19,'[1]1_group_totals'!$C$8:$C$10000)),0,IF(AT19&gt;0,1,0)))</f>
        <v/>
      </c>
      <c r="AI19" s="2184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J19" s="2184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K19" s="2184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L19" s="2188" t="str">
        <f t="shared" si="17"/>
        <v/>
      </c>
      <c r="AM19" s="2188" t="str">
        <f>IF(OR(ISNA(MATCH(MID(AL19,1,3)*1,UomConversion!$D$8:$D$500,0)),M19=""),"",IF(AQ19="","",AQ19))</f>
        <v/>
      </c>
      <c r="AN19" s="2188" t="str">
        <f>IF(AND(AO19&gt;0,COUNTIFS(UomConversion!$D$8:$D$500,MID(AL19,1,3)*1,UomConversion!$J$8:$J$500,1)&gt;1),TEXT(AO19,"000")&amp;"."&amp;VLOOKUP(AO19,uom_list,5,FALSE),"")</f>
        <v/>
      </c>
      <c r="AO19" s="2184" t="str">
        <f t="shared" si="18"/>
        <v/>
      </c>
      <c r="AP19" s="2184" t="str">
        <f t="shared" si="19"/>
        <v/>
      </c>
      <c r="AQ19" s="2189" t="str">
        <f t="shared" si="20"/>
        <v/>
      </c>
      <c r="AR19" s="2190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2191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2190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1439"/>
      <c r="B20" s="1527"/>
      <c r="C20" s="1581" t="s">
        <v>2003</v>
      </c>
      <c r="D20" s="1464">
        <f>VLOOKUP(MID(C20,1,3)*1,chart_account_default_list,5,FALSE)</f>
        <v>6</v>
      </c>
      <c r="E20" s="1581" t="s">
        <v>2013</v>
      </c>
      <c r="F20" s="2164">
        <f>MID(E20,1,2)*1</f>
        <v>1</v>
      </c>
      <c r="I20" s="2139" t="str">
        <f t="shared" si="8"/>
        <v/>
      </c>
      <c r="J20" s="2175" t="str">
        <f t="shared" si="25"/>
        <v/>
      </c>
      <c r="K20" s="2172" t="str">
        <f t="shared" si="0"/>
        <v/>
      </c>
      <c r="L20" s="2176"/>
      <c r="M20" s="1559"/>
      <c r="N20" s="1560"/>
      <c r="O20" s="1560"/>
      <c r="P20" s="1562"/>
      <c r="Q20" s="1563"/>
      <c r="R20" s="1569"/>
      <c r="S20" s="2178" t="str">
        <f t="shared" ref="S20" si="53">IF(M20="","",pb_currency_symbol)</f>
        <v/>
      </c>
      <c r="T20" s="1584"/>
      <c r="U20" s="2180" t="str">
        <f t="shared" si="10"/>
        <v/>
      </c>
      <c r="V20" s="2178" t="str">
        <f t="shared" ref="V20" si="54">IF(W20=0,"",pb_currency_symbol)</f>
        <v/>
      </c>
      <c r="W20" s="1570"/>
      <c r="X20" s="2178" t="str">
        <f t="shared" ref="X20" si="55">IF(M20="","",pb_currency_symbol)</f>
        <v/>
      </c>
      <c r="Y20" s="2182" t="str">
        <f t="shared" si="24"/>
        <v/>
      </c>
      <c r="Z20" s="1578"/>
      <c r="AA20" s="2183" t="str" cm="1">
        <f t="array" ref="AA20">IF(M20="","",IF(P20=AL20,1,Slookup(MID(AL20,1,3)*1,UomConversion!$D$8:$J$500,5,UomConversion!$E$8:$E$500,MID(P20,1,3)*1,UomConversion!$J$8:$J$500,1)))</f>
        <v/>
      </c>
      <c r="AB20" s="2184" t="str">
        <f t="shared" si="13"/>
        <v/>
      </c>
      <c r="AC20" s="2185" t="str">
        <f t="shared" si="14"/>
        <v/>
      </c>
      <c r="AD20" s="2186" t="str">
        <f t="shared" si="15"/>
        <v/>
      </c>
      <c r="AE20" s="2187" t="str">
        <f t="shared" si="16"/>
        <v/>
      </c>
      <c r="AF20" s="2184" t="str">
        <f>IF(I20="","",IF(ISNA(MATCH(I20,IF(invoice_location_id=1,'[1]1_inventory_totals'!$C$8:$C$10000,IF(invoice_location_id=2,'[1]2_inventory_totals'!$C$8:$C$10000,0)),0)),0,IF(AS20&gt;0,1,0)))</f>
        <v/>
      </c>
      <c r="AG20" s="2184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H20" s="2184" t="str">
        <f>IF(M20="","",IF(ISNA(MATCH(I20,'[1]1_group_totals'!$C$8:$C$10000)),0,IF(AT20&gt;0,1,0)))</f>
        <v/>
      </c>
      <c r="AI20" s="2184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J20" s="2184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K20" s="2184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L20" s="2188" t="str">
        <f t="shared" si="17"/>
        <v/>
      </c>
      <c r="AM20" s="2188" t="str">
        <f>IF(OR(ISNA(MATCH(MID(AL20,1,3)*1,UomConversion!$D$8:$D$500,0)),M20=""),"",IF(AQ20="","",AQ20))</f>
        <v/>
      </c>
      <c r="AN20" s="2188" t="str">
        <f>IF(AND(AO20&gt;0,COUNTIFS(UomConversion!$D$8:$D$500,MID(AL20,1,3)*1,UomConversion!$J$8:$J$500,1)&gt;1),TEXT(AO20,"000")&amp;"."&amp;VLOOKUP(AO20,uom_list,5,FALSE),"")</f>
        <v/>
      </c>
      <c r="AO20" s="2184" t="str">
        <f t="shared" si="18"/>
        <v/>
      </c>
      <c r="AP20" s="2184" t="str">
        <f t="shared" si="19"/>
        <v/>
      </c>
      <c r="AQ20" s="2189" t="str">
        <f t="shared" si="20"/>
        <v/>
      </c>
      <c r="AR20" s="2190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2191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2190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1439"/>
      <c r="B21" s="1527"/>
      <c r="C21" s="1463" t="s">
        <v>300</v>
      </c>
      <c r="D21" s="1465"/>
      <c r="E21" s="1466"/>
      <c r="F21" s="2167">
        <f>VLOOKUP(pb_payment_term_id,payment_term_list,3,FALSE)</f>
        <v>0</v>
      </c>
      <c r="I21" s="2139" t="str">
        <f t="shared" si="8"/>
        <v/>
      </c>
      <c r="J21" s="2175" t="str">
        <f t="shared" si="25"/>
        <v/>
      </c>
      <c r="K21" s="2172" t="str">
        <f t="shared" si="0"/>
        <v/>
      </c>
      <c r="L21" s="2176"/>
      <c r="M21" s="1559"/>
      <c r="N21" s="1560"/>
      <c r="O21" s="1560"/>
      <c r="P21" s="1562"/>
      <c r="Q21" s="1563"/>
      <c r="R21" s="1569"/>
      <c r="S21" s="2178" t="str">
        <f t="shared" ref="S21" si="56">IF(M21="","",pb_currency_symbol)</f>
        <v/>
      </c>
      <c r="T21" s="1584"/>
      <c r="U21" s="2180" t="str">
        <f t="shared" si="10"/>
        <v/>
      </c>
      <c r="V21" s="2178" t="str">
        <f t="shared" ref="V21" si="57">IF(W21=0,"",pb_currency_symbol)</f>
        <v/>
      </c>
      <c r="W21" s="1570"/>
      <c r="X21" s="2178" t="str">
        <f t="shared" ref="X21" si="58">IF(M21="","",pb_currency_symbol)</f>
        <v/>
      </c>
      <c r="Y21" s="2182" t="str">
        <f t="shared" si="24"/>
        <v/>
      </c>
      <c r="Z21" s="1578"/>
      <c r="AA21" s="2183" t="str" cm="1">
        <f t="array" ref="AA21">IF(M21="","",IF(P21=AL21,1,Slookup(MID(AL21,1,3)*1,UomConversion!$D$8:$J$500,5,UomConversion!$E$8:$E$500,MID(P21,1,3)*1,UomConversion!$J$8:$J$500,1)))</f>
        <v/>
      </c>
      <c r="AB21" s="2184" t="str">
        <f t="shared" si="13"/>
        <v/>
      </c>
      <c r="AC21" s="2185" t="str">
        <f t="shared" si="14"/>
        <v/>
      </c>
      <c r="AD21" s="2186" t="str">
        <f t="shared" si="15"/>
        <v/>
      </c>
      <c r="AE21" s="2187" t="str">
        <f t="shared" si="16"/>
        <v/>
      </c>
      <c r="AF21" s="2184" t="str">
        <f>IF(I21="","",IF(ISNA(MATCH(I21,IF(invoice_location_id=1,'[1]1_inventory_totals'!$C$8:$C$10000,IF(invoice_location_id=2,'[1]2_inventory_totals'!$C$8:$C$10000,0)),0)),0,IF(AS21&gt;0,1,0)))</f>
        <v/>
      </c>
      <c r="AG21" s="2184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H21" s="2184" t="str">
        <f>IF(M21="","",IF(ISNA(MATCH(I21,'[1]1_group_totals'!$C$8:$C$10000)),0,IF(AT21&gt;0,1,0)))</f>
        <v/>
      </c>
      <c r="AI21" s="2184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J21" s="2184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K21" s="2184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L21" s="2188" t="str">
        <f t="shared" si="17"/>
        <v/>
      </c>
      <c r="AM21" s="2188" t="str">
        <f>IF(OR(ISNA(MATCH(MID(AL21,1,3)*1,UomConversion!$D$8:$D$500,0)),M21=""),"",IF(AQ21="","",AQ21))</f>
        <v/>
      </c>
      <c r="AN21" s="2188" t="str">
        <f>IF(AND(AO21&gt;0,COUNTIFS(UomConversion!$D$8:$D$500,MID(AL21,1,3)*1,UomConversion!$J$8:$J$500,1)&gt;1),TEXT(AO21,"000")&amp;"."&amp;VLOOKUP(AO21,uom_list,5,FALSE),"")</f>
        <v/>
      </c>
      <c r="AO21" s="2184" t="str">
        <f t="shared" si="18"/>
        <v/>
      </c>
      <c r="AP21" s="2184" t="str">
        <f t="shared" si="19"/>
        <v/>
      </c>
      <c r="AQ21" s="2189" t="str">
        <f t="shared" si="20"/>
        <v/>
      </c>
      <c r="AR21" s="2190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2191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2190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1439"/>
      <c r="B22" s="1527"/>
      <c r="C22" s="1885" t="s">
        <v>214</v>
      </c>
      <c r="D22" s="1886"/>
      <c r="E22" s="1887"/>
      <c r="F22" s="1573"/>
      <c r="I22" s="2139" t="str">
        <f t="shared" si="8"/>
        <v/>
      </c>
      <c r="J22" s="2175" t="str">
        <f t="shared" si="25"/>
        <v/>
      </c>
      <c r="K22" s="2172" t="str">
        <f t="shared" si="0"/>
        <v/>
      </c>
      <c r="L22" s="2176"/>
      <c r="M22" s="1559"/>
      <c r="N22" s="1560"/>
      <c r="O22" s="1560"/>
      <c r="P22" s="1562"/>
      <c r="Q22" s="1563"/>
      <c r="R22" s="1569"/>
      <c r="S22" s="2178" t="str">
        <f t="shared" ref="S22" si="59">IF(M22="","",pb_currency_symbol)</f>
        <v/>
      </c>
      <c r="T22" s="1584"/>
      <c r="U22" s="2180" t="str">
        <f t="shared" si="10"/>
        <v/>
      </c>
      <c r="V22" s="2178" t="str">
        <f t="shared" ref="V22" si="60">IF(W22=0,"",pb_currency_symbol)</f>
        <v/>
      </c>
      <c r="W22" s="1570"/>
      <c r="X22" s="2178" t="str">
        <f t="shared" ref="X22" si="61">IF(M22="","",pb_currency_symbol)</f>
        <v/>
      </c>
      <c r="Y22" s="2182" t="str">
        <f t="shared" si="24"/>
        <v/>
      </c>
      <c r="Z22" s="1578"/>
      <c r="AA22" s="2183" t="str" cm="1">
        <f t="array" ref="AA22">IF(M22="","",IF(P22=AL22,1,Slookup(MID(AL22,1,3)*1,UomConversion!$D$8:$J$500,5,UomConversion!$E$8:$E$500,MID(P22,1,3)*1,UomConversion!$J$8:$J$500,1)))</f>
        <v/>
      </c>
      <c r="AB22" s="2184" t="str">
        <f t="shared" si="13"/>
        <v/>
      </c>
      <c r="AC22" s="2185" t="str">
        <f t="shared" si="14"/>
        <v/>
      </c>
      <c r="AD22" s="2186" t="str">
        <f t="shared" si="15"/>
        <v/>
      </c>
      <c r="AE22" s="2187" t="str">
        <f t="shared" si="16"/>
        <v/>
      </c>
      <c r="AF22" s="2184" t="str">
        <f>IF(I22="","",IF(ISNA(MATCH(I22,IF(invoice_location_id=1,'[1]1_inventory_totals'!$C$8:$C$10000,IF(invoice_location_id=2,'[1]2_inventory_totals'!$C$8:$C$10000,0)),0)),0,IF(AS22&gt;0,1,0)))</f>
        <v/>
      </c>
      <c r="AG22" s="2184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H22" s="2184" t="str">
        <f>IF(M22="","",IF(ISNA(MATCH(I22,'[1]1_group_totals'!$C$8:$C$10000)),0,IF(AT22&gt;0,1,0)))</f>
        <v/>
      </c>
      <c r="AI22" s="2184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J22" s="2184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K22" s="2184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L22" s="2188" t="str">
        <f t="shared" si="17"/>
        <v/>
      </c>
      <c r="AM22" s="2188" t="str">
        <f>IF(OR(ISNA(MATCH(MID(AL22,1,3)*1,UomConversion!$D$8:$D$500,0)),M22=""),"",IF(AQ22="","",AQ22))</f>
        <v/>
      </c>
      <c r="AN22" s="2188" t="str">
        <f>IF(AND(AO22&gt;0,COUNTIFS(UomConversion!$D$8:$D$500,MID(AL22,1,3)*1,UomConversion!$J$8:$J$500,1)&gt;1),TEXT(AO22,"000")&amp;"."&amp;VLOOKUP(AO22,uom_list,5,FALSE),"")</f>
        <v/>
      </c>
      <c r="AO22" s="2184" t="str">
        <f t="shared" si="18"/>
        <v/>
      </c>
      <c r="AP22" s="2184" t="str">
        <f t="shared" si="19"/>
        <v/>
      </c>
      <c r="AQ22" s="2189" t="str">
        <f t="shared" si="20"/>
        <v/>
      </c>
      <c r="AR22" s="2190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2191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2190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1439"/>
      <c r="B23" s="1527"/>
      <c r="C23" s="1888"/>
      <c r="D23" s="1815"/>
      <c r="E23" s="1889"/>
      <c r="F23" s="1573"/>
      <c r="I23" s="2139" t="str">
        <f t="shared" si="8"/>
        <v/>
      </c>
      <c r="J23" s="2175" t="str">
        <f t="shared" si="25"/>
        <v/>
      </c>
      <c r="K23" s="2172" t="str">
        <f t="shared" si="0"/>
        <v/>
      </c>
      <c r="L23" s="2176"/>
      <c r="M23" s="1559"/>
      <c r="N23" s="1560"/>
      <c r="O23" s="1560"/>
      <c r="P23" s="1562"/>
      <c r="Q23" s="1563"/>
      <c r="R23" s="1569"/>
      <c r="S23" s="2178" t="str">
        <f t="shared" ref="S23" si="62">IF(M23="","",pb_currency_symbol)</f>
        <v/>
      </c>
      <c r="T23" s="1584"/>
      <c r="U23" s="2180" t="str">
        <f t="shared" si="10"/>
        <v/>
      </c>
      <c r="V23" s="2178" t="str">
        <f t="shared" ref="V23" si="63">IF(W23=0,"",pb_currency_symbol)</f>
        <v/>
      </c>
      <c r="W23" s="1570"/>
      <c r="X23" s="2178" t="str">
        <f t="shared" ref="X23" si="64">IF(M23="","",pb_currency_symbol)</f>
        <v/>
      </c>
      <c r="Y23" s="2182" t="str">
        <f t="shared" si="24"/>
        <v/>
      </c>
      <c r="Z23" s="1578"/>
      <c r="AA23" s="2183" t="str" cm="1">
        <f t="array" ref="AA23">IF(M23="","",IF(P23=AL23,1,Slookup(MID(AL23,1,3)*1,UomConversion!$D$8:$J$500,5,UomConversion!$E$8:$E$500,MID(P23,1,3)*1,UomConversion!$J$8:$J$500,1)))</f>
        <v/>
      </c>
      <c r="AB23" s="2184" t="str">
        <f t="shared" si="13"/>
        <v/>
      </c>
      <c r="AC23" s="2185" t="str">
        <f t="shared" si="14"/>
        <v/>
      </c>
      <c r="AD23" s="2186" t="str">
        <f t="shared" si="15"/>
        <v/>
      </c>
      <c r="AE23" s="2187" t="str">
        <f t="shared" si="16"/>
        <v/>
      </c>
      <c r="AF23" s="2184" t="str">
        <f>IF(I23="","",IF(ISNA(MATCH(I23,IF(invoice_location_id=1,'[1]1_inventory_totals'!$C$8:$C$10000,IF(invoice_location_id=2,'[1]2_inventory_totals'!$C$8:$C$10000,0)),0)),0,IF(AS23&gt;0,1,0)))</f>
        <v/>
      </c>
      <c r="AG23" s="2184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H23" s="2184" t="str">
        <f>IF(M23="","",IF(ISNA(MATCH(I23,'[1]1_group_totals'!$C$8:$C$10000)),0,IF(AT23&gt;0,1,0)))</f>
        <v/>
      </c>
      <c r="AI23" s="2184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J23" s="2184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K23" s="2184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L23" s="2188" t="str">
        <f t="shared" si="17"/>
        <v/>
      </c>
      <c r="AM23" s="2188" t="str">
        <f>IF(OR(ISNA(MATCH(MID(AL23,1,3)*1,UomConversion!$D$8:$D$500,0)),M23=""),"",IF(AQ23="","",AQ23))</f>
        <v/>
      </c>
      <c r="AN23" s="2188" t="str">
        <f>IF(AND(AO23&gt;0,COUNTIFS(UomConversion!$D$8:$D$500,MID(AL23,1,3)*1,UomConversion!$J$8:$J$500,1)&gt;1),TEXT(AO23,"000")&amp;"."&amp;VLOOKUP(AO23,uom_list,5,FALSE),"")</f>
        <v/>
      </c>
      <c r="AO23" s="2184" t="str">
        <f t="shared" si="18"/>
        <v/>
      </c>
      <c r="AP23" s="2184" t="str">
        <f t="shared" si="19"/>
        <v/>
      </c>
      <c r="AQ23" s="2189" t="str">
        <f t="shared" si="20"/>
        <v/>
      </c>
      <c r="AR23" s="2190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2191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2190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1439"/>
      <c r="B24" s="1527"/>
      <c r="C24" s="1890"/>
      <c r="D24" s="1891"/>
      <c r="E24" s="1892"/>
      <c r="F24" s="1573"/>
      <c r="I24" s="2139" t="str">
        <f t="shared" si="8"/>
        <v/>
      </c>
      <c r="J24" s="2175" t="str">
        <f t="shared" si="25"/>
        <v/>
      </c>
      <c r="K24" s="2172" t="str">
        <f t="shared" si="0"/>
        <v/>
      </c>
      <c r="L24" s="2176"/>
      <c r="M24" s="1559"/>
      <c r="N24" s="1560"/>
      <c r="O24" s="1560"/>
      <c r="P24" s="1562"/>
      <c r="Q24" s="1563"/>
      <c r="R24" s="1569"/>
      <c r="S24" s="2178" t="str">
        <f t="shared" ref="S24" si="65">IF(M24="","",pb_currency_symbol)</f>
        <v/>
      </c>
      <c r="T24" s="1584"/>
      <c r="U24" s="2180" t="str">
        <f t="shared" si="10"/>
        <v/>
      </c>
      <c r="V24" s="2178" t="str">
        <f t="shared" ref="V24" si="66">IF(W24=0,"",pb_currency_symbol)</f>
        <v/>
      </c>
      <c r="W24" s="1570"/>
      <c r="X24" s="2178" t="str">
        <f t="shared" ref="X24" si="67">IF(M24="","",pb_currency_symbol)</f>
        <v/>
      </c>
      <c r="Y24" s="2182" t="str">
        <f t="shared" si="24"/>
        <v/>
      </c>
      <c r="Z24" s="1578"/>
      <c r="AA24" s="2183" t="str" cm="1">
        <f t="array" ref="AA24">IF(M24="","",IF(P24=AL24,1,Slookup(MID(AL24,1,3)*1,UomConversion!$D$8:$J$500,5,UomConversion!$E$8:$E$500,MID(P24,1,3)*1,UomConversion!$J$8:$J$500,1)))</f>
        <v/>
      </c>
      <c r="AB24" s="2184" t="str">
        <f t="shared" si="13"/>
        <v/>
      </c>
      <c r="AC24" s="2185" t="str">
        <f t="shared" si="14"/>
        <v/>
      </c>
      <c r="AD24" s="2186" t="str">
        <f t="shared" si="15"/>
        <v/>
      </c>
      <c r="AE24" s="2187" t="str">
        <f t="shared" si="16"/>
        <v/>
      </c>
      <c r="AF24" s="2184" t="str">
        <f>IF(I24="","",IF(ISNA(MATCH(I24,IF(invoice_location_id=1,'[1]1_inventory_totals'!$C$8:$C$10000,IF(invoice_location_id=2,'[1]2_inventory_totals'!$C$8:$C$10000,0)),0)),0,IF(AS24&gt;0,1,0)))</f>
        <v/>
      </c>
      <c r="AG24" s="2184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H24" s="2184" t="str">
        <f>IF(M24="","",IF(ISNA(MATCH(I24,'[1]1_group_totals'!$C$8:$C$10000)),0,IF(AT24&gt;0,1,0)))</f>
        <v/>
      </c>
      <c r="AI24" s="2184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J24" s="2184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K24" s="2184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L24" s="2188" t="str">
        <f t="shared" si="17"/>
        <v/>
      </c>
      <c r="AM24" s="2188" t="str">
        <f>IF(OR(ISNA(MATCH(MID(AL24,1,3)*1,UomConversion!$D$8:$D$500,0)),M24=""),"",IF(AQ24="","",AQ24))</f>
        <v/>
      </c>
      <c r="AN24" s="2188" t="str">
        <f>IF(AND(AO24&gt;0,COUNTIFS(UomConversion!$D$8:$D$500,MID(AL24,1,3)*1,UomConversion!$J$8:$J$500,1)&gt;1),TEXT(AO24,"000")&amp;"."&amp;VLOOKUP(AO24,uom_list,5,FALSE),"")</f>
        <v/>
      </c>
      <c r="AO24" s="2184" t="str">
        <f t="shared" si="18"/>
        <v/>
      </c>
      <c r="AP24" s="2184" t="str">
        <f t="shared" si="19"/>
        <v/>
      </c>
      <c r="AQ24" s="2189" t="str">
        <f t="shared" si="20"/>
        <v/>
      </c>
      <c r="AR24" s="2190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2191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2190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1439"/>
      <c r="B25" s="1527"/>
      <c r="C25" s="1466"/>
      <c r="D25" s="1466"/>
      <c r="E25" s="1466"/>
      <c r="F25" s="1573"/>
      <c r="I25" s="2139" t="str">
        <f t="shared" si="8"/>
        <v/>
      </c>
      <c r="J25" s="2175" t="str">
        <f t="shared" si="25"/>
        <v/>
      </c>
      <c r="K25" s="2172" t="str">
        <f t="shared" si="0"/>
        <v/>
      </c>
      <c r="L25" s="2176"/>
      <c r="M25" s="1585"/>
      <c r="N25" s="1560"/>
      <c r="O25" s="1560"/>
      <c r="P25" s="1562"/>
      <c r="Q25" s="1563"/>
      <c r="R25" s="1569"/>
      <c r="S25" s="2178" t="str">
        <f t="shared" ref="S25" si="68">IF(M25="","",pb_currency_symbol)</f>
        <v/>
      </c>
      <c r="T25" s="1584"/>
      <c r="U25" s="2180" t="str">
        <f t="shared" si="10"/>
        <v/>
      </c>
      <c r="V25" s="2178" t="str">
        <f t="shared" ref="V25" si="69">IF(W25=0,"",pb_currency_symbol)</f>
        <v/>
      </c>
      <c r="W25" s="1570"/>
      <c r="X25" s="2178" t="str">
        <f t="shared" ref="X25" si="70">IF(M25="","",pb_currency_symbol)</f>
        <v/>
      </c>
      <c r="Y25" s="2182" t="str">
        <f t="shared" si="24"/>
        <v/>
      </c>
      <c r="Z25" s="1578"/>
      <c r="AA25" s="2183" t="str" cm="1">
        <f t="array" ref="AA25">IF(M25="","",IF(P25=AL25,1,Slookup(MID(AL25,1,3)*1,UomConversion!$D$8:$J$500,5,UomConversion!$E$8:$E$500,MID(P25,1,3)*1,UomConversion!$J$8:$J$500,1)))</f>
        <v/>
      </c>
      <c r="AB25" s="2184" t="str">
        <f t="shared" si="13"/>
        <v/>
      </c>
      <c r="AC25" s="2185" t="str">
        <f t="shared" si="14"/>
        <v/>
      </c>
      <c r="AD25" s="2186" t="str">
        <f t="shared" si="15"/>
        <v/>
      </c>
      <c r="AE25" s="2187" t="str">
        <f t="shared" si="16"/>
        <v/>
      </c>
      <c r="AF25" s="2184" t="str">
        <f>IF(I25="","",IF(ISNA(MATCH(I25,IF(invoice_location_id=1,'[1]1_inventory_totals'!$C$8:$C$10000,IF(invoice_location_id=2,'[1]2_inventory_totals'!$C$8:$C$10000,0)),0)),0,IF(AS25&gt;0,1,0)))</f>
        <v/>
      </c>
      <c r="AG25" s="2184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H25" s="2184" t="str">
        <f>IF(M25="","",IF(ISNA(MATCH(I25,'[1]1_group_totals'!$C$8:$C$10000)),0,IF(AT25&gt;0,1,0)))</f>
        <v/>
      </c>
      <c r="AI25" s="2184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J25" s="2184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K25" s="2184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L25" s="2188" t="str">
        <f t="shared" si="17"/>
        <v/>
      </c>
      <c r="AM25" s="2188" t="str">
        <f>IF(OR(ISNA(MATCH(MID(AL25,1,3)*1,UomConversion!$D$8:$D$500,0)),M25=""),"",IF(AQ25="","",AQ25))</f>
        <v/>
      </c>
      <c r="AN25" s="2188" t="str">
        <f>IF(AND(AO25&gt;0,COUNTIFS(UomConversion!$D$8:$D$500,MID(AL25,1,3)*1,UomConversion!$J$8:$J$500,1)&gt;1),TEXT(AO25,"000")&amp;"."&amp;VLOOKUP(AO25,uom_list,5,FALSE),"")</f>
        <v/>
      </c>
      <c r="AO25" s="2184" t="str">
        <f t="shared" si="18"/>
        <v/>
      </c>
      <c r="AP25" s="2184" t="str">
        <f t="shared" si="19"/>
        <v/>
      </c>
      <c r="AQ25" s="2189" t="str">
        <f t="shared" si="20"/>
        <v/>
      </c>
      <c r="AR25" s="2190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2191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2190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1439"/>
      <c r="B26" s="1527"/>
      <c r="C26" s="1466"/>
      <c r="D26" s="1466"/>
      <c r="E26" s="1466"/>
      <c r="F26" s="1573"/>
      <c r="I26" s="2139" t="str">
        <f t="shared" si="8"/>
        <v/>
      </c>
      <c r="J26" s="2175" t="str">
        <f t="shared" si="25"/>
        <v/>
      </c>
      <c r="K26" s="2172" t="str">
        <f t="shared" si="0"/>
        <v/>
      </c>
      <c r="L26" s="2176"/>
      <c r="M26" s="1585"/>
      <c r="N26" s="1560"/>
      <c r="O26" s="1560"/>
      <c r="P26" s="1562"/>
      <c r="Q26" s="1563"/>
      <c r="R26" s="1569"/>
      <c r="S26" s="2178" t="str">
        <f t="shared" ref="S26" si="71">IF(M26="","",pb_currency_symbol)</f>
        <v/>
      </c>
      <c r="T26" s="1584"/>
      <c r="U26" s="2180" t="str">
        <f t="shared" si="10"/>
        <v/>
      </c>
      <c r="V26" s="2178" t="str">
        <f t="shared" ref="V26" si="72">IF(W26=0,"",pb_currency_symbol)</f>
        <v/>
      </c>
      <c r="W26" s="1570"/>
      <c r="X26" s="2178" t="str">
        <f t="shared" ref="X26" si="73">IF(M26="","",pb_currency_symbol)</f>
        <v/>
      </c>
      <c r="Y26" s="2182" t="str">
        <f t="shared" si="24"/>
        <v/>
      </c>
      <c r="Z26" s="1578"/>
      <c r="AA26" s="2183" t="str" cm="1">
        <f t="array" ref="AA26">IF(M26="","",IF(P26=AL26,1,Slookup(MID(AL26,1,3)*1,UomConversion!$D$8:$J$500,5,UomConversion!$E$8:$E$500,MID(P26,1,3)*1,UomConversion!$J$8:$J$500,1)))</f>
        <v/>
      </c>
      <c r="AB26" s="2184" t="str">
        <f t="shared" si="13"/>
        <v/>
      </c>
      <c r="AC26" s="2185" t="str">
        <f t="shared" si="14"/>
        <v/>
      </c>
      <c r="AD26" s="2186" t="str">
        <f t="shared" si="15"/>
        <v/>
      </c>
      <c r="AE26" s="2187" t="str">
        <f t="shared" si="16"/>
        <v/>
      </c>
      <c r="AF26" s="2184" t="str">
        <f>IF(I26="","",IF(ISNA(MATCH(I26,IF(invoice_location_id=1,'[1]1_inventory_totals'!$C$8:$C$10000,IF(invoice_location_id=2,'[1]2_inventory_totals'!$C$8:$C$10000,0)),0)),0,IF(AS26&gt;0,1,0)))</f>
        <v/>
      </c>
      <c r="AG26" s="2184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H26" s="2184" t="str">
        <f>IF(M26="","",IF(ISNA(MATCH(I26,'[1]1_group_totals'!$C$8:$C$10000)),0,IF(AT26&gt;0,1,0)))</f>
        <v/>
      </c>
      <c r="AI26" s="2184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J26" s="2184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K26" s="2184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L26" s="2188" t="str">
        <f t="shared" si="17"/>
        <v/>
      </c>
      <c r="AM26" s="2188" t="str">
        <f>IF(OR(ISNA(MATCH(MID(AL26,1,3)*1,UomConversion!$D$8:$D$500,0)),M26=""),"",IF(AQ26="","",AQ26))</f>
        <v/>
      </c>
      <c r="AN26" s="2188" t="str">
        <f>IF(AND(AO26&gt;0,COUNTIFS(UomConversion!$D$8:$D$500,MID(AL26,1,3)*1,UomConversion!$J$8:$J$500,1)&gt;1),TEXT(AO26,"000")&amp;"."&amp;VLOOKUP(AO26,uom_list,5,FALSE),"")</f>
        <v/>
      </c>
      <c r="AO26" s="2184" t="str">
        <f t="shared" si="18"/>
        <v/>
      </c>
      <c r="AP26" s="2184" t="str">
        <f t="shared" si="19"/>
        <v/>
      </c>
      <c r="AQ26" s="2189" t="str">
        <f t="shared" si="20"/>
        <v/>
      </c>
      <c r="AR26" s="2190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2191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2190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1439"/>
      <c r="B27" s="1527"/>
      <c r="C27" s="1466"/>
      <c r="D27" s="1466"/>
      <c r="E27" s="1466"/>
      <c r="F27" s="1573"/>
      <c r="I27" s="2139" t="str">
        <f t="shared" si="8"/>
        <v/>
      </c>
      <c r="J27" s="2175" t="str">
        <f t="shared" si="25"/>
        <v/>
      </c>
      <c r="K27" s="2172" t="str">
        <f t="shared" si="0"/>
        <v/>
      </c>
      <c r="L27" s="2176"/>
      <c r="M27" s="1585"/>
      <c r="N27" s="1560"/>
      <c r="O27" s="1560"/>
      <c r="P27" s="1562"/>
      <c r="Q27" s="1563"/>
      <c r="R27" s="1569"/>
      <c r="S27" s="2178" t="str">
        <f t="shared" ref="S27" si="74">IF(M27="","",pb_currency_symbol)</f>
        <v/>
      </c>
      <c r="T27" s="1584"/>
      <c r="U27" s="2180" t="str">
        <f t="shared" si="10"/>
        <v/>
      </c>
      <c r="V27" s="2178" t="str">
        <f t="shared" ref="V27" si="75">IF(W27=0,"",pb_currency_symbol)</f>
        <v/>
      </c>
      <c r="W27" s="1570"/>
      <c r="X27" s="2178" t="str">
        <f t="shared" ref="X27" si="76">IF(M27="","",pb_currency_symbol)</f>
        <v/>
      </c>
      <c r="Y27" s="2182" t="str">
        <f t="shared" si="24"/>
        <v/>
      </c>
      <c r="Z27" s="1578"/>
      <c r="AA27" s="2183" t="str" cm="1">
        <f t="array" ref="AA27">IF(M27="","",IF(P27=AL27,1,Slookup(MID(AL27,1,3)*1,UomConversion!$D$8:$J$500,5,UomConversion!$E$8:$E$500,MID(P27,1,3)*1,UomConversion!$J$8:$J$500,1)))</f>
        <v/>
      </c>
      <c r="AB27" s="2184" t="str">
        <f t="shared" si="13"/>
        <v/>
      </c>
      <c r="AC27" s="2185" t="str">
        <f t="shared" si="14"/>
        <v/>
      </c>
      <c r="AD27" s="2186" t="str">
        <f t="shared" si="15"/>
        <v/>
      </c>
      <c r="AE27" s="2187" t="str">
        <f t="shared" si="16"/>
        <v/>
      </c>
      <c r="AF27" s="2184" t="str">
        <f>IF(I27="","",IF(ISNA(MATCH(I27,IF(invoice_location_id=1,'[1]1_inventory_totals'!$C$8:$C$10000,IF(invoice_location_id=2,'[1]2_inventory_totals'!$C$8:$C$10000,0)),0)),0,IF(AS27&gt;0,1,0)))</f>
        <v/>
      </c>
      <c r="AG27" s="2184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H27" s="2184" t="str">
        <f>IF(M27="","",IF(ISNA(MATCH(I27,'[1]1_group_totals'!$C$8:$C$10000)),0,IF(AT27&gt;0,1,0)))</f>
        <v/>
      </c>
      <c r="AI27" s="2184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J27" s="2184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K27" s="2184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L27" s="2188" t="str">
        <f t="shared" si="17"/>
        <v/>
      </c>
      <c r="AM27" s="2188" t="str">
        <f>IF(OR(ISNA(MATCH(MID(AL27,1,3)*1,UomConversion!$D$8:$D$500,0)),M27=""),"",IF(AQ27="","",AQ27))</f>
        <v/>
      </c>
      <c r="AN27" s="2188" t="str">
        <f>IF(AND(AO27&gt;0,COUNTIFS(UomConversion!$D$8:$D$500,MID(AL27,1,3)*1,UomConversion!$J$8:$J$500,1)&gt;1),TEXT(AO27,"000")&amp;"."&amp;VLOOKUP(AO27,uom_list,5,FALSE),"")</f>
        <v/>
      </c>
      <c r="AO27" s="2184" t="str">
        <f t="shared" si="18"/>
        <v/>
      </c>
      <c r="AP27" s="2184" t="str">
        <f t="shared" si="19"/>
        <v/>
      </c>
      <c r="AQ27" s="2189" t="str">
        <f t="shared" si="20"/>
        <v/>
      </c>
      <c r="AR27" s="2190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2191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2190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1439"/>
      <c r="B28" s="1527"/>
      <c r="C28" s="1466"/>
      <c r="D28" s="1466"/>
      <c r="E28" s="1466"/>
      <c r="F28" s="1573"/>
      <c r="I28" s="2139" t="str">
        <f t="shared" si="8"/>
        <v/>
      </c>
      <c r="J28" s="2175" t="str">
        <f t="shared" si="25"/>
        <v/>
      </c>
      <c r="K28" s="2172" t="str">
        <f t="shared" si="0"/>
        <v/>
      </c>
      <c r="L28" s="2176"/>
      <c r="M28" s="1585"/>
      <c r="N28" s="1560"/>
      <c r="O28" s="1560"/>
      <c r="P28" s="1562"/>
      <c r="Q28" s="1563"/>
      <c r="R28" s="1569"/>
      <c r="S28" s="2178" t="str">
        <f t="shared" ref="S28" si="77">IF(M28="","",pb_currency_symbol)</f>
        <v/>
      </c>
      <c r="T28" s="1584"/>
      <c r="U28" s="2180" t="str">
        <f t="shared" si="10"/>
        <v/>
      </c>
      <c r="V28" s="2178" t="str">
        <f t="shared" ref="V28" si="78">IF(W28=0,"",pb_currency_symbol)</f>
        <v/>
      </c>
      <c r="W28" s="1570"/>
      <c r="X28" s="2178" t="str">
        <f t="shared" ref="X28" si="79">IF(M28="","",pb_currency_symbol)</f>
        <v/>
      </c>
      <c r="Y28" s="2182" t="str">
        <f t="shared" si="24"/>
        <v/>
      </c>
      <c r="Z28" s="1578"/>
      <c r="AA28" s="2183" t="str" cm="1">
        <f t="array" ref="AA28">IF(M28="","",IF(P28=AL28,1,Slookup(MID(AL28,1,3)*1,UomConversion!$D$8:$J$500,5,UomConversion!$E$8:$E$500,MID(P28,1,3)*1,UomConversion!$J$8:$J$500,1)))</f>
        <v/>
      </c>
      <c r="AB28" s="2184" t="str">
        <f t="shared" si="13"/>
        <v/>
      </c>
      <c r="AC28" s="2185" t="str">
        <f t="shared" si="14"/>
        <v/>
      </c>
      <c r="AD28" s="2186" t="str">
        <f t="shared" si="15"/>
        <v/>
      </c>
      <c r="AE28" s="2187" t="str">
        <f t="shared" si="16"/>
        <v/>
      </c>
      <c r="AF28" s="2184" t="str">
        <f>IF(I28="","",IF(ISNA(MATCH(I28,IF(invoice_location_id=1,'[1]1_inventory_totals'!$C$8:$C$10000,IF(invoice_location_id=2,'[1]2_inventory_totals'!$C$8:$C$10000,0)),0)),0,IF(AS28&gt;0,1,0)))</f>
        <v/>
      </c>
      <c r="AG28" s="2184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H28" s="2184" t="str">
        <f>IF(M28="","",IF(ISNA(MATCH(I28,'[1]1_group_totals'!$C$8:$C$10000)),0,IF(AT28&gt;0,1,0)))</f>
        <v/>
      </c>
      <c r="AI28" s="2184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J28" s="2184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K28" s="2184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L28" s="2188" t="str">
        <f t="shared" si="17"/>
        <v/>
      </c>
      <c r="AM28" s="2188" t="str">
        <f>IF(OR(ISNA(MATCH(MID(AL28,1,3)*1,UomConversion!$D$8:$D$500,0)),M28=""),"",IF(AQ28="","",AQ28))</f>
        <v/>
      </c>
      <c r="AN28" s="2188" t="str">
        <f>IF(AND(AO28&gt;0,COUNTIFS(UomConversion!$D$8:$D$500,MID(AL28,1,3)*1,UomConversion!$J$8:$J$500,1)&gt;1),TEXT(AO28,"000")&amp;"."&amp;VLOOKUP(AO28,uom_list,5,FALSE),"")</f>
        <v/>
      </c>
      <c r="AO28" s="2184" t="str">
        <f t="shared" si="18"/>
        <v/>
      </c>
      <c r="AP28" s="2184" t="str">
        <f t="shared" si="19"/>
        <v/>
      </c>
      <c r="AQ28" s="2189" t="str">
        <f t="shared" si="20"/>
        <v/>
      </c>
      <c r="AR28" s="2190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2191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2190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1439"/>
      <c r="B29" s="1527"/>
      <c r="C29" s="1466"/>
      <c r="D29" s="1466"/>
      <c r="E29" s="1466"/>
      <c r="F29" s="1573"/>
      <c r="I29" s="2139" t="str">
        <f t="shared" si="8"/>
        <v/>
      </c>
      <c r="J29" s="2175" t="str">
        <f t="shared" si="25"/>
        <v/>
      </c>
      <c r="K29" s="2172" t="str">
        <f t="shared" si="0"/>
        <v/>
      </c>
      <c r="L29" s="2176"/>
      <c r="M29" s="1585"/>
      <c r="N29" s="1560"/>
      <c r="O29" s="1560"/>
      <c r="P29" s="1562"/>
      <c r="Q29" s="1563"/>
      <c r="R29" s="1569"/>
      <c r="S29" s="2178" t="str">
        <f t="shared" ref="S29" si="80">IF(M29="","",pb_currency_symbol)</f>
        <v/>
      </c>
      <c r="T29" s="1584"/>
      <c r="U29" s="2180" t="str">
        <f t="shared" si="10"/>
        <v/>
      </c>
      <c r="V29" s="2178" t="str">
        <f t="shared" ref="V29" si="81">IF(W29=0,"",pb_currency_symbol)</f>
        <v/>
      </c>
      <c r="W29" s="1570"/>
      <c r="X29" s="2178" t="str">
        <f t="shared" ref="X29" si="82">IF(M29="","",pb_currency_symbol)</f>
        <v/>
      </c>
      <c r="Y29" s="2182" t="str">
        <f t="shared" si="24"/>
        <v/>
      </c>
      <c r="Z29" s="1578"/>
      <c r="AA29" s="2183" t="str" cm="1">
        <f t="array" ref="AA29">IF(M29="","",IF(P29=AL29,1,Slookup(MID(AL29,1,3)*1,UomConversion!$D$8:$J$500,5,UomConversion!$E$8:$E$500,MID(P29,1,3)*1,UomConversion!$J$8:$J$500,1)))</f>
        <v/>
      </c>
      <c r="AB29" s="2184" t="str">
        <f t="shared" si="13"/>
        <v/>
      </c>
      <c r="AC29" s="2185" t="str">
        <f t="shared" si="14"/>
        <v/>
      </c>
      <c r="AD29" s="2186" t="str">
        <f t="shared" si="15"/>
        <v/>
      </c>
      <c r="AE29" s="2187" t="str">
        <f t="shared" si="16"/>
        <v/>
      </c>
      <c r="AF29" s="2184" t="str">
        <f>IF(I29="","",IF(ISNA(MATCH(I29,IF(invoice_location_id=1,'[1]1_inventory_totals'!$C$8:$C$10000,IF(invoice_location_id=2,'[1]2_inventory_totals'!$C$8:$C$10000,0)),0)),0,IF(AS29&gt;0,1,0)))</f>
        <v/>
      </c>
      <c r="AG29" s="2184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H29" s="2184" t="str">
        <f>IF(M29="","",IF(ISNA(MATCH(I29,'[1]1_group_totals'!$C$8:$C$10000)),0,IF(AT29&gt;0,1,0)))</f>
        <v/>
      </c>
      <c r="AI29" s="2184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J29" s="2184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K29" s="2184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L29" s="2188" t="str">
        <f t="shared" si="17"/>
        <v/>
      </c>
      <c r="AM29" s="2188" t="str">
        <f>IF(OR(ISNA(MATCH(MID(AL29,1,3)*1,UomConversion!$D$8:$D$500,0)),M29=""),"",IF(AQ29="","",AQ29))</f>
        <v/>
      </c>
      <c r="AN29" s="2188" t="str">
        <f>IF(AND(AO29&gt;0,COUNTIFS(UomConversion!$D$8:$D$500,MID(AL29,1,3)*1,UomConversion!$J$8:$J$500,1)&gt;1),TEXT(AO29,"000")&amp;"."&amp;VLOOKUP(AO29,uom_list,5,FALSE),"")</f>
        <v/>
      </c>
      <c r="AO29" s="2184" t="str">
        <f t="shared" si="18"/>
        <v/>
      </c>
      <c r="AP29" s="2184" t="str">
        <f t="shared" si="19"/>
        <v/>
      </c>
      <c r="AQ29" s="2189" t="str">
        <f t="shared" si="20"/>
        <v/>
      </c>
      <c r="AR29" s="2190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2191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2190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1439"/>
      <c r="B30" s="1527"/>
      <c r="C30" s="1466"/>
      <c r="D30" s="1466"/>
      <c r="E30" s="1466"/>
      <c r="F30" s="1573"/>
      <c r="I30" s="2139" t="str">
        <f t="shared" si="8"/>
        <v/>
      </c>
      <c r="J30" s="2175" t="str">
        <f t="shared" si="25"/>
        <v/>
      </c>
      <c r="K30" s="2172" t="str">
        <f t="shared" si="0"/>
        <v/>
      </c>
      <c r="L30" s="2176"/>
      <c r="M30" s="1585"/>
      <c r="N30" s="1560"/>
      <c r="O30" s="1560"/>
      <c r="P30" s="1562"/>
      <c r="Q30" s="1563"/>
      <c r="R30" s="1569"/>
      <c r="S30" s="2178" t="str">
        <f t="shared" ref="S30" si="83">IF(M30="","",pb_currency_symbol)</f>
        <v/>
      </c>
      <c r="T30" s="1584"/>
      <c r="U30" s="2180" t="str">
        <f t="shared" si="10"/>
        <v/>
      </c>
      <c r="V30" s="2178" t="str">
        <f t="shared" ref="V30" si="84">IF(W30=0,"",pb_currency_symbol)</f>
        <v/>
      </c>
      <c r="W30" s="1570"/>
      <c r="X30" s="2178" t="str">
        <f t="shared" ref="X30" si="85">IF(M30="","",pb_currency_symbol)</f>
        <v/>
      </c>
      <c r="Y30" s="2182" t="str">
        <f t="shared" si="24"/>
        <v/>
      </c>
      <c r="Z30" s="1578"/>
      <c r="AA30" s="2183" t="str" cm="1">
        <f t="array" ref="AA30">IF(M30="","",IF(P30=AL30,1,Slookup(MID(AL30,1,3)*1,UomConversion!$D$8:$J$500,5,UomConversion!$E$8:$E$500,MID(P30,1,3)*1,UomConversion!$J$8:$J$500,1)))</f>
        <v/>
      </c>
      <c r="AB30" s="2184" t="str">
        <f t="shared" si="13"/>
        <v/>
      </c>
      <c r="AC30" s="2185" t="str">
        <f t="shared" si="14"/>
        <v/>
      </c>
      <c r="AD30" s="2186" t="str">
        <f t="shared" si="15"/>
        <v/>
      </c>
      <c r="AE30" s="2187" t="str">
        <f t="shared" si="16"/>
        <v/>
      </c>
      <c r="AF30" s="2184" t="str">
        <f>IF(I30="","",IF(ISNA(MATCH(I30,IF(invoice_location_id=1,'[1]1_inventory_totals'!$C$8:$C$10000,IF(invoice_location_id=2,'[1]2_inventory_totals'!$C$8:$C$10000,0)),0)),0,IF(AS30&gt;0,1,0)))</f>
        <v/>
      </c>
      <c r="AG30" s="2184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H30" s="2184" t="str">
        <f>IF(M30="","",IF(ISNA(MATCH(I30,'[1]1_group_totals'!$C$8:$C$10000)),0,IF(AT30&gt;0,1,0)))</f>
        <v/>
      </c>
      <c r="AI30" s="2184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J30" s="2184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K30" s="2184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L30" s="2188" t="str">
        <f t="shared" si="17"/>
        <v/>
      </c>
      <c r="AM30" s="2188" t="str">
        <f>IF(OR(ISNA(MATCH(MID(AL30,1,3)*1,UomConversion!$D$8:$D$500,0)),M30=""),"",IF(AQ30="","",AQ30))</f>
        <v/>
      </c>
      <c r="AN30" s="2188" t="str">
        <f>IF(AND(AO30&gt;0,COUNTIFS(UomConversion!$D$8:$D$500,MID(AL30,1,3)*1,UomConversion!$J$8:$J$500,1)&gt;1),TEXT(AO30,"000")&amp;"."&amp;VLOOKUP(AO30,uom_list,5,FALSE),"")</f>
        <v/>
      </c>
      <c r="AO30" s="2184" t="str">
        <f t="shared" si="18"/>
        <v/>
      </c>
      <c r="AP30" s="2184" t="str">
        <f t="shared" si="19"/>
        <v/>
      </c>
      <c r="AQ30" s="2189" t="str">
        <f t="shared" si="20"/>
        <v/>
      </c>
      <c r="AR30" s="2190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2191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2190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hidden="1" customHeight="1">
      <c r="A31" s="1439"/>
      <c r="B31" s="1527"/>
      <c r="C31" s="1466"/>
      <c r="D31" s="1466"/>
      <c r="E31" s="1466"/>
      <c r="F31" s="1573"/>
      <c r="I31" s="2139" t="str">
        <f t="shared" si="8"/>
        <v/>
      </c>
      <c r="J31" s="2175" t="str">
        <f t="shared" si="25"/>
        <v/>
      </c>
      <c r="K31" s="2172" t="str">
        <f t="shared" si="0"/>
        <v/>
      </c>
      <c r="L31" s="2176"/>
      <c r="M31" s="1585"/>
      <c r="N31" s="1560"/>
      <c r="O31" s="1560"/>
      <c r="P31" s="1562"/>
      <c r="Q31" s="1563"/>
      <c r="R31" s="1569"/>
      <c r="S31" s="2178" t="str">
        <f t="shared" ref="S31" si="86">IF(M31="","",pb_currency_symbol)</f>
        <v/>
      </c>
      <c r="T31" s="1584"/>
      <c r="U31" s="2180" t="str">
        <f t="shared" si="10"/>
        <v/>
      </c>
      <c r="V31" s="2178" t="str">
        <f t="shared" ref="V31" si="87">IF(W31=0,"",pb_currency_symbol)</f>
        <v/>
      </c>
      <c r="W31" s="1570"/>
      <c r="X31" s="2178" t="str">
        <f t="shared" ref="X31" si="88">IF(M31="","",pb_currency_symbol)</f>
        <v/>
      </c>
      <c r="Y31" s="2182" t="str">
        <f t="shared" si="24"/>
        <v/>
      </c>
      <c r="Z31" s="1578"/>
      <c r="AA31" s="2183" t="str" cm="1">
        <f t="array" ref="AA31">IF(M31="","",IF(P31=AL31,1,Slookup(MID(AL31,1,3)*1,UomConversion!$D$8:$J$500,5,UomConversion!$E$8:$E$500,MID(P31,1,3)*1,UomConversion!$J$8:$J$500,1)))</f>
        <v/>
      </c>
      <c r="AB31" s="2184" t="str">
        <f t="shared" si="13"/>
        <v/>
      </c>
      <c r="AC31" s="2185" t="str">
        <f t="shared" si="14"/>
        <v/>
      </c>
      <c r="AD31" s="2186" t="str">
        <f t="shared" si="15"/>
        <v/>
      </c>
      <c r="AE31" s="2187" t="str">
        <f t="shared" si="16"/>
        <v/>
      </c>
      <c r="AF31" s="2184" t="str">
        <f>IF(I31="","",IF(ISNA(MATCH(I31,IF(invoice_location_id=1,'[1]1_inventory_totals'!$C$8:$C$10000,IF(invoice_location_id=2,'[1]2_inventory_totals'!$C$8:$C$10000,0)),0)),0,IF(AS31&gt;0,1,0)))</f>
        <v/>
      </c>
      <c r="AG31" s="2184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H31" s="2184" t="str">
        <f>IF(M31="","",IF(ISNA(MATCH(I31,'[1]1_group_totals'!$C$8:$C$10000)),0,IF(AT31&gt;0,1,0)))</f>
        <v/>
      </c>
      <c r="AI31" s="2184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J31" s="2184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K31" s="2184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L31" s="2188" t="str">
        <f t="shared" si="17"/>
        <v/>
      </c>
      <c r="AM31" s="2188" t="str">
        <f>IF(OR(ISNA(MATCH(MID(AL31,1,3)*1,UomConversion!$D$8:$D$500,0)),M31=""),"",IF(AQ31="","",AQ31))</f>
        <v/>
      </c>
      <c r="AN31" s="2188" t="str">
        <f>IF(AND(AO31&gt;0,COUNTIFS(UomConversion!$D$8:$D$500,MID(AL31,1,3)*1,UomConversion!$J$8:$J$500,1)&gt;1),TEXT(AO31,"000")&amp;"."&amp;VLOOKUP(AO31,uom_list,5,FALSE),"")</f>
        <v/>
      </c>
      <c r="AO31" s="2184" t="str">
        <f t="shared" si="18"/>
        <v/>
      </c>
      <c r="AP31" s="2184" t="str">
        <f t="shared" si="19"/>
        <v/>
      </c>
      <c r="AQ31" s="2189" t="str">
        <f t="shared" si="20"/>
        <v/>
      </c>
      <c r="AR31" s="2190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2191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2190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hidden="1" customHeight="1">
      <c r="A32" s="1439"/>
      <c r="B32" s="1527"/>
      <c r="C32" s="1466"/>
      <c r="D32" s="1466"/>
      <c r="E32" s="1466"/>
      <c r="F32" s="1573"/>
      <c r="I32" s="2139" t="str">
        <f t="shared" si="8"/>
        <v/>
      </c>
      <c r="J32" s="2175" t="str">
        <f t="shared" si="25"/>
        <v/>
      </c>
      <c r="K32" s="2172" t="str">
        <f t="shared" si="0"/>
        <v/>
      </c>
      <c r="L32" s="2176"/>
      <c r="M32" s="1585"/>
      <c r="N32" s="1560"/>
      <c r="O32" s="1560"/>
      <c r="P32" s="1562"/>
      <c r="Q32" s="1563"/>
      <c r="R32" s="1569"/>
      <c r="S32" s="2178" t="str">
        <f t="shared" ref="S32" si="89">IF(M32="","",pb_currency_symbol)</f>
        <v/>
      </c>
      <c r="T32" s="1584"/>
      <c r="U32" s="2180" t="str">
        <f t="shared" si="10"/>
        <v/>
      </c>
      <c r="V32" s="2178" t="str">
        <f t="shared" ref="V32" si="90">IF(W32=0,"",pb_currency_symbol)</f>
        <v/>
      </c>
      <c r="W32" s="1570"/>
      <c r="X32" s="2178" t="str">
        <f t="shared" ref="X32" si="91">IF(M32="","",pb_currency_symbol)</f>
        <v/>
      </c>
      <c r="Y32" s="2182" t="str">
        <f t="shared" si="24"/>
        <v/>
      </c>
      <c r="Z32" s="1578"/>
      <c r="AA32" s="2183" t="str" cm="1">
        <f t="array" ref="AA32">IF(M32="","",IF(P32=AL32,1,Slookup(MID(AL32,1,3)*1,UomConversion!$D$8:$J$500,5,UomConversion!$E$8:$E$500,MID(P32,1,3)*1,UomConversion!$J$8:$J$500,1)))</f>
        <v/>
      </c>
      <c r="AB32" s="2184" t="str">
        <f t="shared" si="13"/>
        <v/>
      </c>
      <c r="AC32" s="2185" t="str">
        <f t="shared" si="14"/>
        <v/>
      </c>
      <c r="AD32" s="2186" t="str">
        <f t="shared" si="15"/>
        <v/>
      </c>
      <c r="AE32" s="2187" t="str">
        <f t="shared" si="16"/>
        <v/>
      </c>
      <c r="AF32" s="2184" t="str">
        <f>IF(I32="","",IF(ISNA(MATCH(I32,IF(invoice_location_id=1,'[1]1_inventory_totals'!$C$8:$C$10000,IF(invoice_location_id=2,'[1]2_inventory_totals'!$C$8:$C$10000,0)),0)),0,IF(AS32&gt;0,1,0)))</f>
        <v/>
      </c>
      <c r="AG32" s="2184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H32" s="2184" t="str">
        <f>IF(M32="","",IF(ISNA(MATCH(I32,'[1]1_group_totals'!$C$8:$C$10000)),0,IF(AT32&gt;0,1,0)))</f>
        <v/>
      </c>
      <c r="AI32" s="2184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J32" s="2184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K32" s="2184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L32" s="2188" t="str">
        <f t="shared" si="17"/>
        <v/>
      </c>
      <c r="AM32" s="2188" t="str">
        <f>IF(OR(ISNA(MATCH(MID(AL32,1,3)*1,UomConversion!$D$8:$D$500,0)),M32=""),"",IF(AQ32="","",AQ32))</f>
        <v/>
      </c>
      <c r="AN32" s="2188" t="str">
        <f>IF(AND(AO32&gt;0,COUNTIFS(UomConversion!$D$8:$D$500,MID(AL32,1,3)*1,UomConversion!$J$8:$J$500,1)&gt;1),TEXT(AO32,"000")&amp;"."&amp;VLOOKUP(AO32,uom_list,5,FALSE),"")</f>
        <v/>
      </c>
      <c r="AO32" s="2184" t="str">
        <f t="shared" si="18"/>
        <v/>
      </c>
      <c r="AP32" s="2184" t="str">
        <f t="shared" si="19"/>
        <v/>
      </c>
      <c r="AQ32" s="2189" t="str">
        <f t="shared" si="20"/>
        <v/>
      </c>
      <c r="AR32" s="2190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2191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2190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hidden="1" customHeight="1">
      <c r="A33" s="1439"/>
      <c r="B33" s="1527"/>
      <c r="C33" s="1466"/>
      <c r="D33" s="1466"/>
      <c r="E33" s="1466"/>
      <c r="F33" s="1573"/>
      <c r="I33" s="2139" t="str">
        <f t="shared" si="8"/>
        <v/>
      </c>
      <c r="J33" s="2175" t="str">
        <f t="shared" si="25"/>
        <v/>
      </c>
      <c r="K33" s="2172" t="str">
        <f t="shared" si="0"/>
        <v/>
      </c>
      <c r="L33" s="2176"/>
      <c r="M33" s="1585"/>
      <c r="N33" s="1560"/>
      <c r="O33" s="1560"/>
      <c r="P33" s="1562"/>
      <c r="Q33" s="1563"/>
      <c r="R33" s="1569"/>
      <c r="S33" s="2178" t="str">
        <f t="shared" ref="S33" si="92">IF(M33="","",pb_currency_symbol)</f>
        <v/>
      </c>
      <c r="T33" s="1584"/>
      <c r="U33" s="2180" t="str">
        <f t="shared" si="10"/>
        <v/>
      </c>
      <c r="V33" s="2178" t="str">
        <f t="shared" ref="V33" si="93">IF(W33=0,"",pb_currency_symbol)</f>
        <v/>
      </c>
      <c r="W33" s="1570"/>
      <c r="X33" s="2178" t="str">
        <f t="shared" ref="X33" si="94">IF(M33="","",pb_currency_symbol)</f>
        <v/>
      </c>
      <c r="Y33" s="2182" t="str">
        <f t="shared" si="24"/>
        <v/>
      </c>
      <c r="Z33" s="1578"/>
      <c r="AA33" s="2183" t="str" cm="1">
        <f t="array" ref="AA33">IF(M33="","",IF(P33=AL33,1,Slookup(MID(AL33,1,3)*1,UomConversion!$D$8:$J$500,5,UomConversion!$E$8:$E$500,MID(P33,1,3)*1,UomConversion!$J$8:$J$500,1)))</f>
        <v/>
      </c>
      <c r="AB33" s="2184" t="str">
        <f t="shared" si="13"/>
        <v/>
      </c>
      <c r="AC33" s="2185" t="str">
        <f t="shared" si="14"/>
        <v/>
      </c>
      <c r="AD33" s="2186" t="str">
        <f t="shared" si="15"/>
        <v/>
      </c>
      <c r="AE33" s="2187" t="str">
        <f t="shared" si="16"/>
        <v/>
      </c>
      <c r="AF33" s="2184" t="str">
        <f>IF(I33="","",IF(ISNA(MATCH(I33,IF(invoice_location_id=1,'[1]1_inventory_totals'!$C$8:$C$10000,IF(invoice_location_id=2,'[1]2_inventory_totals'!$C$8:$C$10000,0)),0)),0,IF(AS33&gt;0,1,0)))</f>
        <v/>
      </c>
      <c r="AG33" s="2184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H33" s="2184" t="str">
        <f>IF(M33="","",IF(ISNA(MATCH(I33,'[1]1_group_totals'!$C$8:$C$10000)),0,IF(AT33&gt;0,1,0)))</f>
        <v/>
      </c>
      <c r="AI33" s="2184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J33" s="2184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K33" s="2184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L33" s="2188" t="str">
        <f t="shared" si="17"/>
        <v/>
      </c>
      <c r="AM33" s="2188" t="str">
        <f>IF(OR(ISNA(MATCH(MID(AL33,1,3)*1,UomConversion!$D$8:$D$500,0)),M33=""),"",IF(AQ33="","",AQ33))</f>
        <v/>
      </c>
      <c r="AN33" s="2188" t="str">
        <f>IF(AND(AO33&gt;0,COUNTIFS(UomConversion!$D$8:$D$500,MID(AL33,1,3)*1,UomConversion!$J$8:$J$500,1)&gt;1),TEXT(AO33,"000")&amp;"."&amp;VLOOKUP(AO33,uom_list,5,FALSE),"")</f>
        <v/>
      </c>
      <c r="AO33" s="2184" t="str">
        <f t="shared" si="18"/>
        <v/>
      </c>
      <c r="AP33" s="2184" t="str">
        <f t="shared" si="19"/>
        <v/>
      </c>
      <c r="AQ33" s="2189" t="str">
        <f t="shared" si="20"/>
        <v/>
      </c>
      <c r="AR33" s="2190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2191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2190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hidden="1" customHeight="1">
      <c r="A34" s="1439"/>
      <c r="B34" s="1527"/>
      <c r="C34" s="1466"/>
      <c r="D34" s="1466"/>
      <c r="E34" s="1466"/>
      <c r="F34" s="1573"/>
      <c r="I34" s="2139" t="str">
        <f t="shared" si="8"/>
        <v/>
      </c>
      <c r="J34" s="2175" t="str">
        <f t="shared" si="25"/>
        <v/>
      </c>
      <c r="K34" s="2172" t="str">
        <f t="shared" si="0"/>
        <v/>
      </c>
      <c r="L34" s="2176"/>
      <c r="M34" s="1585"/>
      <c r="N34" s="1560"/>
      <c r="O34" s="1560"/>
      <c r="P34" s="1562"/>
      <c r="Q34" s="1563"/>
      <c r="R34" s="1569"/>
      <c r="S34" s="2178" t="str">
        <f t="shared" ref="S34" si="95">IF(M34="","",pb_currency_symbol)</f>
        <v/>
      </c>
      <c r="T34" s="1584"/>
      <c r="U34" s="2180" t="str">
        <f t="shared" si="10"/>
        <v/>
      </c>
      <c r="V34" s="2178" t="str">
        <f t="shared" ref="V34" si="96">IF(W34=0,"",pb_currency_symbol)</f>
        <v/>
      </c>
      <c r="W34" s="1570"/>
      <c r="X34" s="2178" t="str">
        <f t="shared" ref="X34" si="97">IF(M34="","",pb_currency_symbol)</f>
        <v/>
      </c>
      <c r="Y34" s="2182" t="str">
        <f t="shared" si="24"/>
        <v/>
      </c>
      <c r="Z34" s="1578"/>
      <c r="AA34" s="2183" t="str" cm="1">
        <f t="array" ref="AA34">IF(M34="","",IF(P34=AL34,1,Slookup(MID(AL34,1,3)*1,UomConversion!$D$8:$J$500,5,UomConversion!$E$8:$E$500,MID(P34,1,3)*1,UomConversion!$J$8:$J$500,1)))</f>
        <v/>
      </c>
      <c r="AB34" s="2184" t="str">
        <f t="shared" si="13"/>
        <v/>
      </c>
      <c r="AC34" s="2185" t="str">
        <f t="shared" si="14"/>
        <v/>
      </c>
      <c r="AD34" s="2186" t="str">
        <f t="shared" si="15"/>
        <v/>
      </c>
      <c r="AE34" s="2187" t="str">
        <f t="shared" si="16"/>
        <v/>
      </c>
      <c r="AF34" s="2184" t="str">
        <f>IF(I34="","",IF(ISNA(MATCH(I34,IF(invoice_location_id=1,'[1]1_inventory_totals'!$C$8:$C$10000,IF(invoice_location_id=2,'[1]2_inventory_totals'!$C$8:$C$10000,0)),0)),0,IF(AS34&gt;0,1,0)))</f>
        <v/>
      </c>
      <c r="AG34" s="2184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H34" s="2184" t="str">
        <f>IF(M34="","",IF(ISNA(MATCH(I34,'[1]1_group_totals'!$C$8:$C$10000)),0,IF(AT34&gt;0,1,0)))</f>
        <v/>
      </c>
      <c r="AI34" s="2184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J34" s="2184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K34" s="2184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L34" s="2188" t="str">
        <f t="shared" si="17"/>
        <v/>
      </c>
      <c r="AM34" s="2188" t="str">
        <f>IF(OR(ISNA(MATCH(MID(AL34,1,3)*1,UomConversion!$D$8:$D$500,0)),M34=""),"",IF(AQ34="","",AQ34))</f>
        <v/>
      </c>
      <c r="AN34" s="2188" t="str">
        <f>IF(AND(AO34&gt;0,COUNTIFS(UomConversion!$D$8:$D$500,MID(AL34,1,3)*1,UomConversion!$J$8:$J$500,1)&gt;1),TEXT(AO34,"000")&amp;"."&amp;VLOOKUP(AO34,uom_list,5,FALSE),"")</f>
        <v/>
      </c>
      <c r="AO34" s="2184" t="str">
        <f t="shared" si="18"/>
        <v/>
      </c>
      <c r="AP34" s="2184" t="str">
        <f t="shared" si="19"/>
        <v/>
      </c>
      <c r="AQ34" s="2189" t="str">
        <f t="shared" si="20"/>
        <v/>
      </c>
      <c r="AR34" s="2190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2191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2190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hidden="1" customHeight="1">
      <c r="A35" s="1439"/>
      <c r="B35" s="1527"/>
      <c r="C35" s="1466"/>
      <c r="D35" s="1466"/>
      <c r="E35" s="1466"/>
      <c r="F35" s="1573"/>
      <c r="I35" s="2139" t="str">
        <f t="shared" si="8"/>
        <v/>
      </c>
      <c r="J35" s="2175" t="str">
        <f t="shared" si="25"/>
        <v/>
      </c>
      <c r="K35" s="2172" t="str">
        <f t="shared" si="0"/>
        <v/>
      </c>
      <c r="L35" s="2176"/>
      <c r="M35" s="1585"/>
      <c r="N35" s="1560"/>
      <c r="O35" s="1560"/>
      <c r="P35" s="1562"/>
      <c r="Q35" s="1563"/>
      <c r="R35" s="1569"/>
      <c r="S35" s="2178" t="str">
        <f t="shared" ref="S35" si="98">IF(M35="","",pb_currency_symbol)</f>
        <v/>
      </c>
      <c r="T35" s="1584"/>
      <c r="U35" s="2180" t="str">
        <f t="shared" si="10"/>
        <v/>
      </c>
      <c r="V35" s="2178" t="str">
        <f t="shared" ref="V35" si="99">IF(W35=0,"",pb_currency_symbol)</f>
        <v/>
      </c>
      <c r="W35" s="1570"/>
      <c r="X35" s="2178" t="str">
        <f t="shared" ref="X35" si="100">IF(M35="","",pb_currency_symbol)</f>
        <v/>
      </c>
      <c r="Y35" s="2182" t="str">
        <f t="shared" si="24"/>
        <v/>
      </c>
      <c r="Z35" s="1578"/>
      <c r="AA35" s="2183" t="str" cm="1">
        <f t="array" ref="AA35">IF(M35="","",IF(P35=AL35,1,Slookup(MID(AL35,1,3)*1,UomConversion!$D$8:$J$500,5,UomConversion!$E$8:$E$500,MID(P35,1,3)*1,UomConversion!$J$8:$J$500,1)))</f>
        <v/>
      </c>
      <c r="AB35" s="2184" t="str">
        <f t="shared" si="13"/>
        <v/>
      </c>
      <c r="AC35" s="2185" t="str">
        <f t="shared" si="14"/>
        <v/>
      </c>
      <c r="AD35" s="2186" t="str">
        <f t="shared" si="15"/>
        <v/>
      </c>
      <c r="AE35" s="2187" t="str">
        <f t="shared" si="16"/>
        <v/>
      </c>
      <c r="AF35" s="2184" t="str">
        <f>IF(I35="","",IF(ISNA(MATCH(I35,IF(invoice_location_id=1,'[1]1_inventory_totals'!$C$8:$C$10000,IF(invoice_location_id=2,'[1]2_inventory_totals'!$C$8:$C$10000,0)),0)),0,IF(AS35&gt;0,1,0)))</f>
        <v/>
      </c>
      <c r="AG35" s="2184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H35" s="2184" t="str">
        <f>IF(M35="","",IF(ISNA(MATCH(I35,'[1]1_group_totals'!$C$8:$C$10000)),0,IF(AT35&gt;0,1,0)))</f>
        <v/>
      </c>
      <c r="AI35" s="2184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J35" s="2184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K35" s="2184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L35" s="2188" t="str">
        <f t="shared" si="17"/>
        <v/>
      </c>
      <c r="AM35" s="2188" t="str">
        <f>IF(OR(ISNA(MATCH(MID(AL35,1,3)*1,UomConversion!$D$8:$D$500,0)),M35=""),"",IF(AQ35="","",AQ35))</f>
        <v/>
      </c>
      <c r="AN35" s="2188" t="str">
        <f>IF(AND(AO35&gt;0,COUNTIFS(UomConversion!$D$8:$D$500,MID(AL35,1,3)*1,UomConversion!$J$8:$J$500,1)&gt;1),TEXT(AO35,"000")&amp;"."&amp;VLOOKUP(AO35,uom_list,5,FALSE),"")</f>
        <v/>
      </c>
      <c r="AO35" s="2184" t="str">
        <f t="shared" si="18"/>
        <v/>
      </c>
      <c r="AP35" s="2184" t="str">
        <f t="shared" si="19"/>
        <v/>
      </c>
      <c r="AQ35" s="2189" t="str">
        <f t="shared" si="20"/>
        <v/>
      </c>
      <c r="AR35" s="2190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2191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2190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hidden="1" customHeight="1">
      <c r="A36" s="1439"/>
      <c r="B36" s="1527"/>
      <c r="C36" s="1466"/>
      <c r="D36" s="1466"/>
      <c r="E36" s="1466"/>
      <c r="F36" s="1573"/>
      <c r="I36" s="2139" t="str">
        <f t="shared" si="8"/>
        <v/>
      </c>
      <c r="J36" s="2175" t="str">
        <f t="shared" si="25"/>
        <v/>
      </c>
      <c r="K36" s="2172" t="str">
        <f t="shared" si="0"/>
        <v/>
      </c>
      <c r="L36" s="2176"/>
      <c r="M36" s="1585"/>
      <c r="N36" s="1560"/>
      <c r="O36" s="1560"/>
      <c r="P36" s="1562"/>
      <c r="Q36" s="1563"/>
      <c r="R36" s="1569"/>
      <c r="S36" s="2178" t="str">
        <f t="shared" ref="S36" si="101">IF(M36="","",pb_currency_symbol)</f>
        <v/>
      </c>
      <c r="T36" s="1584"/>
      <c r="U36" s="2180" t="str">
        <f t="shared" si="10"/>
        <v/>
      </c>
      <c r="V36" s="2178" t="str">
        <f t="shared" ref="V36" si="102">IF(W36=0,"",pb_currency_symbol)</f>
        <v/>
      </c>
      <c r="W36" s="1570"/>
      <c r="X36" s="2178" t="str">
        <f t="shared" ref="X36" si="103">IF(M36="","",pb_currency_symbol)</f>
        <v/>
      </c>
      <c r="Y36" s="2182" t="str">
        <f t="shared" si="24"/>
        <v/>
      </c>
      <c r="Z36" s="1578"/>
      <c r="AA36" s="2183" t="str" cm="1">
        <f t="array" ref="AA36">IF(M36="","",IF(P36=AL36,1,Slookup(MID(AL36,1,3)*1,UomConversion!$D$8:$J$500,5,UomConversion!$E$8:$E$500,MID(P36,1,3)*1,UomConversion!$J$8:$J$500,1)))</f>
        <v/>
      </c>
      <c r="AB36" s="2184" t="str">
        <f t="shared" si="13"/>
        <v/>
      </c>
      <c r="AC36" s="2185" t="str">
        <f t="shared" si="14"/>
        <v/>
      </c>
      <c r="AD36" s="2186" t="str">
        <f t="shared" si="15"/>
        <v/>
      </c>
      <c r="AE36" s="2187" t="str">
        <f t="shared" si="16"/>
        <v/>
      </c>
      <c r="AF36" s="2184" t="str">
        <f>IF(I36="","",IF(ISNA(MATCH(I36,IF(invoice_location_id=1,'[1]1_inventory_totals'!$C$8:$C$10000,IF(invoice_location_id=2,'[1]2_inventory_totals'!$C$8:$C$10000,0)),0)),0,IF(AS36&gt;0,1,0)))</f>
        <v/>
      </c>
      <c r="AG36" s="2184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H36" s="2184" t="str">
        <f>IF(M36="","",IF(ISNA(MATCH(I36,'[1]1_group_totals'!$C$8:$C$10000)),0,IF(AT36&gt;0,1,0)))</f>
        <v/>
      </c>
      <c r="AI36" s="2184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J36" s="2184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K36" s="2184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L36" s="2188" t="str">
        <f t="shared" si="17"/>
        <v/>
      </c>
      <c r="AM36" s="2188" t="str">
        <f>IF(OR(ISNA(MATCH(MID(AL36,1,3)*1,UomConversion!$D$8:$D$500,0)),M36=""),"",IF(AQ36="","",AQ36))</f>
        <v/>
      </c>
      <c r="AN36" s="2188" t="str">
        <f>IF(AND(AO36&gt;0,COUNTIFS(UomConversion!$D$8:$D$500,MID(AL36,1,3)*1,UomConversion!$J$8:$J$500,1)&gt;1),TEXT(AO36,"000")&amp;"."&amp;VLOOKUP(AO36,uom_list,5,FALSE),"")</f>
        <v/>
      </c>
      <c r="AO36" s="2184" t="str">
        <f t="shared" si="18"/>
        <v/>
      </c>
      <c r="AP36" s="2184" t="str">
        <f t="shared" si="19"/>
        <v/>
      </c>
      <c r="AQ36" s="2189" t="str">
        <f t="shared" si="20"/>
        <v/>
      </c>
      <c r="AR36" s="2190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2191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2190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hidden="1" customHeight="1">
      <c r="A37" s="1439"/>
      <c r="B37" s="1527"/>
      <c r="C37" s="1466"/>
      <c r="D37" s="1466"/>
      <c r="E37" s="1466"/>
      <c r="F37" s="1573"/>
      <c r="I37" s="2139" t="str">
        <f t="shared" si="8"/>
        <v/>
      </c>
      <c r="J37" s="2175" t="str">
        <f t="shared" si="25"/>
        <v/>
      </c>
      <c r="K37" s="2172" t="str">
        <f t="shared" si="0"/>
        <v/>
      </c>
      <c r="L37" s="2176"/>
      <c r="M37" s="1585"/>
      <c r="N37" s="1560"/>
      <c r="O37" s="1560"/>
      <c r="P37" s="1562"/>
      <c r="Q37" s="1563"/>
      <c r="R37" s="1569"/>
      <c r="S37" s="2178" t="str">
        <f t="shared" ref="S37" si="104">IF(M37="","",pb_currency_symbol)</f>
        <v/>
      </c>
      <c r="T37" s="1584"/>
      <c r="U37" s="2180" t="str">
        <f t="shared" si="10"/>
        <v/>
      </c>
      <c r="V37" s="2178" t="str">
        <f t="shared" ref="V37" si="105">IF(W37=0,"",pb_currency_symbol)</f>
        <v/>
      </c>
      <c r="W37" s="1570"/>
      <c r="X37" s="2178" t="str">
        <f t="shared" ref="X37" si="106">IF(M37="","",pb_currency_symbol)</f>
        <v/>
      </c>
      <c r="Y37" s="2182" t="str">
        <f t="shared" si="24"/>
        <v/>
      </c>
      <c r="Z37" s="1578"/>
      <c r="AA37" s="2183" t="str" cm="1">
        <f t="array" ref="AA37">IF(M37="","",IF(P37=AL37,1,Slookup(MID(AL37,1,3)*1,UomConversion!$D$8:$J$500,5,UomConversion!$E$8:$E$500,MID(P37,1,3)*1,UomConversion!$J$8:$J$500,1)))</f>
        <v/>
      </c>
      <c r="AB37" s="2184" t="str">
        <f t="shared" si="13"/>
        <v/>
      </c>
      <c r="AC37" s="2185" t="str">
        <f t="shared" si="14"/>
        <v/>
      </c>
      <c r="AD37" s="2186" t="str">
        <f t="shared" si="15"/>
        <v/>
      </c>
      <c r="AE37" s="2187" t="str">
        <f t="shared" si="16"/>
        <v/>
      </c>
      <c r="AF37" s="2184" t="str">
        <f>IF(I37="","",IF(ISNA(MATCH(I37,IF(invoice_location_id=1,'[1]1_inventory_totals'!$C$8:$C$10000,IF(invoice_location_id=2,'[1]2_inventory_totals'!$C$8:$C$10000,0)),0)),0,IF(AS37&gt;0,1,0)))</f>
        <v/>
      </c>
      <c r="AG37" s="2184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H37" s="2184" t="str">
        <f>IF(M37="","",IF(ISNA(MATCH(I37,'[1]1_group_totals'!$C$8:$C$10000)),0,IF(AT37&gt;0,1,0)))</f>
        <v/>
      </c>
      <c r="AI37" s="2184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J37" s="2184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K37" s="2184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L37" s="2188" t="str">
        <f t="shared" si="17"/>
        <v/>
      </c>
      <c r="AM37" s="2188" t="str">
        <f>IF(OR(ISNA(MATCH(MID(AL37,1,3)*1,UomConversion!$D$8:$D$500,0)),M37=""),"",IF(AQ37="","",AQ37))</f>
        <v/>
      </c>
      <c r="AN37" s="2188" t="str">
        <f>IF(AND(AO37&gt;0,COUNTIFS(UomConversion!$D$8:$D$500,MID(AL37,1,3)*1,UomConversion!$J$8:$J$500,1)&gt;1),TEXT(AO37,"000")&amp;"."&amp;VLOOKUP(AO37,uom_list,5,FALSE),"")</f>
        <v/>
      </c>
      <c r="AO37" s="2184" t="str">
        <f t="shared" si="18"/>
        <v/>
      </c>
      <c r="AP37" s="2184" t="str">
        <f t="shared" si="19"/>
        <v/>
      </c>
      <c r="AQ37" s="2189" t="str">
        <f t="shared" si="20"/>
        <v/>
      </c>
      <c r="AR37" s="2190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2191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2190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1439"/>
      <c r="B38" s="1527"/>
      <c r="C38" s="1466"/>
      <c r="D38" s="1466"/>
      <c r="E38" s="1466"/>
      <c r="F38" s="1573"/>
      <c r="I38" s="2139" t="str">
        <f t="shared" si="8"/>
        <v/>
      </c>
      <c r="J38" s="2175" t="str">
        <f t="shared" si="25"/>
        <v/>
      </c>
      <c r="K38" s="2172" t="str">
        <f t="shared" si="0"/>
        <v/>
      </c>
      <c r="L38" s="2176"/>
      <c r="M38" s="1585"/>
      <c r="N38" s="1560"/>
      <c r="O38" s="1560"/>
      <c r="P38" s="1562"/>
      <c r="Q38" s="1563"/>
      <c r="R38" s="1569"/>
      <c r="S38" s="2178" t="str">
        <f t="shared" ref="S38" si="107">IF(M38="","",pb_currency_symbol)</f>
        <v/>
      </c>
      <c r="T38" s="1584"/>
      <c r="U38" s="2180" t="str">
        <f t="shared" si="10"/>
        <v/>
      </c>
      <c r="V38" s="2178" t="str">
        <f t="shared" ref="V38" si="108">IF(W38=0,"",pb_currency_symbol)</f>
        <v/>
      </c>
      <c r="W38" s="1570"/>
      <c r="X38" s="2178" t="str">
        <f t="shared" ref="X38" si="109">IF(M38="","",pb_currency_symbol)</f>
        <v/>
      </c>
      <c r="Y38" s="2182" t="str">
        <f t="shared" si="24"/>
        <v/>
      </c>
      <c r="Z38" s="1578"/>
      <c r="AA38" s="2183" t="str" cm="1">
        <f t="array" ref="AA38">IF(M38="","",IF(P38=AL38,1,Slookup(MID(AL38,1,3)*1,UomConversion!$D$8:$J$500,5,UomConversion!$E$8:$E$500,MID(P38,1,3)*1,UomConversion!$J$8:$J$500,1)))</f>
        <v/>
      </c>
      <c r="AB38" s="2184" t="str">
        <f t="shared" si="13"/>
        <v/>
      </c>
      <c r="AC38" s="2185" t="str">
        <f t="shared" si="14"/>
        <v/>
      </c>
      <c r="AD38" s="2186" t="str">
        <f t="shared" si="15"/>
        <v/>
      </c>
      <c r="AE38" s="2187" t="str">
        <f t="shared" si="16"/>
        <v/>
      </c>
      <c r="AF38" s="2184" t="str">
        <f>IF(I38="","",IF(ISNA(MATCH(I38,IF(invoice_location_id=1,'[1]1_inventory_totals'!$C$8:$C$10000,IF(invoice_location_id=2,'[1]2_inventory_totals'!$C$8:$C$10000,0)),0)),0,IF(AS38&gt;0,1,0)))</f>
        <v/>
      </c>
      <c r="AG38" s="2184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H38" s="2184" t="str">
        <f>IF(M38="","",IF(ISNA(MATCH(I38,'[1]1_group_totals'!$C$8:$C$10000)),0,IF(AT38&gt;0,1,0)))</f>
        <v/>
      </c>
      <c r="AI38" s="2184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J38" s="2184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K38" s="2184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L38" s="2188" t="str">
        <f t="shared" si="17"/>
        <v/>
      </c>
      <c r="AM38" s="2188" t="str">
        <f>IF(OR(ISNA(MATCH(MID(AL38,1,3)*1,UomConversion!$D$8:$D$500,0)),M38=""),"",IF(AQ38="","",AQ38))</f>
        <v/>
      </c>
      <c r="AN38" s="2188" t="str">
        <f>IF(AND(AO38&gt;0,COUNTIFS(UomConversion!$D$8:$D$500,MID(AL38,1,3)*1,UomConversion!$J$8:$J$500,1)&gt;1),TEXT(AO38,"000")&amp;"."&amp;VLOOKUP(AO38,uom_list,5,FALSE),"")</f>
        <v/>
      </c>
      <c r="AO38" s="2184" t="str">
        <f t="shared" si="18"/>
        <v/>
      </c>
      <c r="AP38" s="2184" t="str">
        <f t="shared" si="19"/>
        <v/>
      </c>
      <c r="AQ38" s="2189" t="str">
        <f t="shared" si="20"/>
        <v/>
      </c>
      <c r="AR38" s="2190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2191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2190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1439"/>
      <c r="B39" s="1527"/>
      <c r="C39" s="1466"/>
      <c r="D39" s="1466"/>
      <c r="E39" s="1466"/>
      <c r="F39" s="1573"/>
      <c r="I39" s="2139" t="str">
        <f t="shared" si="8"/>
        <v/>
      </c>
      <c r="J39" s="2175" t="str">
        <f t="shared" si="25"/>
        <v/>
      </c>
      <c r="K39" s="2172" t="str">
        <f t="shared" si="0"/>
        <v/>
      </c>
      <c r="L39" s="2176"/>
      <c r="M39" s="1585"/>
      <c r="N39" s="1560"/>
      <c r="O39" s="1560"/>
      <c r="P39" s="1562"/>
      <c r="Q39" s="1563"/>
      <c r="R39" s="1569"/>
      <c r="S39" s="2178" t="str">
        <f t="shared" ref="S39" si="110">IF(M39="","",pb_currency_symbol)</f>
        <v/>
      </c>
      <c r="T39" s="1584"/>
      <c r="U39" s="2180" t="str">
        <f t="shared" si="10"/>
        <v/>
      </c>
      <c r="V39" s="2178" t="str">
        <f t="shared" ref="V39" si="111">IF(W39=0,"",pb_currency_symbol)</f>
        <v/>
      </c>
      <c r="W39" s="1570"/>
      <c r="X39" s="2178" t="str">
        <f t="shared" ref="X39" si="112">IF(M39="","",pb_currency_symbol)</f>
        <v/>
      </c>
      <c r="Y39" s="2182" t="str">
        <f t="shared" si="24"/>
        <v/>
      </c>
      <c r="Z39" s="1578"/>
      <c r="AA39" s="2183" t="str" cm="1">
        <f t="array" ref="AA39">IF(M39="","",IF(P39=AL39,1,Slookup(MID(AL39,1,3)*1,UomConversion!$D$8:$J$500,5,UomConversion!$E$8:$E$500,MID(P39,1,3)*1,UomConversion!$J$8:$J$500,1)))</f>
        <v/>
      </c>
      <c r="AB39" s="2184" t="str">
        <f t="shared" si="13"/>
        <v/>
      </c>
      <c r="AC39" s="2185" t="str">
        <f t="shared" si="14"/>
        <v/>
      </c>
      <c r="AD39" s="2186" t="str">
        <f t="shared" si="15"/>
        <v/>
      </c>
      <c r="AE39" s="2187" t="str">
        <f t="shared" si="16"/>
        <v/>
      </c>
      <c r="AF39" s="2184" t="str">
        <f>IF(I39="","",IF(ISNA(MATCH(I39,IF(invoice_location_id=1,'[1]1_inventory_totals'!$C$8:$C$10000,IF(invoice_location_id=2,'[1]2_inventory_totals'!$C$8:$C$10000,0)),0)),0,IF(AS39&gt;0,1,0)))</f>
        <v/>
      </c>
      <c r="AG39" s="2184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H39" s="2184" t="str">
        <f>IF(M39="","",IF(ISNA(MATCH(I39,'[1]1_group_totals'!$C$8:$C$10000)),0,IF(AT39&gt;0,1,0)))</f>
        <v/>
      </c>
      <c r="AI39" s="2184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J39" s="2184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K39" s="2184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L39" s="2188" t="str">
        <f t="shared" si="17"/>
        <v/>
      </c>
      <c r="AM39" s="2188" t="str">
        <f>IF(OR(ISNA(MATCH(MID(AL39,1,3)*1,UomConversion!$D$8:$D$500,0)),M39=""),"",IF(AQ39="","",AQ39))</f>
        <v/>
      </c>
      <c r="AN39" s="2188" t="str">
        <f>IF(AND(AO39&gt;0,COUNTIFS(UomConversion!$D$8:$D$500,MID(AL39,1,3)*1,UomConversion!$J$8:$J$500,1)&gt;1),TEXT(AO39,"000")&amp;"."&amp;VLOOKUP(AO39,uom_list,5,FALSE),"")</f>
        <v/>
      </c>
      <c r="AO39" s="2184" t="str">
        <f t="shared" si="18"/>
        <v/>
      </c>
      <c r="AP39" s="2184" t="str">
        <f t="shared" si="19"/>
        <v/>
      </c>
      <c r="AQ39" s="2189" t="str">
        <f t="shared" si="20"/>
        <v/>
      </c>
      <c r="AR39" s="2190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2191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2190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1439"/>
      <c r="B40" s="1527"/>
      <c r="C40" s="1466"/>
      <c r="D40" s="1466"/>
      <c r="E40" s="1466"/>
      <c r="F40" s="1573"/>
      <c r="I40" s="2139" t="str">
        <f t="shared" si="8"/>
        <v/>
      </c>
      <c r="J40" s="2175" t="str">
        <f t="shared" si="25"/>
        <v/>
      </c>
      <c r="K40" s="2172" t="str">
        <f t="shared" ref="K40:K71" si="113">IF(M40="","",VLOOKUP(I40,product_list,4,FALSE))</f>
        <v/>
      </c>
      <c r="L40" s="2176"/>
      <c r="M40" s="1585"/>
      <c r="N40" s="1560"/>
      <c r="O40" s="1560"/>
      <c r="P40" s="1562"/>
      <c r="Q40" s="1563"/>
      <c r="R40" s="1569"/>
      <c r="S40" s="2178" t="str">
        <f t="shared" ref="S40" si="114">IF(M40="","",pb_currency_symbol)</f>
        <v/>
      </c>
      <c r="T40" s="1584"/>
      <c r="U40" s="2180" t="str">
        <f t="shared" si="10"/>
        <v/>
      </c>
      <c r="V40" s="2178" t="str">
        <f t="shared" ref="V40" si="115">IF(W40=0,"",pb_currency_symbol)</f>
        <v/>
      </c>
      <c r="W40" s="1570"/>
      <c r="X40" s="2178" t="str">
        <f t="shared" ref="X40" si="116">IF(M40="","",pb_currency_symbol)</f>
        <v/>
      </c>
      <c r="Y40" s="2182" t="str">
        <f t="shared" si="24"/>
        <v/>
      </c>
      <c r="Z40" s="1578"/>
      <c r="AA40" s="2183" t="str" cm="1">
        <f t="array" ref="AA40">IF(M40="","",IF(P40=AL40,1,Slookup(MID(AL40,1,3)*1,UomConversion!$D$8:$J$500,5,UomConversion!$E$8:$E$500,MID(P40,1,3)*1,UomConversion!$J$8:$J$500,1)))</f>
        <v/>
      </c>
      <c r="AB40" s="2184" t="str">
        <f t="shared" si="13"/>
        <v/>
      </c>
      <c r="AC40" s="2185" t="str">
        <f t="shared" si="14"/>
        <v/>
      </c>
      <c r="AD40" s="2186" t="str">
        <f t="shared" si="15"/>
        <v/>
      </c>
      <c r="AE40" s="2187" t="str">
        <f t="shared" si="16"/>
        <v/>
      </c>
      <c r="AF40" s="2184" t="str">
        <f>IF(I40="","",IF(ISNA(MATCH(I40,IF(invoice_location_id=1,'[1]1_inventory_totals'!$C$8:$C$10000,IF(invoice_location_id=2,'[1]2_inventory_totals'!$C$8:$C$10000,0)),0)),0,IF(AS40&gt;0,1,0)))</f>
        <v/>
      </c>
      <c r="AG40" s="2184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H40" s="2184" t="str">
        <f>IF(M40="","",IF(ISNA(MATCH(I40,'[1]1_group_totals'!$C$8:$C$10000)),0,IF(AT40&gt;0,1,0)))</f>
        <v/>
      </c>
      <c r="AI40" s="2184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J40" s="2184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K40" s="2184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L40" s="2188" t="str">
        <f t="shared" si="17"/>
        <v/>
      </c>
      <c r="AM40" s="2188" t="str">
        <f>IF(OR(ISNA(MATCH(MID(AL40,1,3)*1,UomConversion!$D$8:$D$500,0)),M40=""),"",IF(AQ40="","",AQ40))</f>
        <v/>
      </c>
      <c r="AN40" s="2188" t="str">
        <f>IF(AND(AO40&gt;0,COUNTIFS(UomConversion!$D$8:$D$500,MID(AL40,1,3)*1,UomConversion!$J$8:$J$500,1)&gt;1),TEXT(AO40,"000")&amp;"."&amp;VLOOKUP(AO40,uom_list,5,FALSE),"")</f>
        <v/>
      </c>
      <c r="AO40" s="2184" t="str">
        <f t="shared" si="18"/>
        <v/>
      </c>
      <c r="AP40" s="2184" t="str">
        <f t="shared" si="19"/>
        <v/>
      </c>
      <c r="AQ40" s="2189" t="str">
        <f t="shared" si="20"/>
        <v/>
      </c>
      <c r="AR40" s="2190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2191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2190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1439"/>
      <c r="B41" s="1527"/>
      <c r="C41" s="1466"/>
      <c r="D41" s="1466"/>
      <c r="E41" s="1466"/>
      <c r="F41" s="1573"/>
      <c r="I41" s="2139" t="str">
        <f t="shared" si="8"/>
        <v/>
      </c>
      <c r="J41" s="2175" t="str">
        <f t="shared" si="25"/>
        <v/>
      </c>
      <c r="K41" s="2172" t="str">
        <f t="shared" si="113"/>
        <v/>
      </c>
      <c r="L41" s="2176"/>
      <c r="M41" s="1585"/>
      <c r="N41" s="1560"/>
      <c r="O41" s="1560"/>
      <c r="P41" s="1562"/>
      <c r="Q41" s="1563"/>
      <c r="R41" s="1569"/>
      <c r="S41" s="2178" t="str">
        <f t="shared" ref="S41" si="117">IF(M41="","",pb_currency_symbol)</f>
        <v/>
      </c>
      <c r="T41" s="1584"/>
      <c r="U41" s="2180" t="str">
        <f t="shared" si="10"/>
        <v/>
      </c>
      <c r="V41" s="2178" t="str">
        <f t="shared" ref="V41" si="118">IF(W41=0,"",pb_currency_symbol)</f>
        <v/>
      </c>
      <c r="W41" s="1570"/>
      <c r="X41" s="2178" t="str">
        <f t="shared" ref="X41" si="119">IF(M41="","",pb_currency_symbol)</f>
        <v/>
      </c>
      <c r="Y41" s="2182" t="str">
        <f t="shared" si="24"/>
        <v/>
      </c>
      <c r="Z41" s="1578"/>
      <c r="AA41" s="2183" t="str" cm="1">
        <f t="array" ref="AA41">IF(M41="","",IF(P41=AL41,1,Slookup(MID(AL41,1,3)*1,UomConversion!$D$8:$J$500,5,UomConversion!$E$8:$E$500,MID(P41,1,3)*1,UomConversion!$J$8:$J$500,1)))</f>
        <v/>
      </c>
      <c r="AB41" s="2184" t="str">
        <f t="shared" si="13"/>
        <v/>
      </c>
      <c r="AC41" s="2185" t="str">
        <f t="shared" si="14"/>
        <v/>
      </c>
      <c r="AD41" s="2186" t="str">
        <f t="shared" si="15"/>
        <v/>
      </c>
      <c r="AE41" s="2187" t="str">
        <f t="shared" si="16"/>
        <v/>
      </c>
      <c r="AF41" s="2184" t="str">
        <f>IF(I41="","",IF(ISNA(MATCH(I41,IF(invoice_location_id=1,'[1]1_inventory_totals'!$C$8:$C$10000,IF(invoice_location_id=2,'[1]2_inventory_totals'!$C$8:$C$10000,0)),0)),0,IF(AS41&gt;0,1,0)))</f>
        <v/>
      </c>
      <c r="AG41" s="2184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H41" s="2184" t="str">
        <f>IF(M41="","",IF(ISNA(MATCH(I41,'[1]1_group_totals'!$C$8:$C$10000)),0,IF(AT41&gt;0,1,0)))</f>
        <v/>
      </c>
      <c r="AI41" s="2184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J41" s="2184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K41" s="2184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L41" s="2188" t="str">
        <f t="shared" si="17"/>
        <v/>
      </c>
      <c r="AM41" s="2188" t="str">
        <f>IF(OR(ISNA(MATCH(MID(AL41,1,3)*1,UomConversion!$D$8:$D$500,0)),M41=""),"",IF(AQ41="","",AQ41))</f>
        <v/>
      </c>
      <c r="AN41" s="2188" t="str">
        <f>IF(AND(AO41&gt;0,COUNTIFS(UomConversion!$D$8:$D$500,MID(AL41,1,3)*1,UomConversion!$J$8:$J$500,1)&gt;1),TEXT(AO41,"000")&amp;"."&amp;VLOOKUP(AO41,uom_list,5,FALSE),"")</f>
        <v/>
      </c>
      <c r="AO41" s="2184" t="str">
        <f t="shared" si="18"/>
        <v/>
      </c>
      <c r="AP41" s="2184" t="str">
        <f t="shared" si="19"/>
        <v/>
      </c>
      <c r="AQ41" s="2189" t="str">
        <f t="shared" si="20"/>
        <v/>
      </c>
      <c r="AR41" s="2190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2191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2190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1439"/>
      <c r="B42" s="1527"/>
      <c r="C42" s="1466"/>
      <c r="D42" s="1466"/>
      <c r="E42" s="1466"/>
      <c r="F42" s="1573"/>
      <c r="I42" s="2139" t="str">
        <f t="shared" si="8"/>
        <v/>
      </c>
      <c r="J42" s="2175" t="str">
        <f t="shared" si="25"/>
        <v/>
      </c>
      <c r="K42" s="2172" t="str">
        <f t="shared" si="113"/>
        <v/>
      </c>
      <c r="L42" s="2176"/>
      <c r="M42" s="1585"/>
      <c r="N42" s="1560"/>
      <c r="O42" s="1560"/>
      <c r="P42" s="1562"/>
      <c r="Q42" s="1563"/>
      <c r="R42" s="1569"/>
      <c r="S42" s="2178" t="str">
        <f t="shared" ref="S42" si="120">IF(M42="","",pb_currency_symbol)</f>
        <v/>
      </c>
      <c r="T42" s="1584"/>
      <c r="U42" s="2180" t="str">
        <f t="shared" si="10"/>
        <v/>
      </c>
      <c r="V42" s="2178" t="str">
        <f t="shared" ref="V42" si="121">IF(W42=0,"",pb_currency_symbol)</f>
        <v/>
      </c>
      <c r="W42" s="1570"/>
      <c r="X42" s="2178" t="str">
        <f t="shared" ref="X42" si="122">IF(M42="","",pb_currency_symbol)</f>
        <v/>
      </c>
      <c r="Y42" s="2182" t="str">
        <f t="shared" si="24"/>
        <v/>
      </c>
      <c r="Z42" s="1578"/>
      <c r="AA42" s="2183" t="str" cm="1">
        <f t="array" ref="AA42">IF(M42="","",IF(P42=AL42,1,Slookup(MID(AL42,1,3)*1,UomConversion!$D$8:$J$500,5,UomConversion!$E$8:$E$500,MID(P42,1,3)*1,UomConversion!$J$8:$J$500,1)))</f>
        <v/>
      </c>
      <c r="AB42" s="2184" t="str">
        <f t="shared" si="13"/>
        <v/>
      </c>
      <c r="AC42" s="2185" t="str">
        <f t="shared" si="14"/>
        <v/>
      </c>
      <c r="AD42" s="2186" t="str">
        <f t="shared" si="15"/>
        <v/>
      </c>
      <c r="AE42" s="2187" t="str">
        <f t="shared" si="16"/>
        <v/>
      </c>
      <c r="AF42" s="2184" t="str">
        <f>IF(I42="","",IF(ISNA(MATCH(I42,IF(invoice_location_id=1,'[1]1_inventory_totals'!$C$8:$C$10000,IF(invoice_location_id=2,'[1]2_inventory_totals'!$C$8:$C$10000,0)),0)),0,IF(AS42&gt;0,1,0)))</f>
        <v/>
      </c>
      <c r="AG42" s="2184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H42" s="2184" t="str">
        <f>IF(M42="","",IF(ISNA(MATCH(I42,'[1]1_group_totals'!$C$8:$C$10000)),0,IF(AT42&gt;0,1,0)))</f>
        <v/>
      </c>
      <c r="AI42" s="2184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J42" s="2184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K42" s="2184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L42" s="2188" t="str">
        <f t="shared" si="17"/>
        <v/>
      </c>
      <c r="AM42" s="2188" t="str">
        <f>IF(OR(ISNA(MATCH(MID(AL42,1,3)*1,UomConversion!$D$8:$D$500,0)),M42=""),"",IF(AQ42="","",AQ42))</f>
        <v/>
      </c>
      <c r="AN42" s="2188" t="str">
        <f>IF(AND(AO42&gt;0,COUNTIFS(UomConversion!$D$8:$D$500,MID(AL42,1,3)*1,UomConversion!$J$8:$J$500,1)&gt;1),TEXT(AO42,"000")&amp;"."&amp;VLOOKUP(AO42,uom_list,5,FALSE),"")</f>
        <v/>
      </c>
      <c r="AO42" s="2184" t="str">
        <f t="shared" si="18"/>
        <v/>
      </c>
      <c r="AP42" s="2184" t="str">
        <f t="shared" si="19"/>
        <v/>
      </c>
      <c r="AQ42" s="2189" t="str">
        <f t="shared" si="20"/>
        <v/>
      </c>
      <c r="AR42" s="2190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2191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2190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1439"/>
      <c r="B43" s="1527"/>
      <c r="C43" s="1466"/>
      <c r="D43" s="1466"/>
      <c r="E43" s="1466"/>
      <c r="F43" s="1573"/>
      <c r="I43" s="2139" t="str">
        <f t="shared" si="8"/>
        <v/>
      </c>
      <c r="J43" s="2175" t="str">
        <f t="shared" si="25"/>
        <v/>
      </c>
      <c r="K43" s="2172" t="str">
        <f t="shared" si="113"/>
        <v/>
      </c>
      <c r="L43" s="2176"/>
      <c r="M43" s="1585"/>
      <c r="N43" s="1560"/>
      <c r="O43" s="1560"/>
      <c r="P43" s="1562"/>
      <c r="Q43" s="1563"/>
      <c r="R43" s="1569"/>
      <c r="S43" s="2178" t="str">
        <f t="shared" ref="S43" si="123">IF(M43="","",pb_currency_symbol)</f>
        <v/>
      </c>
      <c r="T43" s="1584"/>
      <c r="U43" s="2180" t="str">
        <f t="shared" si="10"/>
        <v/>
      </c>
      <c r="V43" s="2178" t="str">
        <f t="shared" ref="V43" si="124">IF(W43=0,"",pb_currency_symbol)</f>
        <v/>
      </c>
      <c r="W43" s="1570"/>
      <c r="X43" s="2178" t="str">
        <f t="shared" ref="X43" si="125">IF(M43="","",pb_currency_symbol)</f>
        <v/>
      </c>
      <c r="Y43" s="2182" t="str">
        <f t="shared" si="24"/>
        <v/>
      </c>
      <c r="Z43" s="1578"/>
      <c r="AA43" s="2183" t="str" cm="1">
        <f t="array" ref="AA43">IF(M43="","",IF(P43=AL43,1,Slookup(MID(AL43,1,3)*1,UomConversion!$D$8:$J$500,5,UomConversion!$E$8:$E$500,MID(P43,1,3)*1,UomConversion!$J$8:$J$500,1)))</f>
        <v/>
      </c>
      <c r="AB43" s="2184" t="str">
        <f t="shared" si="13"/>
        <v/>
      </c>
      <c r="AC43" s="2185" t="str">
        <f t="shared" si="14"/>
        <v/>
      </c>
      <c r="AD43" s="2186" t="str">
        <f t="shared" si="15"/>
        <v/>
      </c>
      <c r="AE43" s="2187" t="str">
        <f t="shared" si="16"/>
        <v/>
      </c>
      <c r="AF43" s="2184" t="str">
        <f>IF(I43="","",IF(ISNA(MATCH(I43,IF(invoice_location_id=1,'[1]1_inventory_totals'!$C$8:$C$10000,IF(invoice_location_id=2,'[1]2_inventory_totals'!$C$8:$C$10000,0)),0)),0,IF(AS43&gt;0,1,0)))</f>
        <v/>
      </c>
      <c r="AG43" s="2184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H43" s="2184" t="str">
        <f>IF(M43="","",IF(ISNA(MATCH(I43,'[1]1_group_totals'!$C$8:$C$10000)),0,IF(AT43&gt;0,1,0)))</f>
        <v/>
      </c>
      <c r="AI43" s="2184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J43" s="2184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K43" s="2184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L43" s="2188" t="str">
        <f t="shared" si="17"/>
        <v/>
      </c>
      <c r="AM43" s="2188" t="str">
        <f>IF(OR(ISNA(MATCH(MID(AL43,1,3)*1,UomConversion!$D$8:$D$500,0)),M43=""),"",IF(AQ43="","",AQ43))</f>
        <v/>
      </c>
      <c r="AN43" s="2188" t="str">
        <f>IF(AND(AO43&gt;0,COUNTIFS(UomConversion!$D$8:$D$500,MID(AL43,1,3)*1,UomConversion!$J$8:$J$500,1)&gt;1),TEXT(AO43,"000")&amp;"."&amp;VLOOKUP(AO43,uom_list,5,FALSE),"")</f>
        <v/>
      </c>
      <c r="AO43" s="2184" t="str">
        <f t="shared" si="18"/>
        <v/>
      </c>
      <c r="AP43" s="2184" t="str">
        <f t="shared" si="19"/>
        <v/>
      </c>
      <c r="AQ43" s="2189" t="str">
        <f t="shared" si="20"/>
        <v/>
      </c>
      <c r="AR43" s="2190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2191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2190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1439"/>
      <c r="B44" s="1527"/>
      <c r="C44" s="1466"/>
      <c r="D44" s="1466"/>
      <c r="E44" s="1466"/>
      <c r="F44" s="1573"/>
      <c r="I44" s="2139" t="str">
        <f t="shared" si="8"/>
        <v/>
      </c>
      <c r="J44" s="2175" t="str">
        <f t="shared" si="25"/>
        <v/>
      </c>
      <c r="K44" s="2172" t="str">
        <f t="shared" si="113"/>
        <v/>
      </c>
      <c r="L44" s="2176"/>
      <c r="M44" s="1585"/>
      <c r="N44" s="1560"/>
      <c r="O44" s="1560"/>
      <c r="P44" s="1562"/>
      <c r="Q44" s="1563"/>
      <c r="R44" s="1569"/>
      <c r="S44" s="2178" t="str">
        <f t="shared" ref="S44" si="126">IF(M44="","",pb_currency_symbol)</f>
        <v/>
      </c>
      <c r="T44" s="1584"/>
      <c r="U44" s="2180" t="str">
        <f t="shared" si="10"/>
        <v/>
      </c>
      <c r="V44" s="2178" t="str">
        <f t="shared" ref="V44" si="127">IF(W44=0,"",pb_currency_symbol)</f>
        <v/>
      </c>
      <c r="W44" s="1570"/>
      <c r="X44" s="2178" t="str">
        <f t="shared" ref="X44" si="128">IF(M44="","",pb_currency_symbol)</f>
        <v/>
      </c>
      <c r="Y44" s="2182" t="str">
        <f t="shared" si="24"/>
        <v/>
      </c>
      <c r="Z44" s="1578"/>
      <c r="AA44" s="2183" t="str" cm="1">
        <f t="array" ref="AA44">IF(M44="","",IF(P44=AL44,1,Slookup(MID(AL44,1,3)*1,UomConversion!$D$8:$J$500,5,UomConversion!$E$8:$E$500,MID(P44,1,3)*1,UomConversion!$J$8:$J$500,1)))</f>
        <v/>
      </c>
      <c r="AB44" s="2184" t="str">
        <f t="shared" si="13"/>
        <v/>
      </c>
      <c r="AC44" s="2185" t="str">
        <f t="shared" si="14"/>
        <v/>
      </c>
      <c r="AD44" s="2186" t="str">
        <f t="shared" si="15"/>
        <v/>
      </c>
      <c r="AE44" s="2187" t="str">
        <f t="shared" si="16"/>
        <v/>
      </c>
      <c r="AF44" s="2184" t="str">
        <f>IF(I44="","",IF(ISNA(MATCH(I44,IF(invoice_location_id=1,'[1]1_inventory_totals'!$C$8:$C$10000,IF(invoice_location_id=2,'[1]2_inventory_totals'!$C$8:$C$10000,0)),0)),0,IF(AS44&gt;0,1,0)))</f>
        <v/>
      </c>
      <c r="AG44" s="2184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H44" s="2184" t="str">
        <f>IF(M44="","",IF(ISNA(MATCH(I44,'[1]1_group_totals'!$C$8:$C$10000)),0,IF(AT44&gt;0,1,0)))</f>
        <v/>
      </c>
      <c r="AI44" s="2184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J44" s="2184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K44" s="2184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L44" s="2188" t="str">
        <f t="shared" si="17"/>
        <v/>
      </c>
      <c r="AM44" s="2188" t="str">
        <f>IF(OR(ISNA(MATCH(MID(AL44,1,3)*1,UomConversion!$D$8:$D$500,0)),M44=""),"",IF(AQ44="","",AQ44))</f>
        <v/>
      </c>
      <c r="AN44" s="2188" t="str">
        <f>IF(AND(AO44&gt;0,COUNTIFS(UomConversion!$D$8:$D$500,MID(AL44,1,3)*1,UomConversion!$J$8:$J$500,1)&gt;1),TEXT(AO44,"000")&amp;"."&amp;VLOOKUP(AO44,uom_list,5,FALSE),"")</f>
        <v/>
      </c>
      <c r="AO44" s="2184" t="str">
        <f t="shared" si="18"/>
        <v/>
      </c>
      <c r="AP44" s="2184" t="str">
        <f t="shared" si="19"/>
        <v/>
      </c>
      <c r="AQ44" s="2189" t="str">
        <f t="shared" si="20"/>
        <v/>
      </c>
      <c r="AR44" s="2190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2191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2190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1439"/>
      <c r="B45" s="1527"/>
      <c r="C45" s="1466"/>
      <c r="D45" s="1466"/>
      <c r="E45" s="1466"/>
      <c r="F45" s="1573"/>
      <c r="I45" s="2139" t="str">
        <f t="shared" si="8"/>
        <v/>
      </c>
      <c r="J45" s="2175" t="str">
        <f t="shared" si="25"/>
        <v/>
      </c>
      <c r="K45" s="2172" t="str">
        <f t="shared" si="113"/>
        <v/>
      </c>
      <c r="L45" s="2176"/>
      <c r="M45" s="1585"/>
      <c r="N45" s="1560"/>
      <c r="O45" s="1560"/>
      <c r="P45" s="1562"/>
      <c r="Q45" s="1563"/>
      <c r="R45" s="1569"/>
      <c r="S45" s="2178" t="str">
        <f t="shared" ref="S45" si="129">IF(M45="","",pb_currency_symbol)</f>
        <v/>
      </c>
      <c r="T45" s="1584"/>
      <c r="U45" s="2180" t="str">
        <f t="shared" si="10"/>
        <v/>
      </c>
      <c r="V45" s="2178" t="str">
        <f t="shared" ref="V45" si="130">IF(W45=0,"",pb_currency_symbol)</f>
        <v/>
      </c>
      <c r="W45" s="1570"/>
      <c r="X45" s="2178" t="str">
        <f t="shared" ref="X45" si="131">IF(M45="","",pb_currency_symbol)</f>
        <v/>
      </c>
      <c r="Y45" s="2182" t="str">
        <f t="shared" si="24"/>
        <v/>
      </c>
      <c r="Z45" s="1578"/>
      <c r="AA45" s="2183" t="str" cm="1">
        <f t="array" ref="AA45">IF(M45="","",IF(P45=AL45,1,Slookup(MID(AL45,1,3)*1,UomConversion!$D$8:$J$500,5,UomConversion!$E$8:$E$500,MID(P45,1,3)*1,UomConversion!$J$8:$J$500,1)))</f>
        <v/>
      </c>
      <c r="AB45" s="2184" t="str">
        <f t="shared" si="13"/>
        <v/>
      </c>
      <c r="AC45" s="2185" t="str">
        <f t="shared" si="14"/>
        <v/>
      </c>
      <c r="AD45" s="2186" t="str">
        <f t="shared" si="15"/>
        <v/>
      </c>
      <c r="AE45" s="2187" t="str">
        <f t="shared" si="16"/>
        <v/>
      </c>
      <c r="AF45" s="2184" t="str">
        <f>IF(I45="","",IF(ISNA(MATCH(I45,IF(invoice_location_id=1,'[1]1_inventory_totals'!$C$8:$C$10000,IF(invoice_location_id=2,'[1]2_inventory_totals'!$C$8:$C$10000,0)),0)),0,IF(AS45&gt;0,1,0)))</f>
        <v/>
      </c>
      <c r="AG45" s="2184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H45" s="2184" t="str">
        <f>IF(M45="","",IF(ISNA(MATCH(I45,'[1]1_group_totals'!$C$8:$C$10000)),0,IF(AT45&gt;0,1,0)))</f>
        <v/>
      </c>
      <c r="AI45" s="2184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J45" s="2184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K45" s="2184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L45" s="2188" t="str">
        <f t="shared" si="17"/>
        <v/>
      </c>
      <c r="AM45" s="2188" t="str">
        <f>IF(OR(ISNA(MATCH(MID(AL45,1,3)*1,UomConversion!$D$8:$D$500,0)),M45=""),"",IF(AQ45="","",AQ45))</f>
        <v/>
      </c>
      <c r="AN45" s="2188" t="str">
        <f>IF(AND(AO45&gt;0,COUNTIFS(UomConversion!$D$8:$D$500,MID(AL45,1,3)*1,UomConversion!$J$8:$J$500,1)&gt;1),TEXT(AO45,"000")&amp;"."&amp;VLOOKUP(AO45,uom_list,5,FALSE),"")</f>
        <v/>
      </c>
      <c r="AO45" s="2184" t="str">
        <f t="shared" si="18"/>
        <v/>
      </c>
      <c r="AP45" s="2184" t="str">
        <f t="shared" si="19"/>
        <v/>
      </c>
      <c r="AQ45" s="2189" t="str">
        <f t="shared" si="20"/>
        <v/>
      </c>
      <c r="AR45" s="2190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2191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2190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1439"/>
      <c r="B46" s="1527"/>
      <c r="C46" s="1466"/>
      <c r="D46" s="1466"/>
      <c r="E46" s="1466"/>
      <c r="F46" s="1573"/>
      <c r="I46" s="2139" t="str">
        <f t="shared" si="8"/>
        <v/>
      </c>
      <c r="J46" s="2175" t="str">
        <f t="shared" si="25"/>
        <v/>
      </c>
      <c r="K46" s="2172" t="str">
        <f t="shared" si="113"/>
        <v/>
      </c>
      <c r="L46" s="2176"/>
      <c r="M46" s="1585"/>
      <c r="N46" s="1560"/>
      <c r="O46" s="1560"/>
      <c r="P46" s="1562"/>
      <c r="Q46" s="1563"/>
      <c r="R46" s="1569"/>
      <c r="S46" s="2178" t="str">
        <f t="shared" ref="S46" si="132">IF(M46="","",pb_currency_symbol)</f>
        <v/>
      </c>
      <c r="T46" s="1584"/>
      <c r="U46" s="2180" t="str">
        <f t="shared" si="10"/>
        <v/>
      </c>
      <c r="V46" s="2178" t="str">
        <f t="shared" ref="V46" si="133">IF(W46=0,"",pb_currency_symbol)</f>
        <v/>
      </c>
      <c r="W46" s="1570"/>
      <c r="X46" s="2178" t="str">
        <f t="shared" ref="X46" si="134">IF(M46="","",pb_currency_symbol)</f>
        <v/>
      </c>
      <c r="Y46" s="2182" t="str">
        <f t="shared" si="24"/>
        <v/>
      </c>
      <c r="Z46" s="1578"/>
      <c r="AA46" s="2183" t="str" cm="1">
        <f t="array" ref="AA46">IF(M46="","",IF(P46=AL46,1,Slookup(MID(AL46,1,3)*1,UomConversion!$D$8:$J$500,5,UomConversion!$E$8:$E$500,MID(P46,1,3)*1,UomConversion!$J$8:$J$500,1)))</f>
        <v/>
      </c>
      <c r="AB46" s="2184" t="str">
        <f t="shared" si="13"/>
        <v/>
      </c>
      <c r="AC46" s="2185" t="str">
        <f t="shared" si="14"/>
        <v/>
      </c>
      <c r="AD46" s="2186" t="str">
        <f t="shared" si="15"/>
        <v/>
      </c>
      <c r="AE46" s="2187" t="str">
        <f t="shared" si="16"/>
        <v/>
      </c>
      <c r="AF46" s="2184" t="str">
        <f>IF(I46="","",IF(ISNA(MATCH(I46,IF(invoice_location_id=1,'[1]1_inventory_totals'!$C$8:$C$10000,IF(invoice_location_id=2,'[1]2_inventory_totals'!$C$8:$C$10000,0)),0)),0,IF(AS46&gt;0,1,0)))</f>
        <v/>
      </c>
      <c r="AG46" s="2184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H46" s="2184" t="str">
        <f>IF(M46="","",IF(ISNA(MATCH(I46,'[1]1_group_totals'!$C$8:$C$10000)),0,IF(AT46&gt;0,1,0)))</f>
        <v/>
      </c>
      <c r="AI46" s="2184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J46" s="2184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K46" s="2184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L46" s="2188" t="str">
        <f t="shared" si="17"/>
        <v/>
      </c>
      <c r="AM46" s="2188" t="str">
        <f>IF(OR(ISNA(MATCH(MID(AL46,1,3)*1,UomConversion!$D$8:$D$500,0)),M46=""),"",IF(AQ46="","",AQ46))</f>
        <v/>
      </c>
      <c r="AN46" s="2188" t="str">
        <f>IF(AND(AO46&gt;0,COUNTIFS(UomConversion!$D$8:$D$500,MID(AL46,1,3)*1,UomConversion!$J$8:$J$500,1)&gt;1),TEXT(AO46,"000")&amp;"."&amp;VLOOKUP(AO46,uom_list,5,FALSE),"")</f>
        <v/>
      </c>
      <c r="AO46" s="2184" t="str">
        <f t="shared" si="18"/>
        <v/>
      </c>
      <c r="AP46" s="2184" t="str">
        <f t="shared" si="19"/>
        <v/>
      </c>
      <c r="AQ46" s="2189" t="str">
        <f t="shared" si="20"/>
        <v/>
      </c>
      <c r="AR46" s="2190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2191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2190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1439"/>
      <c r="B47" s="1527"/>
      <c r="C47" s="1466"/>
      <c r="D47" s="1466"/>
      <c r="E47" s="1466"/>
      <c r="F47" s="1573"/>
      <c r="I47" s="2139" t="str">
        <f t="shared" si="8"/>
        <v/>
      </c>
      <c r="J47" s="2175" t="str">
        <f t="shared" si="25"/>
        <v/>
      </c>
      <c r="K47" s="2172" t="str">
        <f t="shared" si="113"/>
        <v/>
      </c>
      <c r="L47" s="2176"/>
      <c r="M47" s="1585"/>
      <c r="N47" s="1560"/>
      <c r="O47" s="1560"/>
      <c r="P47" s="1562"/>
      <c r="Q47" s="1563"/>
      <c r="R47" s="1569"/>
      <c r="S47" s="2178" t="str">
        <f t="shared" ref="S47" si="135">IF(M47="","",pb_currency_symbol)</f>
        <v/>
      </c>
      <c r="T47" s="1584"/>
      <c r="U47" s="2180" t="str">
        <f t="shared" si="10"/>
        <v/>
      </c>
      <c r="V47" s="2178" t="str">
        <f t="shared" ref="V47" si="136">IF(W47=0,"",pb_currency_symbol)</f>
        <v/>
      </c>
      <c r="W47" s="1570"/>
      <c r="X47" s="2178" t="str">
        <f t="shared" ref="X47" si="137">IF(M47="","",pb_currency_symbol)</f>
        <v/>
      </c>
      <c r="Y47" s="2182" t="str">
        <f t="shared" si="24"/>
        <v/>
      </c>
      <c r="Z47" s="1578"/>
      <c r="AA47" s="2183" t="str" cm="1">
        <f t="array" ref="AA47">IF(M47="","",IF(P47=AL47,1,Slookup(MID(AL47,1,3)*1,UomConversion!$D$8:$J$500,5,UomConversion!$E$8:$E$500,MID(P47,1,3)*1,UomConversion!$J$8:$J$500,1)))</f>
        <v/>
      </c>
      <c r="AB47" s="2184" t="str">
        <f t="shared" si="13"/>
        <v/>
      </c>
      <c r="AC47" s="2185" t="str">
        <f t="shared" si="14"/>
        <v/>
      </c>
      <c r="AD47" s="2186" t="str">
        <f t="shared" si="15"/>
        <v/>
      </c>
      <c r="AE47" s="2187" t="str">
        <f t="shared" si="16"/>
        <v/>
      </c>
      <c r="AF47" s="2184" t="str">
        <f>IF(I47="","",IF(ISNA(MATCH(I47,IF(invoice_location_id=1,'[1]1_inventory_totals'!$C$8:$C$10000,IF(invoice_location_id=2,'[1]2_inventory_totals'!$C$8:$C$10000,0)),0)),0,IF(AS47&gt;0,1,0)))</f>
        <v/>
      </c>
      <c r="AG47" s="2184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H47" s="2184" t="str">
        <f>IF(M47="","",IF(ISNA(MATCH(I47,'[1]1_group_totals'!$C$8:$C$10000)),0,IF(AT47&gt;0,1,0)))</f>
        <v/>
      </c>
      <c r="AI47" s="2184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J47" s="2184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K47" s="2184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L47" s="2188" t="str">
        <f t="shared" si="17"/>
        <v/>
      </c>
      <c r="AM47" s="2188" t="str">
        <f>IF(OR(ISNA(MATCH(MID(AL47,1,3)*1,UomConversion!$D$8:$D$500,0)),M47=""),"",IF(AQ47="","",AQ47))</f>
        <v/>
      </c>
      <c r="AN47" s="2188" t="str">
        <f>IF(AND(AO47&gt;0,COUNTIFS(UomConversion!$D$8:$D$500,MID(AL47,1,3)*1,UomConversion!$J$8:$J$500,1)&gt;1),TEXT(AO47,"000")&amp;"."&amp;VLOOKUP(AO47,uom_list,5,FALSE),"")</f>
        <v/>
      </c>
      <c r="AO47" s="2184" t="str">
        <f t="shared" si="18"/>
        <v/>
      </c>
      <c r="AP47" s="2184" t="str">
        <f t="shared" si="19"/>
        <v/>
      </c>
      <c r="AQ47" s="2189" t="str">
        <f t="shared" si="20"/>
        <v/>
      </c>
      <c r="AR47" s="2190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2191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2190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1439"/>
      <c r="B48" s="1527"/>
      <c r="C48" s="1466"/>
      <c r="D48" s="1466"/>
      <c r="E48" s="1466"/>
      <c r="F48" s="1573"/>
      <c r="I48" s="2139" t="str">
        <f t="shared" si="8"/>
        <v/>
      </c>
      <c r="J48" s="2175" t="str">
        <f t="shared" si="25"/>
        <v/>
      </c>
      <c r="K48" s="2172" t="str">
        <f t="shared" si="113"/>
        <v/>
      </c>
      <c r="L48" s="2176"/>
      <c r="M48" s="1585"/>
      <c r="N48" s="1560"/>
      <c r="O48" s="1560"/>
      <c r="P48" s="1562"/>
      <c r="Q48" s="1563"/>
      <c r="R48" s="1569"/>
      <c r="S48" s="2178" t="str">
        <f t="shared" ref="S48" si="138">IF(M48="","",pb_currency_symbol)</f>
        <v/>
      </c>
      <c r="T48" s="1584"/>
      <c r="U48" s="2180" t="str">
        <f t="shared" si="10"/>
        <v/>
      </c>
      <c r="V48" s="2178" t="str">
        <f t="shared" ref="V48" si="139">IF(W48=0,"",pb_currency_symbol)</f>
        <v/>
      </c>
      <c r="W48" s="1570"/>
      <c r="X48" s="2178" t="str">
        <f t="shared" ref="X48" si="140">IF(M48="","",pb_currency_symbol)</f>
        <v/>
      </c>
      <c r="Y48" s="2182" t="str">
        <f t="shared" si="24"/>
        <v/>
      </c>
      <c r="Z48" s="1578"/>
      <c r="AA48" s="2183" t="str" cm="1">
        <f t="array" ref="AA48">IF(M48="","",IF(P48=AL48,1,Slookup(MID(AL48,1,3)*1,UomConversion!$D$8:$J$500,5,UomConversion!$E$8:$E$500,MID(P48,1,3)*1,UomConversion!$J$8:$J$500,1)))</f>
        <v/>
      </c>
      <c r="AB48" s="2184" t="str">
        <f t="shared" si="13"/>
        <v/>
      </c>
      <c r="AC48" s="2185" t="str">
        <f t="shared" si="14"/>
        <v/>
      </c>
      <c r="AD48" s="2186" t="str">
        <f t="shared" si="15"/>
        <v/>
      </c>
      <c r="AE48" s="2187" t="str">
        <f t="shared" si="16"/>
        <v/>
      </c>
      <c r="AF48" s="2184" t="str">
        <f>IF(I48="","",IF(ISNA(MATCH(I48,IF(invoice_location_id=1,'[1]1_inventory_totals'!$C$8:$C$10000,IF(invoice_location_id=2,'[1]2_inventory_totals'!$C$8:$C$10000,0)),0)),0,IF(AS48&gt;0,1,0)))</f>
        <v/>
      </c>
      <c r="AG48" s="2184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H48" s="2184" t="str">
        <f>IF(M48="","",IF(ISNA(MATCH(I48,'[1]1_group_totals'!$C$8:$C$10000)),0,IF(AT48&gt;0,1,0)))</f>
        <v/>
      </c>
      <c r="AI48" s="2184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J48" s="2184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K48" s="2184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L48" s="2188" t="str">
        <f t="shared" si="17"/>
        <v/>
      </c>
      <c r="AM48" s="2188" t="str">
        <f>IF(OR(ISNA(MATCH(MID(AL48,1,3)*1,UomConversion!$D$8:$D$500,0)),M48=""),"",IF(AQ48="","",AQ48))</f>
        <v/>
      </c>
      <c r="AN48" s="2188" t="str">
        <f>IF(AND(AO48&gt;0,COUNTIFS(UomConversion!$D$8:$D$500,MID(AL48,1,3)*1,UomConversion!$J$8:$J$500,1)&gt;1),TEXT(AO48,"000")&amp;"."&amp;VLOOKUP(AO48,uom_list,5,FALSE),"")</f>
        <v/>
      </c>
      <c r="AO48" s="2184" t="str">
        <f t="shared" si="18"/>
        <v/>
      </c>
      <c r="AP48" s="2184" t="str">
        <f t="shared" si="19"/>
        <v/>
      </c>
      <c r="AQ48" s="2189" t="str">
        <f t="shared" si="20"/>
        <v/>
      </c>
      <c r="AR48" s="2190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2191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2190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1439"/>
      <c r="B49" s="1527"/>
      <c r="C49" s="1466"/>
      <c r="D49" s="1466"/>
      <c r="E49" s="1466"/>
      <c r="F49" s="1573"/>
      <c r="I49" s="2139" t="str">
        <f t="shared" si="8"/>
        <v/>
      </c>
      <c r="J49" s="2175" t="str">
        <f t="shared" si="25"/>
        <v/>
      </c>
      <c r="K49" s="2172" t="str">
        <f t="shared" si="113"/>
        <v/>
      </c>
      <c r="L49" s="2176"/>
      <c r="M49" s="1585"/>
      <c r="N49" s="1560"/>
      <c r="O49" s="1560"/>
      <c r="P49" s="1562"/>
      <c r="Q49" s="1563"/>
      <c r="R49" s="1569"/>
      <c r="S49" s="2178" t="str">
        <f t="shared" ref="S49" si="141">IF(M49="","",pb_currency_symbol)</f>
        <v/>
      </c>
      <c r="T49" s="1584"/>
      <c r="U49" s="2180" t="str">
        <f t="shared" si="10"/>
        <v/>
      </c>
      <c r="V49" s="2178" t="str">
        <f t="shared" ref="V49" si="142">IF(W49=0,"",pb_currency_symbol)</f>
        <v/>
      </c>
      <c r="W49" s="1570"/>
      <c r="X49" s="2178" t="str">
        <f t="shared" ref="X49" si="143">IF(M49="","",pb_currency_symbol)</f>
        <v/>
      </c>
      <c r="Y49" s="2182" t="str">
        <f t="shared" si="24"/>
        <v/>
      </c>
      <c r="Z49" s="1578"/>
      <c r="AA49" s="2183" t="str" cm="1">
        <f t="array" ref="AA49">IF(M49="","",IF(P49=AL49,1,Slookup(MID(AL49,1,3)*1,UomConversion!$D$8:$J$500,5,UomConversion!$E$8:$E$500,MID(P49,1,3)*1,UomConversion!$J$8:$J$500,1)))</f>
        <v/>
      </c>
      <c r="AB49" s="2184" t="str">
        <f t="shared" si="13"/>
        <v/>
      </c>
      <c r="AC49" s="2185" t="str">
        <f t="shared" si="14"/>
        <v/>
      </c>
      <c r="AD49" s="2186" t="str">
        <f t="shared" si="15"/>
        <v/>
      </c>
      <c r="AE49" s="2187" t="str">
        <f t="shared" si="16"/>
        <v/>
      </c>
      <c r="AF49" s="2184" t="str">
        <f>IF(I49="","",IF(ISNA(MATCH(I49,IF(invoice_location_id=1,'[1]1_inventory_totals'!$C$8:$C$10000,IF(invoice_location_id=2,'[1]2_inventory_totals'!$C$8:$C$10000,0)),0)),0,IF(AS49&gt;0,1,0)))</f>
        <v/>
      </c>
      <c r="AG49" s="2184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H49" s="2184" t="str">
        <f>IF(M49="","",IF(ISNA(MATCH(I49,'[1]1_group_totals'!$C$8:$C$10000)),0,IF(AT49&gt;0,1,0)))</f>
        <v/>
      </c>
      <c r="AI49" s="2184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J49" s="2184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K49" s="2184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L49" s="2188" t="str">
        <f t="shared" si="17"/>
        <v/>
      </c>
      <c r="AM49" s="2188" t="str">
        <f>IF(OR(ISNA(MATCH(MID(AL49,1,3)*1,UomConversion!$D$8:$D$500,0)),M49=""),"",IF(AQ49="","",AQ49))</f>
        <v/>
      </c>
      <c r="AN49" s="2188" t="str">
        <f>IF(AND(AO49&gt;0,COUNTIFS(UomConversion!$D$8:$D$500,MID(AL49,1,3)*1,UomConversion!$J$8:$J$500,1)&gt;1),TEXT(AO49,"000")&amp;"."&amp;VLOOKUP(AO49,uom_list,5,FALSE),"")</f>
        <v/>
      </c>
      <c r="AO49" s="2184" t="str">
        <f t="shared" si="18"/>
        <v/>
      </c>
      <c r="AP49" s="2184" t="str">
        <f t="shared" si="19"/>
        <v/>
      </c>
      <c r="AQ49" s="2189" t="str">
        <f t="shared" si="20"/>
        <v/>
      </c>
      <c r="AR49" s="2190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2191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2190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1439"/>
      <c r="B50" s="1527"/>
      <c r="C50" s="1466"/>
      <c r="D50" s="1466"/>
      <c r="E50" s="1466"/>
      <c r="F50" s="1573"/>
      <c r="I50" s="2139" t="str">
        <f t="shared" si="8"/>
        <v/>
      </c>
      <c r="J50" s="2175" t="str">
        <f t="shared" si="25"/>
        <v/>
      </c>
      <c r="K50" s="2172" t="str">
        <f t="shared" si="113"/>
        <v/>
      </c>
      <c r="L50" s="2176"/>
      <c r="M50" s="1585"/>
      <c r="N50" s="1560"/>
      <c r="O50" s="1560"/>
      <c r="P50" s="1562"/>
      <c r="Q50" s="1563"/>
      <c r="R50" s="1569"/>
      <c r="S50" s="2178" t="str">
        <f t="shared" ref="S50" si="144">IF(M50="","",pb_currency_symbol)</f>
        <v/>
      </c>
      <c r="T50" s="1584"/>
      <c r="U50" s="2180" t="str">
        <f t="shared" si="10"/>
        <v/>
      </c>
      <c r="V50" s="2178" t="str">
        <f t="shared" ref="V50" si="145">IF(W50=0,"",pb_currency_symbol)</f>
        <v/>
      </c>
      <c r="W50" s="1570"/>
      <c r="X50" s="2178" t="str">
        <f t="shared" ref="X50" si="146">IF(M50="","",pb_currency_symbol)</f>
        <v/>
      </c>
      <c r="Y50" s="2182" t="str">
        <f t="shared" si="24"/>
        <v/>
      </c>
      <c r="Z50" s="1578"/>
      <c r="AA50" s="2183" t="str" cm="1">
        <f t="array" ref="AA50">IF(M50="","",IF(P50=AL50,1,Slookup(MID(AL50,1,3)*1,UomConversion!$D$8:$J$500,5,UomConversion!$E$8:$E$500,MID(P50,1,3)*1,UomConversion!$J$8:$J$500,1)))</f>
        <v/>
      </c>
      <c r="AB50" s="2184" t="str">
        <f t="shared" si="13"/>
        <v/>
      </c>
      <c r="AC50" s="2185" t="str">
        <f t="shared" si="14"/>
        <v/>
      </c>
      <c r="AD50" s="2186" t="str">
        <f t="shared" si="15"/>
        <v/>
      </c>
      <c r="AE50" s="2187" t="str">
        <f t="shared" si="16"/>
        <v/>
      </c>
      <c r="AF50" s="2184" t="str">
        <f>IF(I50="","",IF(ISNA(MATCH(I50,IF(invoice_location_id=1,'[1]1_inventory_totals'!$C$8:$C$10000,IF(invoice_location_id=2,'[1]2_inventory_totals'!$C$8:$C$10000,0)),0)),0,IF(AS50&gt;0,1,0)))</f>
        <v/>
      </c>
      <c r="AG50" s="2184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H50" s="2184" t="str">
        <f>IF(M50="","",IF(ISNA(MATCH(I50,'[1]1_group_totals'!$C$8:$C$10000)),0,IF(AT50&gt;0,1,0)))</f>
        <v/>
      </c>
      <c r="AI50" s="2184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J50" s="2184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K50" s="2184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L50" s="2188" t="str">
        <f t="shared" si="17"/>
        <v/>
      </c>
      <c r="AM50" s="2188" t="str">
        <f>IF(OR(ISNA(MATCH(MID(AL50,1,3)*1,UomConversion!$D$8:$D$500,0)),M50=""),"",IF(AQ50="","",AQ50))</f>
        <v/>
      </c>
      <c r="AN50" s="2188" t="str">
        <f>IF(AND(AO50&gt;0,COUNTIFS(UomConversion!$D$8:$D$500,MID(AL50,1,3)*1,UomConversion!$J$8:$J$500,1)&gt;1),TEXT(AO50,"000")&amp;"."&amp;VLOOKUP(AO50,uom_list,5,FALSE),"")</f>
        <v/>
      </c>
      <c r="AO50" s="2184" t="str">
        <f t="shared" si="18"/>
        <v/>
      </c>
      <c r="AP50" s="2184" t="str">
        <f t="shared" si="19"/>
        <v/>
      </c>
      <c r="AQ50" s="2189" t="str">
        <f t="shared" si="20"/>
        <v/>
      </c>
      <c r="AR50" s="2190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2191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2190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1439"/>
      <c r="B51" s="1527"/>
      <c r="C51" s="1466"/>
      <c r="D51" s="1466"/>
      <c r="E51" s="1466"/>
      <c r="F51" s="1573"/>
      <c r="I51" s="2139" t="str">
        <f t="shared" si="8"/>
        <v/>
      </c>
      <c r="J51" s="2175" t="str">
        <f t="shared" si="25"/>
        <v/>
      </c>
      <c r="K51" s="2172" t="str">
        <f t="shared" si="113"/>
        <v/>
      </c>
      <c r="L51" s="2176"/>
      <c r="M51" s="1585"/>
      <c r="N51" s="1560"/>
      <c r="O51" s="1560"/>
      <c r="P51" s="1562"/>
      <c r="Q51" s="1563"/>
      <c r="R51" s="1569"/>
      <c r="S51" s="2178" t="str">
        <f t="shared" ref="S51" si="147">IF(M51="","",pb_currency_symbol)</f>
        <v/>
      </c>
      <c r="T51" s="1584"/>
      <c r="U51" s="2180" t="str">
        <f t="shared" si="10"/>
        <v/>
      </c>
      <c r="V51" s="2178" t="str">
        <f t="shared" ref="V51" si="148">IF(W51=0,"",pb_currency_symbol)</f>
        <v/>
      </c>
      <c r="W51" s="1570"/>
      <c r="X51" s="2178" t="str">
        <f t="shared" ref="X51" si="149">IF(M51="","",pb_currency_symbol)</f>
        <v/>
      </c>
      <c r="Y51" s="2182" t="str">
        <f t="shared" si="24"/>
        <v/>
      </c>
      <c r="Z51" s="1578"/>
      <c r="AA51" s="2183" t="str" cm="1">
        <f t="array" ref="AA51">IF(M51="","",IF(P51=AL51,1,Slookup(MID(AL51,1,3)*1,UomConversion!$D$8:$J$500,5,UomConversion!$E$8:$E$500,MID(P51,1,3)*1,UomConversion!$J$8:$J$500,1)))</f>
        <v/>
      </c>
      <c r="AB51" s="2184" t="str">
        <f t="shared" si="13"/>
        <v/>
      </c>
      <c r="AC51" s="2185" t="str">
        <f t="shared" si="14"/>
        <v/>
      </c>
      <c r="AD51" s="2186" t="str">
        <f t="shared" si="15"/>
        <v/>
      </c>
      <c r="AE51" s="2187" t="str">
        <f t="shared" si="16"/>
        <v/>
      </c>
      <c r="AF51" s="2184" t="str">
        <f>IF(I51="","",IF(ISNA(MATCH(I51,IF(invoice_location_id=1,'[1]1_inventory_totals'!$C$8:$C$10000,IF(invoice_location_id=2,'[1]2_inventory_totals'!$C$8:$C$10000,0)),0)),0,IF(AS51&gt;0,1,0)))</f>
        <v/>
      </c>
      <c r="AG51" s="2184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H51" s="2184" t="str">
        <f>IF(M51="","",IF(ISNA(MATCH(I51,'[1]1_group_totals'!$C$8:$C$10000)),0,IF(AT51&gt;0,1,0)))</f>
        <v/>
      </c>
      <c r="AI51" s="2184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J51" s="2184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K51" s="2184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L51" s="2188" t="str">
        <f t="shared" si="17"/>
        <v/>
      </c>
      <c r="AM51" s="2188" t="str">
        <f>IF(OR(ISNA(MATCH(MID(AL51,1,3)*1,UomConversion!$D$8:$D$500,0)),M51=""),"",IF(AQ51="","",AQ51))</f>
        <v/>
      </c>
      <c r="AN51" s="2188" t="str">
        <f>IF(AND(AO51&gt;0,COUNTIFS(UomConversion!$D$8:$D$500,MID(AL51,1,3)*1,UomConversion!$J$8:$J$500,1)&gt;1),TEXT(AO51,"000")&amp;"."&amp;VLOOKUP(AO51,uom_list,5,FALSE),"")</f>
        <v/>
      </c>
      <c r="AO51" s="2184" t="str">
        <f t="shared" si="18"/>
        <v/>
      </c>
      <c r="AP51" s="2184" t="str">
        <f t="shared" si="19"/>
        <v/>
      </c>
      <c r="AQ51" s="2189" t="str">
        <f t="shared" si="20"/>
        <v/>
      </c>
      <c r="AR51" s="2190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2191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2190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1439"/>
      <c r="B52" s="1527"/>
      <c r="C52" s="1466"/>
      <c r="D52" s="1466"/>
      <c r="E52" s="1466"/>
      <c r="F52" s="1573"/>
      <c r="I52" s="2139" t="str">
        <f t="shared" si="8"/>
        <v/>
      </c>
      <c r="J52" s="2175" t="str">
        <f t="shared" si="25"/>
        <v/>
      </c>
      <c r="K52" s="2172" t="str">
        <f t="shared" si="113"/>
        <v/>
      </c>
      <c r="L52" s="2176"/>
      <c r="M52" s="1585"/>
      <c r="N52" s="1560"/>
      <c r="O52" s="1560"/>
      <c r="P52" s="1562"/>
      <c r="Q52" s="1563"/>
      <c r="R52" s="1569"/>
      <c r="S52" s="2178" t="str">
        <f t="shared" ref="S52" si="150">IF(M52="","",pb_currency_symbol)</f>
        <v/>
      </c>
      <c r="T52" s="1584"/>
      <c r="U52" s="2180" t="str">
        <f t="shared" si="10"/>
        <v/>
      </c>
      <c r="V52" s="2178" t="str">
        <f t="shared" ref="V52" si="151">IF(W52=0,"",pb_currency_symbol)</f>
        <v/>
      </c>
      <c r="W52" s="1570"/>
      <c r="X52" s="2178" t="str">
        <f t="shared" ref="X52" si="152">IF(M52="","",pb_currency_symbol)</f>
        <v/>
      </c>
      <c r="Y52" s="2182" t="str">
        <f t="shared" si="24"/>
        <v/>
      </c>
      <c r="Z52" s="1578"/>
      <c r="AA52" s="2183" t="str" cm="1">
        <f t="array" ref="AA52">IF(M52="","",IF(P52=AL52,1,Slookup(MID(AL52,1,3)*1,UomConversion!$D$8:$J$500,5,UomConversion!$E$8:$E$500,MID(P52,1,3)*1,UomConversion!$J$8:$J$500,1)))</f>
        <v/>
      </c>
      <c r="AB52" s="2184" t="str">
        <f t="shared" si="13"/>
        <v/>
      </c>
      <c r="AC52" s="2185" t="str">
        <f t="shared" si="14"/>
        <v/>
      </c>
      <c r="AD52" s="2186" t="str">
        <f t="shared" si="15"/>
        <v/>
      </c>
      <c r="AE52" s="2187" t="str">
        <f t="shared" si="16"/>
        <v/>
      </c>
      <c r="AF52" s="2184" t="str">
        <f>IF(I52="","",IF(ISNA(MATCH(I52,IF(invoice_location_id=1,'[1]1_inventory_totals'!$C$8:$C$10000,IF(invoice_location_id=2,'[1]2_inventory_totals'!$C$8:$C$10000,0)),0)),0,IF(AS52&gt;0,1,0)))</f>
        <v/>
      </c>
      <c r="AG52" s="2184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H52" s="2184" t="str">
        <f>IF(M52="","",IF(ISNA(MATCH(I52,'[1]1_group_totals'!$C$8:$C$10000)),0,IF(AT52&gt;0,1,0)))</f>
        <v/>
      </c>
      <c r="AI52" s="2184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J52" s="2184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K52" s="2184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L52" s="2188" t="str">
        <f t="shared" si="17"/>
        <v/>
      </c>
      <c r="AM52" s="2188" t="str">
        <f>IF(OR(ISNA(MATCH(MID(AL52,1,3)*1,UomConversion!$D$8:$D$500,0)),M52=""),"",IF(AQ52="","",AQ52))</f>
        <v/>
      </c>
      <c r="AN52" s="2188" t="str">
        <f>IF(AND(AO52&gt;0,COUNTIFS(UomConversion!$D$8:$D$500,MID(AL52,1,3)*1,UomConversion!$J$8:$J$500,1)&gt;1),TEXT(AO52,"000")&amp;"."&amp;VLOOKUP(AO52,uom_list,5,FALSE),"")</f>
        <v/>
      </c>
      <c r="AO52" s="2184" t="str">
        <f t="shared" si="18"/>
        <v/>
      </c>
      <c r="AP52" s="2184" t="str">
        <f t="shared" si="19"/>
        <v/>
      </c>
      <c r="AQ52" s="2189" t="str">
        <f t="shared" si="20"/>
        <v/>
      </c>
      <c r="AR52" s="2190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2191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2190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1439"/>
      <c r="B53" s="1544"/>
      <c r="C53" s="1466"/>
      <c r="D53" s="1466"/>
      <c r="E53" s="1466"/>
      <c r="F53" s="1545"/>
      <c r="G53" s="1457"/>
      <c r="H53" s="1586"/>
      <c r="I53" s="2139" t="str">
        <f t="shared" si="8"/>
        <v/>
      </c>
      <c r="J53" s="2175" t="str">
        <f t="shared" si="25"/>
        <v/>
      </c>
      <c r="K53" s="2172" t="str">
        <f t="shared" si="113"/>
        <v/>
      </c>
      <c r="L53" s="2176"/>
      <c r="M53" s="1585"/>
      <c r="N53" s="1560"/>
      <c r="O53" s="1560"/>
      <c r="P53" s="1562"/>
      <c r="Q53" s="1563"/>
      <c r="R53" s="1569"/>
      <c r="S53" s="2178" t="str">
        <f t="shared" ref="S53" si="153">IF(M53="","",pb_currency_symbol)</f>
        <v/>
      </c>
      <c r="T53" s="1584"/>
      <c r="U53" s="2180" t="str">
        <f t="shared" si="10"/>
        <v/>
      </c>
      <c r="V53" s="2178" t="str">
        <f t="shared" ref="V53" si="154">IF(W53=0,"",pb_currency_symbol)</f>
        <v/>
      </c>
      <c r="W53" s="1570"/>
      <c r="X53" s="2178" t="str">
        <f t="shared" ref="X53" si="155">IF(M53="","",pb_currency_symbol)</f>
        <v/>
      </c>
      <c r="Y53" s="2182" t="str">
        <f t="shared" si="24"/>
        <v/>
      </c>
      <c r="Z53" s="1578"/>
      <c r="AA53" s="2183" t="str" cm="1">
        <f t="array" ref="AA53">IF(M53="","",IF(P53=AL53,1,Slookup(MID(AL53,1,3)*1,UomConversion!$D$8:$J$500,5,UomConversion!$E$8:$E$500,MID(P53,1,3)*1,UomConversion!$J$8:$J$500,1)))</f>
        <v/>
      </c>
      <c r="AB53" s="2184" t="str">
        <f t="shared" si="13"/>
        <v/>
      </c>
      <c r="AC53" s="2185" t="str">
        <f t="shared" si="14"/>
        <v/>
      </c>
      <c r="AD53" s="2186" t="str">
        <f t="shared" si="15"/>
        <v/>
      </c>
      <c r="AE53" s="2187" t="str">
        <f t="shared" si="16"/>
        <v/>
      </c>
      <c r="AF53" s="2184" t="str">
        <f>IF(I53="","",IF(ISNA(MATCH(I53,IF(invoice_location_id=1,'[1]1_inventory_totals'!$C$8:$C$10000,IF(invoice_location_id=2,'[1]2_inventory_totals'!$C$8:$C$10000,0)),0)),0,IF(AS53&gt;0,1,0)))</f>
        <v/>
      </c>
      <c r="AG53" s="2184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H53" s="2184" t="str">
        <f>IF(M53="","",IF(ISNA(MATCH(I53,'[1]1_group_totals'!$C$8:$C$10000)),0,IF(AT53&gt;0,1,0)))</f>
        <v/>
      </c>
      <c r="AI53" s="2184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J53" s="2184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K53" s="2184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L53" s="2188" t="str">
        <f t="shared" si="17"/>
        <v/>
      </c>
      <c r="AM53" s="2188" t="str">
        <f>IF(OR(ISNA(MATCH(MID(AL53,1,3)*1,UomConversion!$D$8:$D$500,0)),M53=""),"",IF(AQ53="","",AQ53))</f>
        <v/>
      </c>
      <c r="AN53" s="2188" t="str">
        <f>IF(AND(AO53&gt;0,COUNTIFS(UomConversion!$D$8:$D$500,MID(AL53,1,3)*1,UomConversion!$J$8:$J$500,1)&gt;1),TEXT(AO53,"000")&amp;"."&amp;VLOOKUP(AO53,uom_list,5,FALSE),"")</f>
        <v/>
      </c>
      <c r="AO53" s="2184" t="str">
        <f t="shared" si="18"/>
        <v/>
      </c>
      <c r="AP53" s="2184" t="str">
        <f t="shared" si="19"/>
        <v/>
      </c>
      <c r="AQ53" s="2189" t="str">
        <f t="shared" si="20"/>
        <v/>
      </c>
      <c r="AR53" s="2190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2191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2190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1439"/>
      <c r="B54" s="1544"/>
      <c r="C54" s="1466"/>
      <c r="D54" s="1466"/>
      <c r="E54" s="1466"/>
      <c r="F54" s="1545"/>
      <c r="G54" s="1457"/>
      <c r="H54" s="1586"/>
      <c r="I54" s="2139" t="str">
        <f t="shared" si="8"/>
        <v/>
      </c>
      <c r="J54" s="2175" t="str">
        <f t="shared" si="25"/>
        <v/>
      </c>
      <c r="K54" s="2172" t="str">
        <f t="shared" si="113"/>
        <v/>
      </c>
      <c r="L54" s="2176"/>
      <c r="M54" s="1585"/>
      <c r="N54" s="1560"/>
      <c r="O54" s="1560"/>
      <c r="P54" s="1562"/>
      <c r="Q54" s="1563"/>
      <c r="R54" s="1569"/>
      <c r="S54" s="2178" t="str">
        <f t="shared" ref="S54" si="156">IF(M54="","",pb_currency_symbol)</f>
        <v/>
      </c>
      <c r="T54" s="1584"/>
      <c r="U54" s="2180" t="str">
        <f t="shared" si="10"/>
        <v/>
      </c>
      <c r="V54" s="2178" t="str">
        <f t="shared" ref="V54" si="157">IF(W54=0,"",pb_currency_symbol)</f>
        <v/>
      </c>
      <c r="W54" s="1570"/>
      <c r="X54" s="2178" t="str">
        <f t="shared" ref="X54" si="158">IF(M54="","",pb_currency_symbol)</f>
        <v/>
      </c>
      <c r="Y54" s="2182" t="str">
        <f t="shared" si="24"/>
        <v/>
      </c>
      <c r="Z54" s="1578"/>
      <c r="AA54" s="2183" t="str" cm="1">
        <f t="array" ref="AA54">IF(M54="","",IF(P54=AL54,1,Slookup(MID(AL54,1,3)*1,UomConversion!$D$8:$J$500,5,UomConversion!$E$8:$E$500,MID(P54,1,3)*1,UomConversion!$J$8:$J$500,1)))</f>
        <v/>
      </c>
      <c r="AB54" s="2184" t="str">
        <f t="shared" si="13"/>
        <v/>
      </c>
      <c r="AC54" s="2185" t="str">
        <f t="shared" si="14"/>
        <v/>
      </c>
      <c r="AD54" s="2186" t="str">
        <f t="shared" si="15"/>
        <v/>
      </c>
      <c r="AE54" s="2187" t="str">
        <f t="shared" si="16"/>
        <v/>
      </c>
      <c r="AF54" s="2184" t="str">
        <f>IF(I54="","",IF(ISNA(MATCH(I54,IF(invoice_location_id=1,'[1]1_inventory_totals'!$C$8:$C$10000,IF(invoice_location_id=2,'[1]2_inventory_totals'!$C$8:$C$10000,0)),0)),0,IF(AS54&gt;0,1,0)))</f>
        <v/>
      </c>
      <c r="AG54" s="2184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H54" s="2184" t="str">
        <f>IF(M54="","",IF(ISNA(MATCH(I54,'[1]1_group_totals'!$C$8:$C$10000)),0,IF(AT54&gt;0,1,0)))</f>
        <v/>
      </c>
      <c r="AI54" s="2184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J54" s="2184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K54" s="2184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L54" s="2188" t="str">
        <f t="shared" si="17"/>
        <v/>
      </c>
      <c r="AM54" s="2188" t="str">
        <f>IF(OR(ISNA(MATCH(MID(AL54,1,3)*1,UomConversion!$D$8:$D$500,0)),M54=""),"",IF(AQ54="","",AQ54))</f>
        <v/>
      </c>
      <c r="AN54" s="2188" t="str">
        <f>IF(AND(AO54&gt;0,COUNTIFS(UomConversion!$D$8:$D$500,MID(AL54,1,3)*1,UomConversion!$J$8:$J$500,1)&gt;1),TEXT(AO54,"000")&amp;"."&amp;VLOOKUP(AO54,uom_list,5,FALSE),"")</f>
        <v/>
      </c>
      <c r="AO54" s="2184" t="str">
        <f t="shared" si="18"/>
        <v/>
      </c>
      <c r="AP54" s="2184" t="str">
        <f t="shared" si="19"/>
        <v/>
      </c>
      <c r="AQ54" s="2189" t="str">
        <f t="shared" si="20"/>
        <v/>
      </c>
      <c r="AR54" s="2190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2191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2190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1439"/>
      <c r="B55" s="1544"/>
      <c r="C55" s="1466"/>
      <c r="D55" s="1466"/>
      <c r="E55" s="1466"/>
      <c r="F55" s="1545"/>
      <c r="G55" s="1457"/>
      <c r="H55" s="1586"/>
      <c r="I55" s="2139" t="str">
        <f t="shared" si="8"/>
        <v/>
      </c>
      <c r="J55" s="2175" t="str">
        <f t="shared" si="25"/>
        <v/>
      </c>
      <c r="K55" s="2172" t="str">
        <f t="shared" si="113"/>
        <v/>
      </c>
      <c r="L55" s="2176"/>
      <c r="M55" s="1585"/>
      <c r="N55" s="1560"/>
      <c r="O55" s="1560"/>
      <c r="P55" s="1562"/>
      <c r="Q55" s="1563"/>
      <c r="R55" s="1569"/>
      <c r="S55" s="2178" t="str">
        <f t="shared" ref="S55" si="159">IF(M55="","",pb_currency_symbol)</f>
        <v/>
      </c>
      <c r="T55" s="1584"/>
      <c r="U55" s="2180" t="str">
        <f t="shared" si="10"/>
        <v/>
      </c>
      <c r="V55" s="2178" t="str">
        <f t="shared" ref="V55" si="160">IF(W55=0,"",pb_currency_symbol)</f>
        <v/>
      </c>
      <c r="W55" s="1570"/>
      <c r="X55" s="2178" t="str">
        <f t="shared" ref="X55" si="161">IF(M55="","",pb_currency_symbol)</f>
        <v/>
      </c>
      <c r="Y55" s="2182" t="str">
        <f t="shared" si="24"/>
        <v/>
      </c>
      <c r="Z55" s="1578"/>
      <c r="AA55" s="2183" t="str" cm="1">
        <f t="array" ref="AA55">IF(M55="","",IF(P55=AL55,1,Slookup(MID(AL55,1,3)*1,UomConversion!$D$8:$J$500,5,UomConversion!$E$8:$E$500,MID(P55,1,3)*1,UomConversion!$J$8:$J$500,1)))</f>
        <v/>
      </c>
      <c r="AB55" s="2184" t="str">
        <f t="shared" si="13"/>
        <v/>
      </c>
      <c r="AC55" s="2185" t="str">
        <f t="shared" si="14"/>
        <v/>
      </c>
      <c r="AD55" s="2186" t="str">
        <f t="shared" si="15"/>
        <v/>
      </c>
      <c r="AE55" s="2187" t="str">
        <f t="shared" si="16"/>
        <v/>
      </c>
      <c r="AF55" s="2184" t="str">
        <f>IF(I55="","",IF(ISNA(MATCH(I55,IF(invoice_location_id=1,'[1]1_inventory_totals'!$C$8:$C$10000,IF(invoice_location_id=2,'[1]2_inventory_totals'!$C$8:$C$10000,0)),0)),0,IF(AS55&gt;0,1,0)))</f>
        <v/>
      </c>
      <c r="AG55" s="2184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H55" s="2184" t="str">
        <f>IF(M55="","",IF(ISNA(MATCH(I55,'[1]1_group_totals'!$C$8:$C$10000)),0,IF(AT55&gt;0,1,0)))</f>
        <v/>
      </c>
      <c r="AI55" s="2184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J55" s="2184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K55" s="2184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L55" s="2188" t="str">
        <f t="shared" si="17"/>
        <v/>
      </c>
      <c r="AM55" s="2188" t="str">
        <f>IF(OR(ISNA(MATCH(MID(AL55,1,3)*1,UomConversion!$D$8:$D$500,0)),M55=""),"",IF(AQ55="","",AQ55))</f>
        <v/>
      </c>
      <c r="AN55" s="2188" t="str">
        <f>IF(AND(AO55&gt;0,COUNTIFS(UomConversion!$D$8:$D$500,MID(AL55,1,3)*1,UomConversion!$J$8:$J$500,1)&gt;1),TEXT(AO55,"000")&amp;"."&amp;VLOOKUP(AO55,uom_list,5,FALSE),"")</f>
        <v/>
      </c>
      <c r="AO55" s="2184" t="str">
        <f t="shared" si="18"/>
        <v/>
      </c>
      <c r="AP55" s="2184" t="str">
        <f t="shared" si="19"/>
        <v/>
      </c>
      <c r="AQ55" s="2189" t="str">
        <f t="shared" si="20"/>
        <v/>
      </c>
      <c r="AR55" s="2190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2191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2190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1439"/>
      <c r="B56" s="1544"/>
      <c r="C56" s="1466"/>
      <c r="D56" s="1466"/>
      <c r="E56" s="1466"/>
      <c r="F56" s="1545"/>
      <c r="G56" s="1457"/>
      <c r="H56" s="1586"/>
      <c r="I56" s="2139" t="str">
        <f t="shared" si="8"/>
        <v/>
      </c>
      <c r="J56" s="2175" t="str">
        <f t="shared" si="25"/>
        <v/>
      </c>
      <c r="K56" s="2172" t="str">
        <f t="shared" si="113"/>
        <v/>
      </c>
      <c r="L56" s="2176"/>
      <c r="M56" s="1585"/>
      <c r="N56" s="1560"/>
      <c r="O56" s="1560"/>
      <c r="P56" s="1562"/>
      <c r="Q56" s="1563"/>
      <c r="R56" s="1569"/>
      <c r="S56" s="2178" t="str">
        <f t="shared" ref="S56" si="162">IF(M56="","",pb_currency_symbol)</f>
        <v/>
      </c>
      <c r="T56" s="1584"/>
      <c r="U56" s="2180" t="str">
        <f t="shared" si="10"/>
        <v/>
      </c>
      <c r="V56" s="2178" t="str">
        <f t="shared" ref="V56" si="163">IF(W56=0,"",pb_currency_symbol)</f>
        <v/>
      </c>
      <c r="W56" s="1570"/>
      <c r="X56" s="2178" t="str">
        <f t="shared" ref="X56" si="164">IF(M56="","",pb_currency_symbol)</f>
        <v/>
      </c>
      <c r="Y56" s="2182" t="str">
        <f t="shared" si="24"/>
        <v/>
      </c>
      <c r="Z56" s="1578"/>
      <c r="AA56" s="2183" t="str" cm="1">
        <f t="array" ref="AA56">IF(M56="","",IF(P56=AL56,1,Slookup(MID(AL56,1,3)*1,UomConversion!$D$8:$J$500,5,UomConversion!$E$8:$E$500,MID(P56,1,3)*1,UomConversion!$J$8:$J$500,1)))</f>
        <v/>
      </c>
      <c r="AB56" s="2184" t="str">
        <f t="shared" si="13"/>
        <v/>
      </c>
      <c r="AC56" s="2185" t="str">
        <f t="shared" si="14"/>
        <v/>
      </c>
      <c r="AD56" s="2186" t="str">
        <f t="shared" si="15"/>
        <v/>
      </c>
      <c r="AE56" s="2187" t="str">
        <f t="shared" si="16"/>
        <v/>
      </c>
      <c r="AF56" s="2184" t="str">
        <f>IF(I56="","",IF(ISNA(MATCH(I56,IF(invoice_location_id=1,'[1]1_inventory_totals'!$C$8:$C$10000,IF(invoice_location_id=2,'[1]2_inventory_totals'!$C$8:$C$10000,0)),0)),0,IF(AS56&gt;0,1,0)))</f>
        <v/>
      </c>
      <c r="AG56" s="2184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H56" s="2184" t="str">
        <f>IF(M56="","",IF(ISNA(MATCH(I56,'[1]1_group_totals'!$C$8:$C$10000)),0,IF(AT56&gt;0,1,0)))</f>
        <v/>
      </c>
      <c r="AI56" s="2184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J56" s="2184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K56" s="2184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L56" s="2188" t="str">
        <f t="shared" si="17"/>
        <v/>
      </c>
      <c r="AM56" s="2188" t="str">
        <f>IF(OR(ISNA(MATCH(MID(AL56,1,3)*1,UomConversion!$D$8:$D$500,0)),M56=""),"",IF(AQ56="","",AQ56))</f>
        <v/>
      </c>
      <c r="AN56" s="2188" t="str">
        <f>IF(AND(AO56&gt;0,COUNTIFS(UomConversion!$D$8:$D$500,MID(AL56,1,3)*1,UomConversion!$J$8:$J$500,1)&gt;1),TEXT(AO56,"000")&amp;"."&amp;VLOOKUP(AO56,uom_list,5,FALSE),"")</f>
        <v/>
      </c>
      <c r="AO56" s="2184" t="str">
        <f t="shared" si="18"/>
        <v/>
      </c>
      <c r="AP56" s="2184" t="str">
        <f t="shared" si="19"/>
        <v/>
      </c>
      <c r="AQ56" s="2189" t="str">
        <f t="shared" si="20"/>
        <v/>
      </c>
      <c r="AR56" s="2190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2191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2190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1439"/>
      <c r="B57" s="1544"/>
      <c r="C57" s="1466"/>
      <c r="D57" s="1466"/>
      <c r="E57" s="1466"/>
      <c r="F57" s="1545"/>
      <c r="G57" s="1457"/>
      <c r="H57" s="1586"/>
      <c r="I57" s="2139" t="str">
        <f t="shared" si="8"/>
        <v/>
      </c>
      <c r="J57" s="2175" t="str">
        <f t="shared" si="25"/>
        <v/>
      </c>
      <c r="K57" s="2172" t="str">
        <f t="shared" si="113"/>
        <v/>
      </c>
      <c r="L57" s="2176"/>
      <c r="M57" s="1585"/>
      <c r="N57" s="1560"/>
      <c r="O57" s="1560"/>
      <c r="P57" s="1562"/>
      <c r="Q57" s="1563"/>
      <c r="R57" s="1569"/>
      <c r="S57" s="2178" t="str">
        <f t="shared" ref="S57" si="165">IF(M57="","",pb_currency_symbol)</f>
        <v/>
      </c>
      <c r="T57" s="1584"/>
      <c r="U57" s="2180" t="str">
        <f t="shared" si="10"/>
        <v/>
      </c>
      <c r="V57" s="2178" t="str">
        <f t="shared" ref="V57" si="166">IF(W57=0,"",pb_currency_symbol)</f>
        <v/>
      </c>
      <c r="W57" s="1570"/>
      <c r="X57" s="2178" t="str">
        <f t="shared" ref="X57" si="167">IF(M57="","",pb_currency_symbol)</f>
        <v/>
      </c>
      <c r="Y57" s="2182" t="str">
        <f t="shared" si="24"/>
        <v/>
      </c>
      <c r="Z57" s="1578"/>
      <c r="AA57" s="2183" t="str" cm="1">
        <f t="array" ref="AA57">IF(M57="","",IF(P57=AL57,1,Slookup(MID(AL57,1,3)*1,UomConversion!$D$8:$J$500,5,UomConversion!$E$8:$E$500,MID(P57,1,3)*1,UomConversion!$J$8:$J$500,1)))</f>
        <v/>
      </c>
      <c r="AB57" s="2184" t="str">
        <f t="shared" si="13"/>
        <v/>
      </c>
      <c r="AC57" s="2185" t="str">
        <f t="shared" si="14"/>
        <v/>
      </c>
      <c r="AD57" s="2186" t="str">
        <f t="shared" si="15"/>
        <v/>
      </c>
      <c r="AE57" s="2187" t="str">
        <f t="shared" si="16"/>
        <v/>
      </c>
      <c r="AF57" s="2184" t="str">
        <f>IF(I57="","",IF(ISNA(MATCH(I57,IF(invoice_location_id=1,'[1]1_inventory_totals'!$C$8:$C$10000,IF(invoice_location_id=2,'[1]2_inventory_totals'!$C$8:$C$10000,0)),0)),0,IF(AS57&gt;0,1,0)))</f>
        <v/>
      </c>
      <c r="AG57" s="2184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H57" s="2184" t="str">
        <f>IF(M57="","",IF(ISNA(MATCH(I57,'[1]1_group_totals'!$C$8:$C$10000)),0,IF(AT57&gt;0,1,0)))</f>
        <v/>
      </c>
      <c r="AI57" s="2184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J57" s="2184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K57" s="2184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L57" s="2188" t="str">
        <f t="shared" si="17"/>
        <v/>
      </c>
      <c r="AM57" s="2188" t="str">
        <f>IF(OR(ISNA(MATCH(MID(AL57,1,3)*1,UomConversion!$D$8:$D$500,0)),M57=""),"",IF(AQ57="","",AQ57))</f>
        <v/>
      </c>
      <c r="AN57" s="2188" t="str">
        <f>IF(AND(AO57&gt;0,COUNTIFS(UomConversion!$D$8:$D$500,MID(AL57,1,3)*1,UomConversion!$J$8:$J$500,1)&gt;1),TEXT(AO57,"000")&amp;"."&amp;VLOOKUP(AO57,uom_list,5,FALSE),"")</f>
        <v/>
      </c>
      <c r="AO57" s="2184" t="str">
        <f t="shared" si="18"/>
        <v/>
      </c>
      <c r="AP57" s="2184" t="str">
        <f t="shared" si="19"/>
        <v/>
      </c>
      <c r="AQ57" s="2189" t="str">
        <f t="shared" si="20"/>
        <v/>
      </c>
      <c r="AR57" s="2190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2191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2190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1439"/>
      <c r="B58" s="1544"/>
      <c r="C58" s="1466"/>
      <c r="D58" s="1466"/>
      <c r="E58" s="1466"/>
      <c r="F58" s="1545"/>
      <c r="G58" s="1457"/>
      <c r="H58" s="1586"/>
      <c r="I58" s="2139" t="str">
        <f t="shared" si="8"/>
        <v/>
      </c>
      <c r="J58" s="2175" t="str">
        <f t="shared" si="25"/>
        <v/>
      </c>
      <c r="K58" s="2172" t="str">
        <f t="shared" si="113"/>
        <v/>
      </c>
      <c r="L58" s="2176"/>
      <c r="M58" s="1585"/>
      <c r="N58" s="1560"/>
      <c r="O58" s="1560"/>
      <c r="P58" s="1562"/>
      <c r="Q58" s="1563"/>
      <c r="R58" s="1569"/>
      <c r="S58" s="2178" t="str">
        <f t="shared" ref="S58" si="168">IF(M58="","",pb_currency_symbol)</f>
        <v/>
      </c>
      <c r="T58" s="1584"/>
      <c r="U58" s="2180" t="str">
        <f t="shared" si="10"/>
        <v/>
      </c>
      <c r="V58" s="2178" t="str">
        <f t="shared" ref="V58" si="169">IF(W58=0,"",pb_currency_symbol)</f>
        <v/>
      </c>
      <c r="W58" s="1570"/>
      <c r="X58" s="2178" t="str">
        <f t="shared" ref="X58" si="170">IF(M58="","",pb_currency_symbol)</f>
        <v/>
      </c>
      <c r="Y58" s="2182" t="str">
        <f t="shared" si="24"/>
        <v/>
      </c>
      <c r="Z58" s="1578"/>
      <c r="AA58" s="2183" t="str" cm="1">
        <f t="array" ref="AA58">IF(M58="","",IF(P58=AL58,1,Slookup(MID(AL58,1,3)*1,UomConversion!$D$8:$J$500,5,UomConversion!$E$8:$E$500,MID(P58,1,3)*1,UomConversion!$J$8:$J$500,1)))</f>
        <v/>
      </c>
      <c r="AB58" s="2184" t="str">
        <f t="shared" si="13"/>
        <v/>
      </c>
      <c r="AC58" s="2185" t="str">
        <f t="shared" si="14"/>
        <v/>
      </c>
      <c r="AD58" s="2186" t="str">
        <f t="shared" si="15"/>
        <v/>
      </c>
      <c r="AE58" s="2187" t="str">
        <f t="shared" si="16"/>
        <v/>
      </c>
      <c r="AF58" s="2184" t="str">
        <f>IF(I58="","",IF(ISNA(MATCH(I58,IF(invoice_location_id=1,'[1]1_inventory_totals'!$C$8:$C$10000,IF(invoice_location_id=2,'[1]2_inventory_totals'!$C$8:$C$10000,0)),0)),0,IF(AS58&gt;0,1,0)))</f>
        <v/>
      </c>
      <c r="AG58" s="2184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H58" s="2184" t="str">
        <f>IF(M58="","",IF(ISNA(MATCH(I58,'[1]1_group_totals'!$C$8:$C$10000)),0,IF(AT58&gt;0,1,0)))</f>
        <v/>
      </c>
      <c r="AI58" s="2184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J58" s="2184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K58" s="2184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L58" s="2188" t="str">
        <f t="shared" si="17"/>
        <v/>
      </c>
      <c r="AM58" s="2188" t="str">
        <f>IF(OR(ISNA(MATCH(MID(AL58,1,3)*1,UomConversion!$D$8:$D$500,0)),M58=""),"",IF(AQ58="","",AQ58))</f>
        <v/>
      </c>
      <c r="AN58" s="2188" t="str">
        <f>IF(AND(AO58&gt;0,COUNTIFS(UomConversion!$D$8:$D$500,MID(AL58,1,3)*1,UomConversion!$J$8:$J$500,1)&gt;1),TEXT(AO58,"000")&amp;"."&amp;VLOOKUP(AO58,uom_list,5,FALSE),"")</f>
        <v/>
      </c>
      <c r="AO58" s="2184" t="str">
        <f t="shared" si="18"/>
        <v/>
      </c>
      <c r="AP58" s="2184" t="str">
        <f t="shared" si="19"/>
        <v/>
      </c>
      <c r="AQ58" s="2189" t="str">
        <f t="shared" si="20"/>
        <v/>
      </c>
      <c r="AR58" s="2190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2191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2190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1439"/>
      <c r="B59" s="1544"/>
      <c r="C59" s="1466"/>
      <c r="D59" s="1466"/>
      <c r="E59" s="1466"/>
      <c r="F59" s="1545"/>
      <c r="G59" s="1457"/>
      <c r="H59" s="1586"/>
      <c r="I59" s="2139" t="str">
        <f t="shared" si="8"/>
        <v/>
      </c>
      <c r="J59" s="2175" t="str">
        <f t="shared" si="25"/>
        <v/>
      </c>
      <c r="K59" s="2172" t="str">
        <f t="shared" si="113"/>
        <v/>
      </c>
      <c r="L59" s="2176"/>
      <c r="M59" s="1585"/>
      <c r="N59" s="1560"/>
      <c r="O59" s="1560"/>
      <c r="P59" s="1562"/>
      <c r="Q59" s="1563"/>
      <c r="R59" s="1569"/>
      <c r="S59" s="2178" t="str">
        <f t="shared" ref="S59" si="171">IF(M59="","",pb_currency_symbol)</f>
        <v/>
      </c>
      <c r="T59" s="1584"/>
      <c r="U59" s="2180" t="str">
        <f t="shared" si="10"/>
        <v/>
      </c>
      <c r="V59" s="2178" t="str">
        <f t="shared" ref="V59" si="172">IF(W59=0,"",pb_currency_symbol)</f>
        <v/>
      </c>
      <c r="W59" s="1570"/>
      <c r="X59" s="2178" t="str">
        <f t="shared" ref="X59" si="173">IF(M59="","",pb_currency_symbol)</f>
        <v/>
      </c>
      <c r="Y59" s="2182" t="str">
        <f t="shared" si="24"/>
        <v/>
      </c>
      <c r="Z59" s="1578"/>
      <c r="AA59" s="2183" t="str" cm="1">
        <f t="array" ref="AA59">IF(M59="","",IF(P59=AL59,1,Slookup(MID(AL59,1,3)*1,UomConversion!$D$8:$J$500,5,UomConversion!$E$8:$E$500,MID(P59,1,3)*1,UomConversion!$J$8:$J$500,1)))</f>
        <v/>
      </c>
      <c r="AB59" s="2184" t="str">
        <f t="shared" si="13"/>
        <v/>
      </c>
      <c r="AC59" s="2185" t="str">
        <f t="shared" si="14"/>
        <v/>
      </c>
      <c r="AD59" s="2186" t="str">
        <f t="shared" si="15"/>
        <v/>
      </c>
      <c r="AE59" s="2187" t="str">
        <f t="shared" si="16"/>
        <v/>
      </c>
      <c r="AF59" s="2184" t="str">
        <f>IF(I59="","",IF(ISNA(MATCH(I59,IF(invoice_location_id=1,'[1]1_inventory_totals'!$C$8:$C$10000,IF(invoice_location_id=2,'[1]2_inventory_totals'!$C$8:$C$10000,0)),0)),0,IF(AS59&gt;0,1,0)))</f>
        <v/>
      </c>
      <c r="AG59" s="2184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H59" s="2184" t="str">
        <f>IF(M59="","",IF(ISNA(MATCH(I59,'[1]1_group_totals'!$C$8:$C$10000)),0,IF(AT59&gt;0,1,0)))</f>
        <v/>
      </c>
      <c r="AI59" s="2184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J59" s="2184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K59" s="2184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L59" s="2188" t="str">
        <f t="shared" si="17"/>
        <v/>
      </c>
      <c r="AM59" s="2188" t="str">
        <f>IF(OR(ISNA(MATCH(MID(AL59,1,3)*1,UomConversion!$D$8:$D$500,0)),M59=""),"",IF(AQ59="","",AQ59))</f>
        <v/>
      </c>
      <c r="AN59" s="2188" t="str">
        <f>IF(AND(AO59&gt;0,COUNTIFS(UomConversion!$D$8:$D$500,MID(AL59,1,3)*1,UomConversion!$J$8:$J$500,1)&gt;1),TEXT(AO59,"000")&amp;"."&amp;VLOOKUP(AO59,uom_list,5,FALSE),"")</f>
        <v/>
      </c>
      <c r="AO59" s="2184" t="str">
        <f t="shared" si="18"/>
        <v/>
      </c>
      <c r="AP59" s="2184" t="str">
        <f t="shared" si="19"/>
        <v/>
      </c>
      <c r="AQ59" s="2189" t="str">
        <f t="shared" si="20"/>
        <v/>
      </c>
      <c r="AR59" s="2190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2191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2190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1439"/>
      <c r="B60" s="1544"/>
      <c r="C60" s="1466"/>
      <c r="D60" s="1466"/>
      <c r="E60" s="1466"/>
      <c r="F60" s="1545"/>
      <c r="G60" s="1457"/>
      <c r="H60" s="1586"/>
      <c r="I60" s="2139" t="str">
        <f t="shared" si="8"/>
        <v/>
      </c>
      <c r="J60" s="2175" t="str">
        <f t="shared" si="25"/>
        <v/>
      </c>
      <c r="K60" s="2172" t="str">
        <f t="shared" si="113"/>
        <v/>
      </c>
      <c r="L60" s="2176"/>
      <c r="M60" s="1585"/>
      <c r="N60" s="1560"/>
      <c r="O60" s="1560"/>
      <c r="P60" s="1562"/>
      <c r="Q60" s="1563"/>
      <c r="R60" s="1569"/>
      <c r="S60" s="2178" t="str">
        <f t="shared" ref="S60" si="174">IF(M60="","",pb_currency_symbol)</f>
        <v/>
      </c>
      <c r="T60" s="1584"/>
      <c r="U60" s="2180" t="str">
        <f t="shared" si="10"/>
        <v/>
      </c>
      <c r="V60" s="2178" t="str">
        <f t="shared" ref="V60" si="175">IF(W60=0,"",pb_currency_symbol)</f>
        <v/>
      </c>
      <c r="W60" s="1570"/>
      <c r="X60" s="2178" t="str">
        <f t="shared" ref="X60" si="176">IF(M60="","",pb_currency_symbol)</f>
        <v/>
      </c>
      <c r="Y60" s="2182" t="str">
        <f t="shared" si="24"/>
        <v/>
      </c>
      <c r="Z60" s="1578"/>
      <c r="AA60" s="2183" t="str" cm="1">
        <f t="array" ref="AA60">IF(M60="","",IF(P60=AL60,1,Slookup(MID(AL60,1,3)*1,UomConversion!$D$8:$J$500,5,UomConversion!$E$8:$E$500,MID(P60,1,3)*1,UomConversion!$J$8:$J$500,1)))</f>
        <v/>
      </c>
      <c r="AB60" s="2184" t="str">
        <f t="shared" si="13"/>
        <v/>
      </c>
      <c r="AC60" s="2185" t="str">
        <f t="shared" si="14"/>
        <v/>
      </c>
      <c r="AD60" s="2186" t="str">
        <f t="shared" si="15"/>
        <v/>
      </c>
      <c r="AE60" s="2187" t="str">
        <f t="shared" si="16"/>
        <v/>
      </c>
      <c r="AF60" s="2184" t="str">
        <f>IF(I60="","",IF(ISNA(MATCH(I60,IF(invoice_location_id=1,'[1]1_inventory_totals'!$C$8:$C$10000,IF(invoice_location_id=2,'[1]2_inventory_totals'!$C$8:$C$10000,0)),0)),0,IF(AS60&gt;0,1,0)))</f>
        <v/>
      </c>
      <c r="AG60" s="2184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H60" s="2184" t="str">
        <f>IF(M60="","",IF(ISNA(MATCH(I60,'[1]1_group_totals'!$C$8:$C$10000)),0,IF(AT60&gt;0,1,0)))</f>
        <v/>
      </c>
      <c r="AI60" s="2184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J60" s="2184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K60" s="2184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L60" s="2188" t="str">
        <f t="shared" si="17"/>
        <v/>
      </c>
      <c r="AM60" s="2188" t="str">
        <f>IF(OR(ISNA(MATCH(MID(AL60,1,3)*1,UomConversion!$D$8:$D$500,0)),M60=""),"",IF(AQ60="","",AQ60))</f>
        <v/>
      </c>
      <c r="AN60" s="2188" t="str">
        <f>IF(AND(AO60&gt;0,COUNTIFS(UomConversion!$D$8:$D$500,MID(AL60,1,3)*1,UomConversion!$J$8:$J$500,1)&gt;1),TEXT(AO60,"000")&amp;"."&amp;VLOOKUP(AO60,uom_list,5,FALSE),"")</f>
        <v/>
      </c>
      <c r="AO60" s="2184" t="str">
        <f t="shared" si="18"/>
        <v/>
      </c>
      <c r="AP60" s="2184" t="str">
        <f t="shared" si="19"/>
        <v/>
      </c>
      <c r="AQ60" s="2189" t="str">
        <f t="shared" si="20"/>
        <v/>
      </c>
      <c r="AR60" s="2190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2191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2190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1439"/>
      <c r="B61" s="1544"/>
      <c r="C61" s="1466"/>
      <c r="D61" s="1466"/>
      <c r="E61" s="1466"/>
      <c r="F61" s="1545"/>
      <c r="G61" s="1457"/>
      <c r="H61" s="1586"/>
      <c r="I61" s="2139" t="str">
        <f t="shared" si="8"/>
        <v/>
      </c>
      <c r="J61" s="2175" t="str">
        <f t="shared" si="25"/>
        <v/>
      </c>
      <c r="K61" s="2172" t="str">
        <f t="shared" si="113"/>
        <v/>
      </c>
      <c r="L61" s="2176"/>
      <c r="M61" s="1585"/>
      <c r="N61" s="1560"/>
      <c r="O61" s="1560"/>
      <c r="P61" s="1562"/>
      <c r="Q61" s="1563"/>
      <c r="R61" s="1569"/>
      <c r="S61" s="2178" t="str">
        <f t="shared" ref="S61" si="177">IF(M61="","",pb_currency_symbol)</f>
        <v/>
      </c>
      <c r="T61" s="1584"/>
      <c r="U61" s="2180" t="str">
        <f t="shared" si="10"/>
        <v/>
      </c>
      <c r="V61" s="2178" t="str">
        <f t="shared" ref="V61" si="178">IF(W61=0,"",pb_currency_symbol)</f>
        <v/>
      </c>
      <c r="W61" s="1570"/>
      <c r="X61" s="2178" t="str">
        <f t="shared" ref="X61" si="179">IF(M61="","",pb_currency_symbol)</f>
        <v/>
      </c>
      <c r="Y61" s="2182" t="str">
        <f t="shared" si="24"/>
        <v/>
      </c>
      <c r="Z61" s="1578"/>
      <c r="AA61" s="2183" t="str" cm="1">
        <f t="array" ref="AA61">IF(M61="","",IF(P61=AL61,1,Slookup(MID(AL61,1,3)*1,UomConversion!$D$8:$J$500,5,UomConversion!$E$8:$E$500,MID(P61,1,3)*1,UomConversion!$J$8:$J$500,1)))</f>
        <v/>
      </c>
      <c r="AB61" s="2184" t="str">
        <f t="shared" si="13"/>
        <v/>
      </c>
      <c r="AC61" s="2185" t="str">
        <f t="shared" si="14"/>
        <v/>
      </c>
      <c r="AD61" s="2186" t="str">
        <f t="shared" si="15"/>
        <v/>
      </c>
      <c r="AE61" s="2187" t="str">
        <f t="shared" si="16"/>
        <v/>
      </c>
      <c r="AF61" s="2184" t="str">
        <f>IF(I61="","",IF(ISNA(MATCH(I61,IF(invoice_location_id=1,'[1]1_inventory_totals'!$C$8:$C$10000,IF(invoice_location_id=2,'[1]2_inventory_totals'!$C$8:$C$10000,0)),0)),0,IF(AS61&gt;0,1,0)))</f>
        <v/>
      </c>
      <c r="AG61" s="2184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H61" s="2184" t="str">
        <f>IF(M61="","",IF(ISNA(MATCH(I61,'[1]1_group_totals'!$C$8:$C$10000)),0,IF(AT61&gt;0,1,0)))</f>
        <v/>
      </c>
      <c r="AI61" s="2184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J61" s="2184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K61" s="2184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L61" s="2188" t="str">
        <f t="shared" si="17"/>
        <v/>
      </c>
      <c r="AM61" s="2188" t="str">
        <f>IF(OR(ISNA(MATCH(MID(AL61,1,3)*1,UomConversion!$D$8:$D$500,0)),M61=""),"",IF(AQ61="","",AQ61))</f>
        <v/>
      </c>
      <c r="AN61" s="2188" t="str">
        <f>IF(AND(AO61&gt;0,COUNTIFS(UomConversion!$D$8:$D$500,MID(AL61,1,3)*1,UomConversion!$J$8:$J$500,1)&gt;1),TEXT(AO61,"000")&amp;"."&amp;VLOOKUP(AO61,uom_list,5,FALSE),"")</f>
        <v/>
      </c>
      <c r="AO61" s="2184" t="str">
        <f t="shared" si="18"/>
        <v/>
      </c>
      <c r="AP61" s="2184" t="str">
        <f t="shared" si="19"/>
        <v/>
      </c>
      <c r="AQ61" s="2189" t="str">
        <f t="shared" si="20"/>
        <v/>
      </c>
      <c r="AR61" s="2190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2191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2190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1439"/>
      <c r="B62" s="1544"/>
      <c r="C62" s="1466"/>
      <c r="D62" s="1466"/>
      <c r="E62" s="1466"/>
      <c r="F62" s="1545"/>
      <c r="G62" s="1457"/>
      <c r="H62" s="1586"/>
      <c r="I62" s="2139" t="str">
        <f t="shared" si="8"/>
        <v/>
      </c>
      <c r="J62" s="2175" t="str">
        <f t="shared" si="25"/>
        <v/>
      </c>
      <c r="K62" s="2172" t="str">
        <f t="shared" si="113"/>
        <v/>
      </c>
      <c r="L62" s="2176"/>
      <c r="M62" s="1585"/>
      <c r="N62" s="1560"/>
      <c r="O62" s="1560"/>
      <c r="P62" s="1562"/>
      <c r="Q62" s="1563"/>
      <c r="R62" s="1569"/>
      <c r="S62" s="2178" t="str">
        <f t="shared" ref="S62" si="180">IF(M62="","",pb_currency_symbol)</f>
        <v/>
      </c>
      <c r="T62" s="1584"/>
      <c r="U62" s="2180" t="str">
        <f t="shared" si="10"/>
        <v/>
      </c>
      <c r="V62" s="2178" t="str">
        <f t="shared" ref="V62" si="181">IF(W62=0,"",pb_currency_symbol)</f>
        <v/>
      </c>
      <c r="W62" s="1570"/>
      <c r="X62" s="2178" t="str">
        <f t="shared" ref="X62" si="182">IF(M62="","",pb_currency_symbol)</f>
        <v/>
      </c>
      <c r="Y62" s="2182" t="str">
        <f t="shared" si="24"/>
        <v/>
      </c>
      <c r="Z62" s="1578"/>
      <c r="AA62" s="2183" t="str" cm="1">
        <f t="array" ref="AA62">IF(M62="","",IF(P62=AL62,1,Slookup(MID(AL62,1,3)*1,UomConversion!$D$8:$J$500,5,UomConversion!$E$8:$E$500,MID(P62,1,3)*1,UomConversion!$J$8:$J$500,1)))</f>
        <v/>
      </c>
      <c r="AB62" s="2184" t="str">
        <f t="shared" si="13"/>
        <v/>
      </c>
      <c r="AC62" s="2185" t="str">
        <f t="shared" si="14"/>
        <v/>
      </c>
      <c r="AD62" s="2186" t="str">
        <f t="shared" si="15"/>
        <v/>
      </c>
      <c r="AE62" s="2187" t="str">
        <f t="shared" si="16"/>
        <v/>
      </c>
      <c r="AF62" s="2184" t="str">
        <f>IF(I62="","",IF(ISNA(MATCH(I62,IF(invoice_location_id=1,'[1]1_inventory_totals'!$C$8:$C$10000,IF(invoice_location_id=2,'[1]2_inventory_totals'!$C$8:$C$10000,0)),0)),0,IF(AS62&gt;0,1,0)))</f>
        <v/>
      </c>
      <c r="AG62" s="2184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H62" s="2184" t="str">
        <f>IF(M62="","",IF(ISNA(MATCH(I62,'[1]1_group_totals'!$C$8:$C$10000)),0,IF(AT62&gt;0,1,0)))</f>
        <v/>
      </c>
      <c r="AI62" s="2184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J62" s="2184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K62" s="2184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L62" s="2188" t="str">
        <f t="shared" si="17"/>
        <v/>
      </c>
      <c r="AM62" s="2188" t="str">
        <f>IF(OR(ISNA(MATCH(MID(AL62,1,3)*1,UomConversion!$D$8:$D$500,0)),M62=""),"",IF(AQ62="","",AQ62))</f>
        <v/>
      </c>
      <c r="AN62" s="2188" t="str">
        <f>IF(AND(AO62&gt;0,COUNTIFS(UomConversion!$D$8:$D$500,MID(AL62,1,3)*1,UomConversion!$J$8:$J$500,1)&gt;1),TEXT(AO62,"000")&amp;"."&amp;VLOOKUP(AO62,uom_list,5,FALSE),"")</f>
        <v/>
      </c>
      <c r="AO62" s="2184" t="str">
        <f t="shared" si="18"/>
        <v/>
      </c>
      <c r="AP62" s="2184" t="str">
        <f t="shared" si="19"/>
        <v/>
      </c>
      <c r="AQ62" s="2189" t="str">
        <f t="shared" si="20"/>
        <v/>
      </c>
      <c r="AR62" s="2190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2191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2190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1439"/>
      <c r="B63" s="1544"/>
      <c r="C63" s="1466"/>
      <c r="D63" s="1466"/>
      <c r="E63" s="1466"/>
      <c r="F63" s="1545"/>
      <c r="G63" s="1457"/>
      <c r="H63" s="1586"/>
      <c r="I63" s="2139" t="str">
        <f t="shared" si="8"/>
        <v/>
      </c>
      <c r="J63" s="2175" t="str">
        <f t="shared" si="25"/>
        <v/>
      </c>
      <c r="K63" s="2172" t="str">
        <f t="shared" si="113"/>
        <v/>
      </c>
      <c r="L63" s="2176"/>
      <c r="M63" s="1585"/>
      <c r="N63" s="1560"/>
      <c r="O63" s="1560"/>
      <c r="P63" s="1562"/>
      <c r="Q63" s="1563"/>
      <c r="R63" s="1569"/>
      <c r="S63" s="2178" t="str">
        <f t="shared" ref="S63" si="183">IF(M63="","",pb_currency_symbol)</f>
        <v/>
      </c>
      <c r="T63" s="1584"/>
      <c r="U63" s="2180" t="str">
        <f t="shared" si="10"/>
        <v/>
      </c>
      <c r="V63" s="2178" t="str">
        <f t="shared" ref="V63" si="184">IF(W63=0,"",pb_currency_symbol)</f>
        <v/>
      </c>
      <c r="W63" s="1570"/>
      <c r="X63" s="2178" t="str">
        <f t="shared" ref="X63" si="185">IF(M63="","",pb_currency_symbol)</f>
        <v/>
      </c>
      <c r="Y63" s="2182" t="str">
        <f t="shared" si="24"/>
        <v/>
      </c>
      <c r="Z63" s="1578"/>
      <c r="AA63" s="2183" t="str" cm="1">
        <f t="array" ref="AA63">IF(M63="","",IF(P63=AL63,1,Slookup(MID(AL63,1,3)*1,UomConversion!$D$8:$J$500,5,UomConversion!$E$8:$E$500,MID(P63,1,3)*1,UomConversion!$J$8:$J$500,1)))</f>
        <v/>
      </c>
      <c r="AB63" s="2184" t="str">
        <f t="shared" si="13"/>
        <v/>
      </c>
      <c r="AC63" s="2185" t="str">
        <f t="shared" si="14"/>
        <v/>
      </c>
      <c r="AD63" s="2186" t="str">
        <f t="shared" si="15"/>
        <v/>
      </c>
      <c r="AE63" s="2187" t="str">
        <f t="shared" si="16"/>
        <v/>
      </c>
      <c r="AF63" s="2184" t="str">
        <f>IF(I63="","",IF(ISNA(MATCH(I63,IF(invoice_location_id=1,'[1]1_inventory_totals'!$C$8:$C$10000,IF(invoice_location_id=2,'[1]2_inventory_totals'!$C$8:$C$10000,0)),0)),0,IF(AS63&gt;0,1,0)))</f>
        <v/>
      </c>
      <c r="AG63" s="2184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H63" s="2184" t="str">
        <f>IF(M63="","",IF(ISNA(MATCH(I63,'[1]1_group_totals'!$C$8:$C$10000)),0,IF(AT63&gt;0,1,0)))</f>
        <v/>
      </c>
      <c r="AI63" s="2184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J63" s="2184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K63" s="2184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L63" s="2188" t="str">
        <f t="shared" si="17"/>
        <v/>
      </c>
      <c r="AM63" s="2188" t="str">
        <f>IF(OR(ISNA(MATCH(MID(AL63,1,3)*1,UomConversion!$D$8:$D$500,0)),M63=""),"",IF(AQ63="","",AQ63))</f>
        <v/>
      </c>
      <c r="AN63" s="2188" t="str">
        <f>IF(AND(AO63&gt;0,COUNTIFS(UomConversion!$D$8:$D$500,MID(AL63,1,3)*1,UomConversion!$J$8:$J$500,1)&gt;1),TEXT(AO63,"000")&amp;"."&amp;VLOOKUP(AO63,uom_list,5,FALSE),"")</f>
        <v/>
      </c>
      <c r="AO63" s="2184" t="str">
        <f t="shared" si="18"/>
        <v/>
      </c>
      <c r="AP63" s="2184" t="str">
        <f t="shared" si="19"/>
        <v/>
      </c>
      <c r="AQ63" s="2189" t="str">
        <f t="shared" si="20"/>
        <v/>
      </c>
      <c r="AR63" s="2190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2191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2190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1439"/>
      <c r="B64" s="1544"/>
      <c r="C64" s="1466"/>
      <c r="D64" s="1466"/>
      <c r="E64" s="1466"/>
      <c r="F64" s="1545"/>
      <c r="G64" s="1457"/>
      <c r="H64" s="1586"/>
      <c r="I64" s="2139" t="str">
        <f t="shared" si="8"/>
        <v/>
      </c>
      <c r="J64" s="2175" t="str">
        <f t="shared" si="25"/>
        <v/>
      </c>
      <c r="K64" s="2172" t="str">
        <f t="shared" si="113"/>
        <v/>
      </c>
      <c r="L64" s="2176"/>
      <c r="M64" s="1585"/>
      <c r="N64" s="1560"/>
      <c r="O64" s="1560"/>
      <c r="P64" s="1562"/>
      <c r="Q64" s="1563"/>
      <c r="R64" s="1569"/>
      <c r="S64" s="2178" t="str">
        <f t="shared" ref="S64" si="186">IF(M64="","",pb_currency_symbol)</f>
        <v/>
      </c>
      <c r="T64" s="1584"/>
      <c r="U64" s="2180" t="str">
        <f t="shared" si="10"/>
        <v/>
      </c>
      <c r="V64" s="2178" t="str">
        <f t="shared" ref="V64" si="187">IF(W64=0,"",pb_currency_symbol)</f>
        <v/>
      </c>
      <c r="W64" s="1570"/>
      <c r="X64" s="2178" t="str">
        <f t="shared" ref="X64" si="188">IF(M64="","",pb_currency_symbol)</f>
        <v/>
      </c>
      <c r="Y64" s="2182" t="str">
        <f t="shared" si="24"/>
        <v/>
      </c>
      <c r="Z64" s="1578"/>
      <c r="AA64" s="2183" t="str" cm="1">
        <f t="array" ref="AA64">IF(M64="","",IF(P64=AL64,1,Slookup(MID(AL64,1,3)*1,UomConversion!$D$8:$J$500,5,UomConversion!$E$8:$E$500,MID(P64,1,3)*1,UomConversion!$J$8:$J$500,1)))</f>
        <v/>
      </c>
      <c r="AB64" s="2184" t="str">
        <f t="shared" si="13"/>
        <v/>
      </c>
      <c r="AC64" s="2185" t="str">
        <f t="shared" si="14"/>
        <v/>
      </c>
      <c r="AD64" s="2186" t="str">
        <f t="shared" si="15"/>
        <v/>
      </c>
      <c r="AE64" s="2187" t="str">
        <f t="shared" si="16"/>
        <v/>
      </c>
      <c r="AF64" s="2184" t="str">
        <f>IF(I64="","",IF(ISNA(MATCH(I64,IF(invoice_location_id=1,'[1]1_inventory_totals'!$C$8:$C$10000,IF(invoice_location_id=2,'[1]2_inventory_totals'!$C$8:$C$10000,0)),0)),0,IF(AS64&gt;0,1,0)))</f>
        <v/>
      </c>
      <c r="AG64" s="2184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H64" s="2184" t="str">
        <f>IF(M64="","",IF(ISNA(MATCH(I64,'[1]1_group_totals'!$C$8:$C$10000)),0,IF(AT64&gt;0,1,0)))</f>
        <v/>
      </c>
      <c r="AI64" s="2184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J64" s="2184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K64" s="2184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L64" s="2188" t="str">
        <f t="shared" si="17"/>
        <v/>
      </c>
      <c r="AM64" s="2188" t="str">
        <f>IF(OR(ISNA(MATCH(MID(AL64,1,3)*1,UomConversion!$D$8:$D$500,0)),M64=""),"",IF(AQ64="","",AQ64))</f>
        <v/>
      </c>
      <c r="AN64" s="2188" t="str">
        <f>IF(AND(AO64&gt;0,COUNTIFS(UomConversion!$D$8:$D$500,MID(AL64,1,3)*1,UomConversion!$J$8:$J$500,1)&gt;1),TEXT(AO64,"000")&amp;"."&amp;VLOOKUP(AO64,uom_list,5,FALSE),"")</f>
        <v/>
      </c>
      <c r="AO64" s="2184" t="str">
        <f t="shared" si="18"/>
        <v/>
      </c>
      <c r="AP64" s="2184" t="str">
        <f t="shared" si="19"/>
        <v/>
      </c>
      <c r="AQ64" s="2189" t="str">
        <f t="shared" si="20"/>
        <v/>
      </c>
      <c r="AR64" s="2190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2191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2190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1439"/>
      <c r="B65" s="1544"/>
      <c r="C65" s="1466"/>
      <c r="D65" s="1466"/>
      <c r="E65" s="1466"/>
      <c r="F65" s="1545"/>
      <c r="G65" s="1457"/>
      <c r="H65" s="1586"/>
      <c r="I65" s="2139" t="str">
        <f t="shared" si="8"/>
        <v/>
      </c>
      <c r="J65" s="2175" t="str">
        <f t="shared" si="25"/>
        <v/>
      </c>
      <c r="K65" s="2172" t="str">
        <f t="shared" si="113"/>
        <v/>
      </c>
      <c r="L65" s="2176"/>
      <c r="M65" s="1585"/>
      <c r="N65" s="1560"/>
      <c r="O65" s="1560"/>
      <c r="P65" s="1562"/>
      <c r="Q65" s="1563"/>
      <c r="R65" s="1569"/>
      <c r="S65" s="2178" t="str">
        <f t="shared" ref="S65" si="189">IF(M65="","",pb_currency_symbol)</f>
        <v/>
      </c>
      <c r="T65" s="1584"/>
      <c r="U65" s="2180" t="str">
        <f t="shared" si="10"/>
        <v/>
      </c>
      <c r="V65" s="2178" t="str">
        <f t="shared" ref="V65" si="190">IF(W65=0,"",pb_currency_symbol)</f>
        <v/>
      </c>
      <c r="W65" s="1570"/>
      <c r="X65" s="2178" t="str">
        <f t="shared" ref="X65" si="191">IF(M65="","",pb_currency_symbol)</f>
        <v/>
      </c>
      <c r="Y65" s="2182" t="str">
        <f t="shared" si="24"/>
        <v/>
      </c>
      <c r="Z65" s="1578"/>
      <c r="AA65" s="2183" t="str" cm="1">
        <f t="array" ref="AA65">IF(M65="","",IF(P65=AL65,1,Slookup(MID(AL65,1,3)*1,UomConversion!$D$8:$J$500,5,UomConversion!$E$8:$E$500,MID(P65,1,3)*1,UomConversion!$J$8:$J$500,1)))</f>
        <v/>
      </c>
      <c r="AB65" s="2184" t="str">
        <f t="shared" si="13"/>
        <v/>
      </c>
      <c r="AC65" s="2185" t="str">
        <f t="shared" si="14"/>
        <v/>
      </c>
      <c r="AD65" s="2186" t="str">
        <f t="shared" si="15"/>
        <v/>
      </c>
      <c r="AE65" s="2187" t="str">
        <f t="shared" si="16"/>
        <v/>
      </c>
      <c r="AF65" s="2184" t="str">
        <f>IF(I65="","",IF(ISNA(MATCH(I65,IF(invoice_location_id=1,'[1]1_inventory_totals'!$C$8:$C$10000,IF(invoice_location_id=2,'[1]2_inventory_totals'!$C$8:$C$10000,0)),0)),0,IF(AS65&gt;0,1,0)))</f>
        <v/>
      </c>
      <c r="AG65" s="2184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H65" s="2184" t="str">
        <f>IF(M65="","",IF(ISNA(MATCH(I65,'[1]1_group_totals'!$C$8:$C$10000)),0,IF(AT65&gt;0,1,0)))</f>
        <v/>
      </c>
      <c r="AI65" s="2184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J65" s="2184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K65" s="2184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L65" s="2188" t="str">
        <f t="shared" si="17"/>
        <v/>
      </c>
      <c r="AM65" s="2188" t="str">
        <f>IF(OR(ISNA(MATCH(MID(AL65,1,3)*1,UomConversion!$D$8:$D$500,0)),M65=""),"",IF(AQ65="","",AQ65))</f>
        <v/>
      </c>
      <c r="AN65" s="2188" t="str">
        <f>IF(AND(AO65&gt;0,COUNTIFS(UomConversion!$D$8:$D$500,MID(AL65,1,3)*1,UomConversion!$J$8:$J$500,1)&gt;1),TEXT(AO65,"000")&amp;"."&amp;VLOOKUP(AO65,uom_list,5,FALSE),"")</f>
        <v/>
      </c>
      <c r="AO65" s="2184" t="str">
        <f t="shared" si="18"/>
        <v/>
      </c>
      <c r="AP65" s="2184" t="str">
        <f t="shared" si="19"/>
        <v/>
      </c>
      <c r="AQ65" s="2189" t="str">
        <f t="shared" si="20"/>
        <v/>
      </c>
      <c r="AR65" s="2190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2191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2190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1439"/>
      <c r="B66" s="1544"/>
      <c r="C66" s="1466"/>
      <c r="D66" s="1466"/>
      <c r="E66" s="1466"/>
      <c r="F66" s="1545"/>
      <c r="G66" s="1457"/>
      <c r="H66" s="1586"/>
      <c r="I66" s="2139" t="str">
        <f t="shared" si="8"/>
        <v/>
      </c>
      <c r="J66" s="2175" t="str">
        <f t="shared" si="25"/>
        <v/>
      </c>
      <c r="K66" s="2172" t="str">
        <f t="shared" si="113"/>
        <v/>
      </c>
      <c r="L66" s="2176"/>
      <c r="M66" s="1585"/>
      <c r="N66" s="1560"/>
      <c r="O66" s="1560"/>
      <c r="P66" s="1562"/>
      <c r="Q66" s="1563"/>
      <c r="R66" s="1569"/>
      <c r="S66" s="2178" t="str">
        <f t="shared" ref="S66" si="192">IF(M66="","",pb_currency_symbol)</f>
        <v/>
      </c>
      <c r="T66" s="1584"/>
      <c r="U66" s="2180" t="str">
        <f t="shared" si="10"/>
        <v/>
      </c>
      <c r="V66" s="2178" t="str">
        <f t="shared" ref="V66" si="193">IF(W66=0,"",pb_currency_symbol)</f>
        <v/>
      </c>
      <c r="W66" s="1570"/>
      <c r="X66" s="2178" t="str">
        <f t="shared" ref="X66" si="194">IF(M66="","",pb_currency_symbol)</f>
        <v/>
      </c>
      <c r="Y66" s="2182" t="str">
        <f t="shared" si="24"/>
        <v/>
      </c>
      <c r="Z66" s="1578"/>
      <c r="AA66" s="2183" t="str" cm="1">
        <f t="array" ref="AA66">IF(M66="","",IF(P66=AL66,1,Slookup(MID(AL66,1,3)*1,UomConversion!$D$8:$J$500,5,UomConversion!$E$8:$E$500,MID(P66,1,3)*1,UomConversion!$J$8:$J$500,1)))</f>
        <v/>
      </c>
      <c r="AB66" s="2184" t="str">
        <f t="shared" si="13"/>
        <v/>
      </c>
      <c r="AC66" s="2185" t="str">
        <f t="shared" si="14"/>
        <v/>
      </c>
      <c r="AD66" s="2186" t="str">
        <f t="shared" si="15"/>
        <v/>
      </c>
      <c r="AE66" s="2187" t="str">
        <f t="shared" si="16"/>
        <v/>
      </c>
      <c r="AF66" s="2184" t="str">
        <f>IF(I66="","",IF(ISNA(MATCH(I66,IF(invoice_location_id=1,'[1]1_inventory_totals'!$C$8:$C$10000,IF(invoice_location_id=2,'[1]2_inventory_totals'!$C$8:$C$10000,0)),0)),0,IF(AS66&gt;0,1,0)))</f>
        <v/>
      </c>
      <c r="AG66" s="2184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H66" s="2184" t="str">
        <f>IF(M66="","",IF(ISNA(MATCH(I66,'[1]1_group_totals'!$C$8:$C$10000)),0,IF(AT66&gt;0,1,0)))</f>
        <v/>
      </c>
      <c r="AI66" s="2184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J66" s="2184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K66" s="2184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L66" s="2188" t="str">
        <f t="shared" si="17"/>
        <v/>
      </c>
      <c r="AM66" s="2188" t="str">
        <f>IF(OR(ISNA(MATCH(MID(AL66,1,3)*1,UomConversion!$D$8:$D$500,0)),M66=""),"",IF(AQ66="","",AQ66))</f>
        <v/>
      </c>
      <c r="AN66" s="2188" t="str">
        <f>IF(AND(AO66&gt;0,COUNTIFS(UomConversion!$D$8:$D$500,MID(AL66,1,3)*1,UomConversion!$J$8:$J$500,1)&gt;1),TEXT(AO66,"000")&amp;"."&amp;VLOOKUP(AO66,uom_list,5,FALSE),"")</f>
        <v/>
      </c>
      <c r="AO66" s="2184" t="str">
        <f t="shared" si="18"/>
        <v/>
      </c>
      <c r="AP66" s="2184" t="str">
        <f t="shared" si="19"/>
        <v/>
      </c>
      <c r="AQ66" s="2189" t="str">
        <f t="shared" si="20"/>
        <v/>
      </c>
      <c r="AR66" s="2190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2191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2190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1439"/>
      <c r="B67" s="1544"/>
      <c r="C67" s="1466"/>
      <c r="D67" s="1466"/>
      <c r="E67" s="1466"/>
      <c r="F67" s="1545"/>
      <c r="G67" s="1457"/>
      <c r="H67" s="1586"/>
      <c r="I67" s="2139" t="str">
        <f t="shared" si="8"/>
        <v/>
      </c>
      <c r="J67" s="2175" t="str">
        <f t="shared" si="25"/>
        <v/>
      </c>
      <c r="K67" s="2172" t="str">
        <f t="shared" si="113"/>
        <v/>
      </c>
      <c r="L67" s="2176"/>
      <c r="M67" s="1585"/>
      <c r="N67" s="1560"/>
      <c r="O67" s="1560"/>
      <c r="P67" s="1562"/>
      <c r="Q67" s="1563"/>
      <c r="R67" s="1569"/>
      <c r="S67" s="2178" t="str">
        <f t="shared" ref="S67" si="195">IF(M67="","",pb_currency_symbol)</f>
        <v/>
      </c>
      <c r="T67" s="1584"/>
      <c r="U67" s="2180" t="str">
        <f t="shared" si="10"/>
        <v/>
      </c>
      <c r="V67" s="2178" t="str">
        <f t="shared" ref="V67" si="196">IF(W67=0,"",pb_currency_symbol)</f>
        <v/>
      </c>
      <c r="W67" s="1570"/>
      <c r="X67" s="2178" t="str">
        <f t="shared" ref="X67" si="197">IF(M67="","",pb_currency_symbol)</f>
        <v/>
      </c>
      <c r="Y67" s="2182" t="str">
        <f t="shared" si="24"/>
        <v/>
      </c>
      <c r="Z67" s="1578"/>
      <c r="AA67" s="2183" t="str" cm="1">
        <f t="array" ref="AA67">IF(M67="","",IF(P67=AL67,1,Slookup(MID(AL67,1,3)*1,UomConversion!$D$8:$J$500,5,UomConversion!$E$8:$E$500,MID(P67,1,3)*1,UomConversion!$J$8:$J$500,1)))</f>
        <v/>
      </c>
      <c r="AB67" s="2184" t="str">
        <f t="shared" si="13"/>
        <v/>
      </c>
      <c r="AC67" s="2185" t="str">
        <f t="shared" si="14"/>
        <v/>
      </c>
      <c r="AD67" s="2186" t="str">
        <f t="shared" si="15"/>
        <v/>
      </c>
      <c r="AE67" s="2187" t="str">
        <f t="shared" si="16"/>
        <v/>
      </c>
      <c r="AF67" s="2184" t="str">
        <f>IF(I67="","",IF(ISNA(MATCH(I67,IF(invoice_location_id=1,'[1]1_inventory_totals'!$C$8:$C$10000,IF(invoice_location_id=2,'[1]2_inventory_totals'!$C$8:$C$10000,0)),0)),0,IF(AS67&gt;0,1,0)))</f>
        <v/>
      </c>
      <c r="AG67" s="2184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H67" s="2184" t="str">
        <f>IF(M67="","",IF(ISNA(MATCH(I67,'[1]1_group_totals'!$C$8:$C$10000)),0,IF(AT67&gt;0,1,0)))</f>
        <v/>
      </c>
      <c r="AI67" s="2184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J67" s="2184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K67" s="2184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L67" s="2188" t="str">
        <f t="shared" si="17"/>
        <v/>
      </c>
      <c r="AM67" s="2188" t="str">
        <f>IF(OR(ISNA(MATCH(MID(AL67,1,3)*1,UomConversion!$D$8:$D$500,0)),M67=""),"",IF(AQ67="","",AQ67))</f>
        <v/>
      </c>
      <c r="AN67" s="2188" t="str">
        <f>IF(AND(AO67&gt;0,COUNTIFS(UomConversion!$D$8:$D$500,MID(AL67,1,3)*1,UomConversion!$J$8:$J$500,1)&gt;1),TEXT(AO67,"000")&amp;"."&amp;VLOOKUP(AO67,uom_list,5,FALSE),"")</f>
        <v/>
      </c>
      <c r="AO67" s="2184" t="str">
        <f t="shared" si="18"/>
        <v/>
      </c>
      <c r="AP67" s="2184" t="str">
        <f t="shared" si="19"/>
        <v/>
      </c>
      <c r="AQ67" s="2189" t="str">
        <f t="shared" si="20"/>
        <v/>
      </c>
      <c r="AR67" s="2190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2191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2190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1439"/>
      <c r="B68" s="1544"/>
      <c r="C68" s="1466"/>
      <c r="D68" s="1466"/>
      <c r="E68" s="1466"/>
      <c r="F68" s="1545"/>
      <c r="G68" s="1457"/>
      <c r="H68" s="1586"/>
      <c r="I68" s="2139" t="str">
        <f t="shared" si="8"/>
        <v/>
      </c>
      <c r="J68" s="2175" t="str">
        <f t="shared" si="25"/>
        <v/>
      </c>
      <c r="K68" s="2172" t="str">
        <f t="shared" si="113"/>
        <v/>
      </c>
      <c r="L68" s="2176"/>
      <c r="M68" s="1585"/>
      <c r="N68" s="1560"/>
      <c r="O68" s="1560"/>
      <c r="P68" s="1562"/>
      <c r="Q68" s="1563"/>
      <c r="R68" s="1569"/>
      <c r="S68" s="2178" t="str">
        <f t="shared" ref="S68" si="198">IF(M68="","",pb_currency_symbol)</f>
        <v/>
      </c>
      <c r="T68" s="1584"/>
      <c r="U68" s="2180" t="str">
        <f t="shared" si="10"/>
        <v/>
      </c>
      <c r="V68" s="2178" t="str">
        <f t="shared" ref="V68" si="199">IF(W68=0,"",pb_currency_symbol)</f>
        <v/>
      </c>
      <c r="W68" s="1570"/>
      <c r="X68" s="2178" t="str">
        <f t="shared" ref="X68" si="200">IF(M68="","",pb_currency_symbol)</f>
        <v/>
      </c>
      <c r="Y68" s="2182" t="str">
        <f t="shared" si="24"/>
        <v/>
      </c>
      <c r="Z68" s="1578"/>
      <c r="AA68" s="2183" t="str" cm="1">
        <f t="array" ref="AA68">IF(M68="","",IF(P68=AL68,1,Slookup(MID(AL68,1,3)*1,UomConversion!$D$8:$J$500,5,UomConversion!$E$8:$E$500,MID(P68,1,3)*1,UomConversion!$J$8:$J$500,1)))</f>
        <v/>
      </c>
      <c r="AB68" s="2184" t="str">
        <f t="shared" si="13"/>
        <v/>
      </c>
      <c r="AC68" s="2185" t="str">
        <f t="shared" si="14"/>
        <v/>
      </c>
      <c r="AD68" s="2186" t="str">
        <f t="shared" si="15"/>
        <v/>
      </c>
      <c r="AE68" s="2187" t="str">
        <f t="shared" si="16"/>
        <v/>
      </c>
      <c r="AF68" s="2184" t="str">
        <f>IF(I68="","",IF(ISNA(MATCH(I68,IF(invoice_location_id=1,'[1]1_inventory_totals'!$C$8:$C$10000,IF(invoice_location_id=2,'[1]2_inventory_totals'!$C$8:$C$10000,0)),0)),0,IF(AS68&gt;0,1,0)))</f>
        <v/>
      </c>
      <c r="AG68" s="2184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H68" s="2184" t="str">
        <f>IF(M68="","",IF(ISNA(MATCH(I68,'[1]1_group_totals'!$C$8:$C$10000)),0,IF(AT68&gt;0,1,0)))</f>
        <v/>
      </c>
      <c r="AI68" s="2184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J68" s="2184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K68" s="2184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L68" s="2188" t="str">
        <f t="shared" si="17"/>
        <v/>
      </c>
      <c r="AM68" s="2188" t="str">
        <f>IF(OR(ISNA(MATCH(MID(AL68,1,3)*1,UomConversion!$D$8:$D$500,0)),M68=""),"",IF(AQ68="","",AQ68))</f>
        <v/>
      </c>
      <c r="AN68" s="2188" t="str">
        <f>IF(AND(AO68&gt;0,COUNTIFS(UomConversion!$D$8:$D$500,MID(AL68,1,3)*1,UomConversion!$J$8:$J$500,1)&gt;1),TEXT(AO68,"000")&amp;"."&amp;VLOOKUP(AO68,uom_list,5,FALSE),"")</f>
        <v/>
      </c>
      <c r="AO68" s="2184" t="str">
        <f t="shared" si="18"/>
        <v/>
      </c>
      <c r="AP68" s="2184" t="str">
        <f t="shared" si="19"/>
        <v/>
      </c>
      <c r="AQ68" s="2189" t="str">
        <f t="shared" si="20"/>
        <v/>
      </c>
      <c r="AR68" s="2190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2191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2190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1439"/>
      <c r="B69" s="1544"/>
      <c r="C69" s="1466"/>
      <c r="D69" s="1466"/>
      <c r="E69" s="1466"/>
      <c r="F69" s="1545"/>
      <c r="G69" s="1457"/>
      <c r="H69" s="1586"/>
      <c r="I69" s="2139" t="str">
        <f t="shared" si="8"/>
        <v/>
      </c>
      <c r="J69" s="2175" t="str">
        <f t="shared" si="25"/>
        <v/>
      </c>
      <c r="K69" s="2172" t="str">
        <f t="shared" si="113"/>
        <v/>
      </c>
      <c r="L69" s="2176"/>
      <c r="M69" s="1585"/>
      <c r="N69" s="1560"/>
      <c r="O69" s="1560"/>
      <c r="P69" s="1562"/>
      <c r="Q69" s="1563"/>
      <c r="R69" s="1569"/>
      <c r="S69" s="2178" t="str">
        <f t="shared" ref="S69" si="201">IF(M69="","",pb_currency_symbol)</f>
        <v/>
      </c>
      <c r="T69" s="1584"/>
      <c r="U69" s="2180" t="str">
        <f t="shared" si="10"/>
        <v/>
      </c>
      <c r="V69" s="2178" t="str">
        <f t="shared" ref="V69" si="202">IF(W69=0,"",pb_currency_symbol)</f>
        <v/>
      </c>
      <c r="W69" s="1570"/>
      <c r="X69" s="2178" t="str">
        <f t="shared" ref="X69" si="203">IF(M69="","",pb_currency_symbol)</f>
        <v/>
      </c>
      <c r="Y69" s="2182" t="str">
        <f t="shared" si="24"/>
        <v/>
      </c>
      <c r="Z69" s="1578"/>
      <c r="AA69" s="2183" t="str" cm="1">
        <f t="array" ref="AA69">IF(M69="","",IF(P69=AL69,1,Slookup(MID(AL69,1,3)*1,UomConversion!$D$8:$J$500,5,UomConversion!$E$8:$E$500,MID(P69,1,3)*1,UomConversion!$J$8:$J$500,1)))</f>
        <v/>
      </c>
      <c r="AB69" s="2184" t="str">
        <f t="shared" si="13"/>
        <v/>
      </c>
      <c r="AC69" s="2185" t="str">
        <f t="shared" si="14"/>
        <v/>
      </c>
      <c r="AD69" s="2186" t="str">
        <f t="shared" si="15"/>
        <v/>
      </c>
      <c r="AE69" s="2187" t="str">
        <f t="shared" si="16"/>
        <v/>
      </c>
      <c r="AF69" s="2184" t="str">
        <f>IF(I69="","",IF(ISNA(MATCH(I69,IF(invoice_location_id=1,'[1]1_inventory_totals'!$C$8:$C$10000,IF(invoice_location_id=2,'[1]2_inventory_totals'!$C$8:$C$10000,0)),0)),0,IF(AS69&gt;0,1,0)))</f>
        <v/>
      </c>
      <c r="AG69" s="2184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H69" s="2184" t="str">
        <f>IF(M69="","",IF(ISNA(MATCH(I69,'[1]1_group_totals'!$C$8:$C$10000)),0,IF(AT69&gt;0,1,0)))</f>
        <v/>
      </c>
      <c r="AI69" s="2184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J69" s="2184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K69" s="2184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L69" s="2188" t="str">
        <f t="shared" si="17"/>
        <v/>
      </c>
      <c r="AM69" s="2188" t="str">
        <f>IF(OR(ISNA(MATCH(MID(AL69,1,3)*1,UomConversion!$D$8:$D$500,0)),M69=""),"",IF(AQ69="","",AQ69))</f>
        <v/>
      </c>
      <c r="AN69" s="2188" t="str">
        <f>IF(AND(AO69&gt;0,COUNTIFS(UomConversion!$D$8:$D$500,MID(AL69,1,3)*1,UomConversion!$J$8:$J$500,1)&gt;1),TEXT(AO69,"000")&amp;"."&amp;VLOOKUP(AO69,uom_list,5,FALSE),"")</f>
        <v/>
      </c>
      <c r="AO69" s="2184" t="str">
        <f t="shared" si="18"/>
        <v/>
      </c>
      <c r="AP69" s="2184" t="str">
        <f t="shared" si="19"/>
        <v/>
      </c>
      <c r="AQ69" s="2189" t="str">
        <f t="shared" si="20"/>
        <v/>
      </c>
      <c r="AR69" s="2190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2191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2190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1439"/>
      <c r="B70" s="1544"/>
      <c r="C70" s="1466"/>
      <c r="D70" s="1466"/>
      <c r="E70" s="1466"/>
      <c r="F70" s="1545"/>
      <c r="G70" s="1457"/>
      <c r="H70" s="1586"/>
      <c r="I70" s="2139" t="str">
        <f t="shared" si="8"/>
        <v/>
      </c>
      <c r="J70" s="2175" t="str">
        <f t="shared" si="25"/>
        <v/>
      </c>
      <c r="K70" s="2172" t="str">
        <f t="shared" si="113"/>
        <v/>
      </c>
      <c r="L70" s="2176"/>
      <c r="M70" s="1585"/>
      <c r="N70" s="1560"/>
      <c r="O70" s="1560"/>
      <c r="P70" s="1562"/>
      <c r="Q70" s="1563"/>
      <c r="R70" s="1569"/>
      <c r="S70" s="2178" t="str">
        <f t="shared" ref="S70" si="204">IF(M70="","",pb_currency_symbol)</f>
        <v/>
      </c>
      <c r="T70" s="1584"/>
      <c r="U70" s="2180" t="str">
        <f t="shared" si="10"/>
        <v/>
      </c>
      <c r="V70" s="2178" t="str">
        <f t="shared" ref="V70" si="205">IF(W70=0,"",pb_currency_symbol)</f>
        <v/>
      </c>
      <c r="W70" s="1570"/>
      <c r="X70" s="2178" t="str">
        <f t="shared" ref="X70" si="206">IF(M70="","",pb_currency_symbol)</f>
        <v/>
      </c>
      <c r="Y70" s="2182" t="str">
        <f t="shared" si="24"/>
        <v/>
      </c>
      <c r="Z70" s="1578"/>
      <c r="AA70" s="2183" t="str" cm="1">
        <f t="array" ref="AA70">IF(M70="","",IF(P70=AL70,1,Slookup(MID(AL70,1,3)*1,UomConversion!$D$8:$J$500,5,UomConversion!$E$8:$E$500,MID(P70,1,3)*1,UomConversion!$J$8:$J$500,1)))</f>
        <v/>
      </c>
      <c r="AB70" s="2184" t="str">
        <f t="shared" si="13"/>
        <v/>
      </c>
      <c r="AC70" s="2185" t="str">
        <f t="shared" si="14"/>
        <v/>
      </c>
      <c r="AD70" s="2186" t="str">
        <f t="shared" si="15"/>
        <v/>
      </c>
      <c r="AE70" s="2187" t="str">
        <f t="shared" si="16"/>
        <v/>
      </c>
      <c r="AF70" s="2184" t="str">
        <f>IF(I70="","",IF(ISNA(MATCH(I70,IF(invoice_location_id=1,'[1]1_inventory_totals'!$C$8:$C$10000,IF(invoice_location_id=2,'[1]2_inventory_totals'!$C$8:$C$10000,0)),0)),0,IF(AS70&gt;0,1,0)))</f>
        <v/>
      </c>
      <c r="AG70" s="2184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H70" s="2184" t="str">
        <f>IF(M70="","",IF(ISNA(MATCH(I70,'[1]1_group_totals'!$C$8:$C$10000)),0,IF(AT70&gt;0,1,0)))</f>
        <v/>
      </c>
      <c r="AI70" s="2184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J70" s="2184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K70" s="2184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L70" s="2188" t="str">
        <f t="shared" si="17"/>
        <v/>
      </c>
      <c r="AM70" s="2188" t="str">
        <f>IF(OR(ISNA(MATCH(MID(AL70,1,3)*1,UomConversion!$D$8:$D$500,0)),M70=""),"",IF(AQ70="","",AQ70))</f>
        <v/>
      </c>
      <c r="AN70" s="2188" t="str">
        <f>IF(AND(AO70&gt;0,COUNTIFS(UomConversion!$D$8:$D$500,MID(AL70,1,3)*1,UomConversion!$J$8:$J$500,1)&gt;1),TEXT(AO70,"000")&amp;"."&amp;VLOOKUP(AO70,uom_list,5,FALSE),"")</f>
        <v/>
      </c>
      <c r="AO70" s="2184" t="str">
        <f t="shared" si="18"/>
        <v/>
      </c>
      <c r="AP70" s="2184" t="str">
        <f t="shared" si="19"/>
        <v/>
      </c>
      <c r="AQ70" s="2189" t="str">
        <f t="shared" si="20"/>
        <v/>
      </c>
      <c r="AR70" s="2190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2191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2190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1439"/>
      <c r="B71" s="1544"/>
      <c r="C71" s="1466"/>
      <c r="D71" s="1466"/>
      <c r="E71" s="1466"/>
      <c r="F71" s="1545"/>
      <c r="G71" s="1457"/>
      <c r="H71" s="1586"/>
      <c r="I71" s="2139" t="str">
        <f t="shared" si="8"/>
        <v/>
      </c>
      <c r="J71" s="2175" t="str">
        <f t="shared" si="25"/>
        <v/>
      </c>
      <c r="K71" s="2172" t="str">
        <f t="shared" si="113"/>
        <v/>
      </c>
      <c r="L71" s="2176"/>
      <c r="M71" s="1585"/>
      <c r="N71" s="1560"/>
      <c r="O71" s="1560"/>
      <c r="P71" s="1562"/>
      <c r="Q71" s="1563"/>
      <c r="R71" s="1569"/>
      <c r="S71" s="2178" t="str">
        <f t="shared" ref="S71" si="207">IF(M71="","",pb_currency_symbol)</f>
        <v/>
      </c>
      <c r="T71" s="1584"/>
      <c r="U71" s="2180" t="str">
        <f t="shared" si="10"/>
        <v/>
      </c>
      <c r="V71" s="2178" t="str">
        <f t="shared" ref="V71" si="208">IF(W71=0,"",pb_currency_symbol)</f>
        <v/>
      </c>
      <c r="W71" s="1570"/>
      <c r="X71" s="2178" t="str">
        <f t="shared" ref="X71" si="209">IF(M71="","",pb_currency_symbol)</f>
        <v/>
      </c>
      <c r="Y71" s="2182" t="str">
        <f t="shared" si="24"/>
        <v/>
      </c>
      <c r="Z71" s="1578"/>
      <c r="AA71" s="2183" t="str" cm="1">
        <f t="array" ref="AA71">IF(M71="","",IF(P71=AL71,1,Slookup(MID(AL71,1,3)*1,UomConversion!$D$8:$J$500,5,UomConversion!$E$8:$E$500,MID(P71,1,3)*1,UomConversion!$J$8:$J$500,1)))</f>
        <v/>
      </c>
      <c r="AB71" s="2184" t="str">
        <f t="shared" si="13"/>
        <v/>
      </c>
      <c r="AC71" s="2185" t="str">
        <f t="shared" si="14"/>
        <v/>
      </c>
      <c r="AD71" s="2186" t="str">
        <f t="shared" si="15"/>
        <v/>
      </c>
      <c r="AE71" s="2187" t="str">
        <f t="shared" si="16"/>
        <v/>
      </c>
      <c r="AF71" s="2184" t="str">
        <f>IF(I71="","",IF(ISNA(MATCH(I71,IF(invoice_location_id=1,'[1]1_inventory_totals'!$C$8:$C$10000,IF(invoice_location_id=2,'[1]2_inventory_totals'!$C$8:$C$10000,0)),0)),0,IF(AS71&gt;0,1,0)))</f>
        <v/>
      </c>
      <c r="AG71" s="2184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H71" s="2184" t="str">
        <f>IF(M71="","",IF(ISNA(MATCH(I71,'[1]1_group_totals'!$C$8:$C$10000)),0,IF(AT71&gt;0,1,0)))</f>
        <v/>
      </c>
      <c r="AI71" s="2184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J71" s="2184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K71" s="2184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L71" s="2188" t="str">
        <f t="shared" si="17"/>
        <v/>
      </c>
      <c r="AM71" s="2188" t="str">
        <f>IF(OR(ISNA(MATCH(MID(AL71,1,3)*1,UomConversion!$D$8:$D$500,0)),M71=""),"",IF(AQ71="","",AQ71))</f>
        <v/>
      </c>
      <c r="AN71" s="2188" t="str">
        <f>IF(AND(AO71&gt;0,COUNTIFS(UomConversion!$D$8:$D$500,MID(AL71,1,3)*1,UomConversion!$J$8:$J$500,1)&gt;1),TEXT(AO71,"000")&amp;"."&amp;VLOOKUP(AO71,uom_list,5,FALSE),"")</f>
        <v/>
      </c>
      <c r="AO71" s="2184" t="str">
        <f t="shared" si="18"/>
        <v/>
      </c>
      <c r="AP71" s="2184" t="str">
        <f t="shared" si="19"/>
        <v/>
      </c>
      <c r="AQ71" s="2189" t="str">
        <f t="shared" si="20"/>
        <v/>
      </c>
      <c r="AR71" s="2190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2191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2190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1439"/>
      <c r="B72" s="1544"/>
      <c r="C72" s="1466"/>
      <c r="D72" s="1466"/>
      <c r="E72" s="1466"/>
      <c r="F72" s="1545"/>
      <c r="G72" s="1457"/>
      <c r="H72" s="1586"/>
      <c r="I72" s="2139" t="str">
        <f t="shared" si="8"/>
        <v/>
      </c>
      <c r="J72" s="2175" t="str">
        <f t="shared" si="25"/>
        <v/>
      </c>
      <c r="K72" s="2172" t="str">
        <f t="shared" ref="K72:K87" si="210">IF(M72="","",VLOOKUP(I72,product_list,4,FALSE))</f>
        <v/>
      </c>
      <c r="L72" s="2176"/>
      <c r="M72" s="1585"/>
      <c r="N72" s="1560"/>
      <c r="O72" s="1560"/>
      <c r="P72" s="1562"/>
      <c r="Q72" s="1563"/>
      <c r="R72" s="1569"/>
      <c r="S72" s="2178" t="str">
        <f t="shared" ref="S72" si="211">IF(M72="","",pb_currency_symbol)</f>
        <v/>
      </c>
      <c r="T72" s="1584"/>
      <c r="U72" s="2180" t="str">
        <f t="shared" si="10"/>
        <v/>
      </c>
      <c r="V72" s="2178" t="str">
        <f t="shared" ref="V72" si="212">IF(W72=0,"",pb_currency_symbol)</f>
        <v/>
      </c>
      <c r="W72" s="1570"/>
      <c r="X72" s="2178" t="str">
        <f t="shared" ref="X72" si="213">IF(M72="","",pb_currency_symbol)</f>
        <v/>
      </c>
      <c r="Y72" s="2182" t="str">
        <f t="shared" si="24"/>
        <v/>
      </c>
      <c r="Z72" s="1578"/>
      <c r="AA72" s="2183" t="str" cm="1">
        <f t="array" ref="AA72">IF(M72="","",IF(P72=AL72,1,Slookup(MID(AL72,1,3)*1,UomConversion!$D$8:$J$500,5,UomConversion!$E$8:$E$500,MID(P72,1,3)*1,UomConversion!$J$8:$J$500,1)))</f>
        <v/>
      </c>
      <c r="AB72" s="2184" t="str">
        <f t="shared" si="13"/>
        <v/>
      </c>
      <c r="AC72" s="2185" t="str">
        <f t="shared" si="14"/>
        <v/>
      </c>
      <c r="AD72" s="2186" t="str">
        <f t="shared" si="15"/>
        <v/>
      </c>
      <c r="AE72" s="2187" t="str">
        <f t="shared" si="16"/>
        <v/>
      </c>
      <c r="AF72" s="2184" t="str">
        <f>IF(I72="","",IF(ISNA(MATCH(I72,IF(invoice_location_id=1,'[1]1_inventory_totals'!$C$8:$C$10000,IF(invoice_location_id=2,'[1]2_inventory_totals'!$C$8:$C$10000,0)),0)),0,IF(AS72&gt;0,1,0)))</f>
        <v/>
      </c>
      <c r="AG72" s="2184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H72" s="2184" t="str">
        <f>IF(M72="","",IF(ISNA(MATCH(I72,'[1]1_group_totals'!$C$8:$C$10000)),0,IF(AT72&gt;0,1,0)))</f>
        <v/>
      </c>
      <c r="AI72" s="2184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J72" s="2184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K72" s="2184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L72" s="2188" t="str">
        <f t="shared" si="17"/>
        <v/>
      </c>
      <c r="AM72" s="2188" t="str">
        <f>IF(OR(ISNA(MATCH(MID(AL72,1,3)*1,UomConversion!$D$8:$D$500,0)),M72=""),"",IF(AQ72="","",AQ72))</f>
        <v/>
      </c>
      <c r="AN72" s="2188" t="str">
        <f>IF(AND(AO72&gt;0,COUNTIFS(UomConversion!$D$8:$D$500,MID(AL72,1,3)*1,UomConversion!$J$8:$J$500,1)&gt;1),TEXT(AO72,"000")&amp;"."&amp;VLOOKUP(AO72,uom_list,5,FALSE),"")</f>
        <v/>
      </c>
      <c r="AO72" s="2184" t="str">
        <f t="shared" si="18"/>
        <v/>
      </c>
      <c r="AP72" s="2184" t="str">
        <f t="shared" si="19"/>
        <v/>
      </c>
      <c r="AQ72" s="2189" t="str">
        <f t="shared" si="20"/>
        <v/>
      </c>
      <c r="AR72" s="2190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2191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2190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1439"/>
      <c r="B73" s="1544"/>
      <c r="C73" s="1466"/>
      <c r="D73" s="1466"/>
      <c r="E73" s="1466"/>
      <c r="F73" s="1545"/>
      <c r="G73" s="1457"/>
      <c r="H73" s="1586"/>
      <c r="I73" s="2139" t="str">
        <f t="shared" ref="I73:I87" si="214">IF(M73="","",MID(M73,1,5)*1)</f>
        <v/>
      </c>
      <c r="J73" s="2175" t="str">
        <f t="shared" si="25"/>
        <v/>
      </c>
      <c r="K73" s="2172" t="str">
        <f t="shared" si="210"/>
        <v/>
      </c>
      <c r="L73" s="2176"/>
      <c r="M73" s="1585"/>
      <c r="N73" s="1560"/>
      <c r="O73" s="1560"/>
      <c r="P73" s="1562"/>
      <c r="Q73" s="1563"/>
      <c r="R73" s="1569"/>
      <c r="S73" s="2178" t="str">
        <f t="shared" ref="S73" si="215">IF(M73="","",pb_currency_symbol)</f>
        <v/>
      </c>
      <c r="T73" s="1584"/>
      <c r="U73" s="2180" t="str">
        <f t="shared" ref="U73:U87" si="216">IF(M73="","",ROUND(IF(P73=AL73,AD73,IF(P73=AM73,ROUND(AD73/AA73,9),IF(P73=AN73,ROUND(AD73/AB73,9)))),2))</f>
        <v/>
      </c>
      <c r="V73" s="2178" t="str">
        <f t="shared" ref="V73" si="217">IF(W73=0,"",pb_currency_symbol)</f>
        <v/>
      </c>
      <c r="W73" s="1570"/>
      <c r="X73" s="2178" t="str">
        <f t="shared" ref="X73" si="218">IF(M73="","",pb_currency_symbol)</f>
        <v/>
      </c>
      <c r="Y73" s="2182" t="str">
        <f t="shared" ref="Y73:Y87" si="219">IF(M73="","",ROUND(IF(T73&gt;0,(N73)*T73-W73,(N73)*U73-W73),2))</f>
        <v/>
      </c>
      <c r="Z73" s="1578"/>
      <c r="AA73" s="2183" t="str" cm="1">
        <f t="array" ref="AA73">IF(M73="","",IF(P73=AL73,1,Slookup(MID(AL73,1,3)*1,UomConversion!$D$8:$J$500,5,UomConversion!$E$8:$E$500,MID(P73,1,3)*1,UomConversion!$J$8:$J$500,1)))</f>
        <v/>
      </c>
      <c r="AB73" s="2184" t="str">
        <f t="shared" ref="AB73:AB87" si="220">IF(AND(M73="",ISNA(VLOOKUP(I73,product_list,18,FALSE))),"",VLOOKUP(I73,product_list,18,FALSE))</f>
        <v/>
      </c>
      <c r="AC73" s="2185" t="str">
        <f t="shared" ref="AC73:AC87" si="221">IF(M73="","",W73)</f>
        <v/>
      </c>
      <c r="AD73" s="2186" t="str">
        <f t="shared" ref="AD73:AD87" si="222">IF(M73="","",VLOOKUP(I73,product_list,14,FALSE))</f>
        <v/>
      </c>
      <c r="AE73" s="2187" t="str">
        <f t="shared" ref="AE73:AE87" si="223">IF(M73="","",VLOOKUP(I73,product_list,23,FALSE))</f>
        <v/>
      </c>
      <c r="AF73" s="2184" t="str">
        <f>IF(I73="","",IF(ISNA(MATCH(I73,IF(invoice_location_id=1,'[1]1_inventory_totals'!$C$8:$C$10000,IF(invoice_location_id=2,'[1]2_inventory_totals'!$C$8:$C$10000,0)),0)),0,IF(AS73&gt;0,1,0)))</f>
        <v/>
      </c>
      <c r="AG73" s="2184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H73" s="2184" t="str">
        <f>IF(M73="","",IF(ISNA(MATCH(I73,'[1]1_group_totals'!$C$8:$C$10000)),0,IF(AT73&gt;0,1,0)))</f>
        <v/>
      </c>
      <c r="AI73" s="2184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J73" s="2184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K73" s="2184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L73" s="2188" t="str">
        <f t="shared" ref="AL73:AL87" si="224">IF(M73="","",VLOOKUP(I73,product_list,8,FALSE))</f>
        <v/>
      </c>
      <c r="AM73" s="2188" t="str">
        <f>IF(OR(ISNA(MATCH(MID(AL73,1,3)*1,UomConversion!$D$8:$D$500,0)),M73=""),"",IF(AQ73="","",AQ73))</f>
        <v/>
      </c>
      <c r="AN73" s="2188" t="str">
        <f>IF(AND(AO73&gt;0,COUNTIFS(UomConversion!$D$8:$D$500,MID(AL73,1,3)*1,UomConversion!$J$8:$J$500,1)&gt;1),TEXT(AO73,"000")&amp;"."&amp;VLOOKUP(AO73,uom_list,5,FALSE),"")</f>
        <v/>
      </c>
      <c r="AO73" s="2184" t="str">
        <f t="shared" ref="AO73:AO87" si="225">IF(AND(AR73&gt;0,M73&lt;&gt;""),AR73,"")</f>
        <v/>
      </c>
      <c r="AP73" s="2184" t="str">
        <f t="shared" ref="AP73:AP87" si="226">IF(M73="","",IF(AA73&gt;0,AB73/AA73,""))</f>
        <v/>
      </c>
      <c r="AQ73" s="2189" t="str">
        <f t="shared" ref="AQ73:AQ87" si="227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2190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2191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2190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1439"/>
      <c r="B74" s="1544"/>
      <c r="C74" s="1466"/>
      <c r="D74" s="1466"/>
      <c r="E74" s="1466"/>
      <c r="F74" s="1545"/>
      <c r="G74" s="1457"/>
      <c r="H74" s="1586"/>
      <c r="I74" s="2139" t="str">
        <f t="shared" si="214"/>
        <v/>
      </c>
      <c r="J74" s="2175" t="str">
        <f t="shared" ref="J74:J87" si="228">IF(M74="","",J73+1)</f>
        <v/>
      </c>
      <c r="K74" s="2172" t="str">
        <f t="shared" si="210"/>
        <v/>
      </c>
      <c r="L74" s="2176"/>
      <c r="M74" s="1585"/>
      <c r="N74" s="1560"/>
      <c r="O74" s="1560"/>
      <c r="P74" s="1562"/>
      <c r="Q74" s="1563"/>
      <c r="R74" s="1569"/>
      <c r="S74" s="2178" t="str">
        <f t="shared" ref="S74" si="229">IF(M74="","",pb_currency_symbol)</f>
        <v/>
      </c>
      <c r="T74" s="1584"/>
      <c r="U74" s="2180" t="str">
        <f t="shared" si="216"/>
        <v/>
      </c>
      <c r="V74" s="2178" t="str">
        <f t="shared" ref="V74" si="230">IF(W74=0,"",pb_currency_symbol)</f>
        <v/>
      </c>
      <c r="W74" s="1570"/>
      <c r="X74" s="2178" t="str">
        <f t="shared" ref="X74" si="231">IF(M74="","",pb_currency_symbol)</f>
        <v/>
      </c>
      <c r="Y74" s="2182" t="str">
        <f t="shared" si="219"/>
        <v/>
      </c>
      <c r="Z74" s="1578"/>
      <c r="AA74" s="2183" t="str" cm="1">
        <f t="array" ref="AA74">IF(M74="","",IF(P74=AL74,1,Slookup(MID(AL74,1,3)*1,UomConversion!$D$8:$J$500,5,UomConversion!$E$8:$E$500,MID(P74,1,3)*1,UomConversion!$J$8:$J$500,1)))</f>
        <v/>
      </c>
      <c r="AB74" s="2184" t="str">
        <f t="shared" si="220"/>
        <v/>
      </c>
      <c r="AC74" s="2185" t="str">
        <f t="shared" si="221"/>
        <v/>
      </c>
      <c r="AD74" s="2186" t="str">
        <f t="shared" si="222"/>
        <v/>
      </c>
      <c r="AE74" s="2187" t="str">
        <f t="shared" si="223"/>
        <v/>
      </c>
      <c r="AF74" s="2184" t="str">
        <f>IF(I74="","",IF(ISNA(MATCH(I74,IF(invoice_location_id=1,'[1]1_inventory_totals'!$C$8:$C$10000,IF(invoice_location_id=2,'[1]2_inventory_totals'!$C$8:$C$10000,0)),0)),0,IF(AS74&gt;0,1,0)))</f>
        <v/>
      </c>
      <c r="AG74" s="2184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H74" s="2184" t="str">
        <f>IF(M74="","",IF(ISNA(MATCH(I74,'[1]1_group_totals'!$C$8:$C$10000)),0,IF(AT74&gt;0,1,0)))</f>
        <v/>
      </c>
      <c r="AI74" s="2184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J74" s="2184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K74" s="2184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L74" s="2188" t="str">
        <f t="shared" si="224"/>
        <v/>
      </c>
      <c r="AM74" s="2188" t="str">
        <f>IF(OR(ISNA(MATCH(MID(AL74,1,3)*1,UomConversion!$D$8:$D$500,0)),M74=""),"",IF(AQ74="","",AQ74))</f>
        <v/>
      </c>
      <c r="AN74" s="2188" t="str">
        <f>IF(AND(AO74&gt;0,COUNTIFS(UomConversion!$D$8:$D$500,MID(AL74,1,3)*1,UomConversion!$J$8:$J$500,1)&gt;1),TEXT(AO74,"000")&amp;"."&amp;VLOOKUP(AO74,uom_list,5,FALSE),"")</f>
        <v/>
      </c>
      <c r="AO74" s="2184" t="str">
        <f t="shared" si="225"/>
        <v/>
      </c>
      <c r="AP74" s="2184" t="str">
        <f t="shared" si="226"/>
        <v/>
      </c>
      <c r="AQ74" s="2189" t="str">
        <f t="shared" si="227"/>
        <v/>
      </c>
      <c r="AR74" s="2190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2191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2190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1439"/>
      <c r="B75" s="1544"/>
      <c r="C75" s="1466"/>
      <c r="D75" s="1466"/>
      <c r="E75" s="1466"/>
      <c r="F75" s="1545"/>
      <c r="G75" s="1457"/>
      <c r="H75" s="1586"/>
      <c r="I75" s="2139" t="str">
        <f t="shared" si="214"/>
        <v/>
      </c>
      <c r="J75" s="2175" t="str">
        <f t="shared" si="228"/>
        <v/>
      </c>
      <c r="K75" s="2172" t="str">
        <f t="shared" si="210"/>
        <v/>
      </c>
      <c r="L75" s="2176"/>
      <c r="M75" s="1585"/>
      <c r="N75" s="1560"/>
      <c r="O75" s="1560"/>
      <c r="P75" s="1562"/>
      <c r="Q75" s="1563"/>
      <c r="R75" s="1569"/>
      <c r="S75" s="2178" t="str">
        <f t="shared" ref="S75" si="232">IF(M75="","",pb_currency_symbol)</f>
        <v/>
      </c>
      <c r="T75" s="1584"/>
      <c r="U75" s="2180" t="str">
        <f t="shared" si="216"/>
        <v/>
      </c>
      <c r="V75" s="2178" t="str">
        <f t="shared" ref="V75" si="233">IF(W75=0,"",pb_currency_symbol)</f>
        <v/>
      </c>
      <c r="W75" s="1570"/>
      <c r="X75" s="2178" t="str">
        <f t="shared" ref="X75" si="234">IF(M75="","",pb_currency_symbol)</f>
        <v/>
      </c>
      <c r="Y75" s="2182" t="str">
        <f t="shared" si="219"/>
        <v/>
      </c>
      <c r="Z75" s="1578"/>
      <c r="AA75" s="2183" t="str" cm="1">
        <f t="array" ref="AA75">IF(M75="","",IF(P75=AL75,1,Slookup(MID(AL75,1,3)*1,UomConversion!$D$8:$J$500,5,UomConversion!$E$8:$E$500,MID(P75,1,3)*1,UomConversion!$J$8:$J$500,1)))</f>
        <v/>
      </c>
      <c r="AB75" s="2184" t="str">
        <f t="shared" si="220"/>
        <v/>
      </c>
      <c r="AC75" s="2185" t="str">
        <f t="shared" si="221"/>
        <v/>
      </c>
      <c r="AD75" s="2186" t="str">
        <f t="shared" si="222"/>
        <v/>
      </c>
      <c r="AE75" s="2187" t="str">
        <f t="shared" si="223"/>
        <v/>
      </c>
      <c r="AF75" s="2184" t="str">
        <f>IF(I75="","",IF(ISNA(MATCH(I75,IF(invoice_location_id=1,'[1]1_inventory_totals'!$C$8:$C$10000,IF(invoice_location_id=2,'[1]2_inventory_totals'!$C$8:$C$10000,0)),0)),0,IF(AS75&gt;0,1,0)))</f>
        <v/>
      </c>
      <c r="AG75" s="2184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H75" s="2184" t="str">
        <f>IF(M75="","",IF(ISNA(MATCH(I75,'[1]1_group_totals'!$C$8:$C$10000)),0,IF(AT75&gt;0,1,0)))</f>
        <v/>
      </c>
      <c r="AI75" s="2184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J75" s="2184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K75" s="2184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L75" s="2188" t="str">
        <f t="shared" si="224"/>
        <v/>
      </c>
      <c r="AM75" s="2188" t="str">
        <f>IF(OR(ISNA(MATCH(MID(AL75,1,3)*1,UomConversion!$D$8:$D$500,0)),M75=""),"",IF(AQ75="","",AQ75))</f>
        <v/>
      </c>
      <c r="AN75" s="2188" t="str">
        <f>IF(AND(AO75&gt;0,COUNTIFS(UomConversion!$D$8:$D$500,MID(AL75,1,3)*1,UomConversion!$J$8:$J$500,1)&gt;1),TEXT(AO75,"000")&amp;"."&amp;VLOOKUP(AO75,uom_list,5,FALSE),"")</f>
        <v/>
      </c>
      <c r="AO75" s="2184" t="str">
        <f t="shared" si="225"/>
        <v/>
      </c>
      <c r="AP75" s="2184" t="str">
        <f t="shared" si="226"/>
        <v/>
      </c>
      <c r="AQ75" s="2189" t="str">
        <f t="shared" si="227"/>
        <v/>
      </c>
      <c r="AR75" s="2190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2191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2190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1439"/>
      <c r="B76" s="1544"/>
      <c r="C76" s="1466"/>
      <c r="D76" s="1466"/>
      <c r="E76" s="1466"/>
      <c r="F76" s="1545"/>
      <c r="G76" s="1457"/>
      <c r="H76" s="1586"/>
      <c r="I76" s="2139" t="str">
        <f t="shared" si="214"/>
        <v/>
      </c>
      <c r="J76" s="2175" t="str">
        <f t="shared" si="228"/>
        <v/>
      </c>
      <c r="K76" s="2172" t="str">
        <f t="shared" si="210"/>
        <v/>
      </c>
      <c r="L76" s="2176"/>
      <c r="M76" s="1585"/>
      <c r="N76" s="1560"/>
      <c r="O76" s="1560"/>
      <c r="P76" s="1562"/>
      <c r="Q76" s="1563"/>
      <c r="R76" s="1569"/>
      <c r="S76" s="2178" t="str">
        <f t="shared" ref="S76" si="235">IF(M76="","",pb_currency_symbol)</f>
        <v/>
      </c>
      <c r="T76" s="1584"/>
      <c r="U76" s="2180" t="str">
        <f t="shared" si="216"/>
        <v/>
      </c>
      <c r="V76" s="2178" t="str">
        <f t="shared" ref="V76" si="236">IF(W76=0,"",pb_currency_symbol)</f>
        <v/>
      </c>
      <c r="W76" s="1570"/>
      <c r="X76" s="2178" t="str">
        <f t="shared" ref="X76" si="237">IF(M76="","",pb_currency_symbol)</f>
        <v/>
      </c>
      <c r="Y76" s="2182" t="str">
        <f t="shared" si="219"/>
        <v/>
      </c>
      <c r="Z76" s="1578"/>
      <c r="AA76" s="2183" t="str" cm="1">
        <f t="array" ref="AA76">IF(M76="","",IF(P76=AL76,1,Slookup(MID(AL76,1,3)*1,UomConversion!$D$8:$J$500,5,UomConversion!$E$8:$E$500,MID(P76,1,3)*1,UomConversion!$J$8:$J$500,1)))</f>
        <v/>
      </c>
      <c r="AB76" s="2184" t="str">
        <f t="shared" si="220"/>
        <v/>
      </c>
      <c r="AC76" s="2185" t="str">
        <f t="shared" si="221"/>
        <v/>
      </c>
      <c r="AD76" s="2186" t="str">
        <f t="shared" si="222"/>
        <v/>
      </c>
      <c r="AE76" s="2187" t="str">
        <f t="shared" si="223"/>
        <v/>
      </c>
      <c r="AF76" s="2184" t="str">
        <f>IF(I76="","",IF(ISNA(MATCH(I76,IF(invoice_location_id=1,'[1]1_inventory_totals'!$C$8:$C$10000,IF(invoice_location_id=2,'[1]2_inventory_totals'!$C$8:$C$10000,0)),0)),0,IF(AS76&gt;0,1,0)))</f>
        <v/>
      </c>
      <c r="AG76" s="2184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H76" s="2184" t="str">
        <f>IF(M76="","",IF(ISNA(MATCH(I76,'[1]1_group_totals'!$C$8:$C$10000)),0,IF(AT76&gt;0,1,0)))</f>
        <v/>
      </c>
      <c r="AI76" s="2184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J76" s="2184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K76" s="2184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L76" s="2188" t="str">
        <f t="shared" si="224"/>
        <v/>
      </c>
      <c r="AM76" s="2188" t="str">
        <f>IF(OR(ISNA(MATCH(MID(AL76,1,3)*1,UomConversion!$D$8:$D$500,0)),M76=""),"",IF(AQ76="","",AQ76))</f>
        <v/>
      </c>
      <c r="AN76" s="2188" t="str">
        <f>IF(AND(AO76&gt;0,COUNTIFS(UomConversion!$D$8:$D$500,MID(AL76,1,3)*1,UomConversion!$J$8:$J$500,1)&gt;1),TEXT(AO76,"000")&amp;"."&amp;VLOOKUP(AO76,uom_list,5,FALSE),"")</f>
        <v/>
      </c>
      <c r="AO76" s="2184" t="str">
        <f t="shared" si="225"/>
        <v/>
      </c>
      <c r="AP76" s="2184" t="str">
        <f t="shared" si="226"/>
        <v/>
      </c>
      <c r="AQ76" s="2189" t="str">
        <f t="shared" si="227"/>
        <v/>
      </c>
      <c r="AR76" s="2190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2191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2190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1439"/>
      <c r="B77" s="1544"/>
      <c r="C77" s="1466"/>
      <c r="D77" s="1466"/>
      <c r="E77" s="1466"/>
      <c r="F77" s="1545"/>
      <c r="G77" s="1457"/>
      <c r="H77" s="1586"/>
      <c r="I77" s="2139" t="str">
        <f t="shared" si="214"/>
        <v/>
      </c>
      <c r="J77" s="2175" t="str">
        <f t="shared" si="228"/>
        <v/>
      </c>
      <c r="K77" s="2172" t="str">
        <f t="shared" si="210"/>
        <v/>
      </c>
      <c r="L77" s="2176"/>
      <c r="M77" s="1585"/>
      <c r="N77" s="1560"/>
      <c r="O77" s="1560"/>
      <c r="P77" s="1562"/>
      <c r="Q77" s="1563"/>
      <c r="R77" s="1569"/>
      <c r="S77" s="2178" t="str">
        <f t="shared" ref="S77" si="238">IF(M77="","",pb_currency_symbol)</f>
        <v/>
      </c>
      <c r="T77" s="1584"/>
      <c r="U77" s="2180" t="str">
        <f t="shared" si="216"/>
        <v/>
      </c>
      <c r="V77" s="2178" t="str">
        <f t="shared" ref="V77" si="239">IF(W77=0,"",pb_currency_symbol)</f>
        <v/>
      </c>
      <c r="W77" s="1570"/>
      <c r="X77" s="2178" t="str">
        <f t="shared" ref="X77" si="240">IF(M77="","",pb_currency_symbol)</f>
        <v/>
      </c>
      <c r="Y77" s="2182" t="str">
        <f t="shared" si="219"/>
        <v/>
      </c>
      <c r="Z77" s="1578"/>
      <c r="AA77" s="2183" t="str" cm="1">
        <f t="array" ref="AA77">IF(M77="","",IF(P77=AL77,1,Slookup(MID(AL77,1,3)*1,UomConversion!$D$8:$J$500,5,UomConversion!$E$8:$E$500,MID(P77,1,3)*1,UomConversion!$J$8:$J$500,1)))</f>
        <v/>
      </c>
      <c r="AB77" s="2184" t="str">
        <f t="shared" si="220"/>
        <v/>
      </c>
      <c r="AC77" s="2185" t="str">
        <f t="shared" si="221"/>
        <v/>
      </c>
      <c r="AD77" s="2186" t="str">
        <f t="shared" si="222"/>
        <v/>
      </c>
      <c r="AE77" s="2187" t="str">
        <f t="shared" si="223"/>
        <v/>
      </c>
      <c r="AF77" s="2184" t="str">
        <f>IF(I77="","",IF(ISNA(MATCH(I77,IF(invoice_location_id=1,'[1]1_inventory_totals'!$C$8:$C$10000,IF(invoice_location_id=2,'[1]2_inventory_totals'!$C$8:$C$10000,0)),0)),0,IF(AS77&gt;0,1,0)))</f>
        <v/>
      </c>
      <c r="AG77" s="2184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H77" s="2184" t="str">
        <f>IF(M77="","",IF(ISNA(MATCH(I77,'[1]1_group_totals'!$C$8:$C$10000)),0,IF(AT77&gt;0,1,0)))</f>
        <v/>
      </c>
      <c r="AI77" s="2184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J77" s="2184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K77" s="2184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L77" s="2188" t="str">
        <f t="shared" si="224"/>
        <v/>
      </c>
      <c r="AM77" s="2188" t="str">
        <f>IF(OR(ISNA(MATCH(MID(AL77,1,3)*1,UomConversion!$D$8:$D$500,0)),M77=""),"",IF(AQ77="","",AQ77))</f>
        <v/>
      </c>
      <c r="AN77" s="2188" t="str">
        <f>IF(AND(AO77&gt;0,COUNTIFS(UomConversion!$D$8:$D$500,MID(AL77,1,3)*1,UomConversion!$J$8:$J$500,1)&gt;1),TEXT(AO77,"000")&amp;"."&amp;VLOOKUP(AO77,uom_list,5,FALSE),"")</f>
        <v/>
      </c>
      <c r="AO77" s="2184" t="str">
        <f t="shared" si="225"/>
        <v/>
      </c>
      <c r="AP77" s="2184" t="str">
        <f t="shared" si="226"/>
        <v/>
      </c>
      <c r="AQ77" s="2189" t="str">
        <f t="shared" si="227"/>
        <v/>
      </c>
      <c r="AR77" s="2190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2191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2190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1439"/>
      <c r="B78" s="1544"/>
      <c r="C78" s="1466"/>
      <c r="D78" s="1466"/>
      <c r="E78" s="1466"/>
      <c r="F78" s="1545"/>
      <c r="G78" s="1457"/>
      <c r="H78" s="1586"/>
      <c r="I78" s="2139" t="str">
        <f t="shared" si="214"/>
        <v/>
      </c>
      <c r="J78" s="2175" t="str">
        <f t="shared" si="228"/>
        <v/>
      </c>
      <c r="K78" s="2172" t="str">
        <f t="shared" si="210"/>
        <v/>
      </c>
      <c r="L78" s="2176"/>
      <c r="M78" s="1585"/>
      <c r="N78" s="1560"/>
      <c r="O78" s="1560"/>
      <c r="P78" s="1562"/>
      <c r="Q78" s="1563"/>
      <c r="R78" s="1569"/>
      <c r="S78" s="2178" t="str">
        <f t="shared" ref="S78" si="241">IF(M78="","",pb_currency_symbol)</f>
        <v/>
      </c>
      <c r="T78" s="1584"/>
      <c r="U78" s="2180" t="str">
        <f t="shared" si="216"/>
        <v/>
      </c>
      <c r="V78" s="2178" t="str">
        <f t="shared" ref="V78" si="242">IF(W78=0,"",pb_currency_symbol)</f>
        <v/>
      </c>
      <c r="W78" s="1570"/>
      <c r="X78" s="2178" t="str">
        <f t="shared" ref="X78" si="243">IF(M78="","",pb_currency_symbol)</f>
        <v/>
      </c>
      <c r="Y78" s="2182" t="str">
        <f t="shared" si="219"/>
        <v/>
      </c>
      <c r="Z78" s="1578"/>
      <c r="AA78" s="2183" t="str" cm="1">
        <f t="array" ref="AA78">IF(M78="","",IF(P78=AL78,1,Slookup(MID(AL78,1,3)*1,UomConversion!$D$8:$J$500,5,UomConversion!$E$8:$E$500,MID(P78,1,3)*1,UomConversion!$J$8:$J$500,1)))</f>
        <v/>
      </c>
      <c r="AB78" s="2184" t="str">
        <f t="shared" si="220"/>
        <v/>
      </c>
      <c r="AC78" s="2185" t="str">
        <f t="shared" si="221"/>
        <v/>
      </c>
      <c r="AD78" s="2186" t="str">
        <f t="shared" si="222"/>
        <v/>
      </c>
      <c r="AE78" s="2187" t="str">
        <f t="shared" si="223"/>
        <v/>
      </c>
      <c r="AF78" s="2184" t="str">
        <f>IF(I78="","",IF(ISNA(MATCH(I78,IF(invoice_location_id=1,'[1]1_inventory_totals'!$C$8:$C$10000,IF(invoice_location_id=2,'[1]2_inventory_totals'!$C$8:$C$10000,0)),0)),0,IF(AS78&gt;0,1,0)))</f>
        <v/>
      </c>
      <c r="AG78" s="2184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H78" s="2184" t="str">
        <f>IF(M78="","",IF(ISNA(MATCH(I78,'[1]1_group_totals'!$C$8:$C$10000)),0,IF(AT78&gt;0,1,0)))</f>
        <v/>
      </c>
      <c r="AI78" s="2184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J78" s="2184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K78" s="2184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L78" s="2188" t="str">
        <f t="shared" si="224"/>
        <v/>
      </c>
      <c r="AM78" s="2188" t="str">
        <f>IF(OR(ISNA(MATCH(MID(AL78,1,3)*1,UomConversion!$D$8:$D$500,0)),M78=""),"",IF(AQ78="","",AQ78))</f>
        <v/>
      </c>
      <c r="AN78" s="2188" t="str">
        <f>IF(AND(AO78&gt;0,COUNTIFS(UomConversion!$D$8:$D$500,MID(AL78,1,3)*1,UomConversion!$J$8:$J$500,1)&gt;1),TEXT(AO78,"000")&amp;"."&amp;VLOOKUP(AO78,uom_list,5,FALSE),"")</f>
        <v/>
      </c>
      <c r="AO78" s="2184" t="str">
        <f t="shared" si="225"/>
        <v/>
      </c>
      <c r="AP78" s="2184" t="str">
        <f t="shared" si="226"/>
        <v/>
      </c>
      <c r="AQ78" s="2189" t="str">
        <f t="shared" si="227"/>
        <v/>
      </c>
      <c r="AR78" s="2190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2191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2190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1439"/>
      <c r="B79" s="1544"/>
      <c r="C79" s="1466"/>
      <c r="D79" s="1466"/>
      <c r="E79" s="1466"/>
      <c r="F79" s="1545"/>
      <c r="G79" s="1457"/>
      <c r="H79" s="1586"/>
      <c r="I79" s="2139" t="str">
        <f t="shared" si="214"/>
        <v/>
      </c>
      <c r="J79" s="2175" t="str">
        <f t="shared" si="228"/>
        <v/>
      </c>
      <c r="K79" s="2172" t="str">
        <f t="shared" si="210"/>
        <v/>
      </c>
      <c r="L79" s="2176"/>
      <c r="M79" s="1585"/>
      <c r="N79" s="1560"/>
      <c r="O79" s="1560"/>
      <c r="P79" s="1562"/>
      <c r="Q79" s="1563"/>
      <c r="R79" s="1569"/>
      <c r="S79" s="2178" t="str">
        <f t="shared" ref="S79" si="244">IF(M79="","",pb_currency_symbol)</f>
        <v/>
      </c>
      <c r="T79" s="1584"/>
      <c r="U79" s="2180" t="str">
        <f t="shared" si="216"/>
        <v/>
      </c>
      <c r="V79" s="2178" t="str">
        <f t="shared" ref="V79" si="245">IF(W79=0,"",pb_currency_symbol)</f>
        <v/>
      </c>
      <c r="W79" s="1570"/>
      <c r="X79" s="2178" t="str">
        <f t="shared" ref="X79" si="246">IF(M79="","",pb_currency_symbol)</f>
        <v/>
      </c>
      <c r="Y79" s="2182" t="str">
        <f t="shared" si="219"/>
        <v/>
      </c>
      <c r="Z79" s="1578"/>
      <c r="AA79" s="2183" t="str" cm="1">
        <f t="array" ref="AA79">IF(M79="","",IF(P79=AL79,1,Slookup(MID(AL79,1,3)*1,UomConversion!$D$8:$J$500,5,UomConversion!$E$8:$E$500,MID(P79,1,3)*1,UomConversion!$J$8:$J$500,1)))</f>
        <v/>
      </c>
      <c r="AB79" s="2184" t="str">
        <f t="shared" si="220"/>
        <v/>
      </c>
      <c r="AC79" s="2185" t="str">
        <f t="shared" si="221"/>
        <v/>
      </c>
      <c r="AD79" s="2186" t="str">
        <f t="shared" si="222"/>
        <v/>
      </c>
      <c r="AE79" s="2187" t="str">
        <f t="shared" si="223"/>
        <v/>
      </c>
      <c r="AF79" s="2184" t="str">
        <f>IF(I79="","",IF(ISNA(MATCH(I79,IF(invoice_location_id=1,'[1]1_inventory_totals'!$C$8:$C$10000,IF(invoice_location_id=2,'[1]2_inventory_totals'!$C$8:$C$10000,0)),0)),0,IF(AS79&gt;0,1,0)))</f>
        <v/>
      </c>
      <c r="AG79" s="2184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H79" s="2184" t="str">
        <f>IF(M79="","",IF(ISNA(MATCH(I79,'[1]1_group_totals'!$C$8:$C$10000)),0,IF(AT79&gt;0,1,0)))</f>
        <v/>
      </c>
      <c r="AI79" s="2184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J79" s="2184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K79" s="2184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L79" s="2188" t="str">
        <f t="shared" si="224"/>
        <v/>
      </c>
      <c r="AM79" s="2188" t="str">
        <f>IF(OR(ISNA(MATCH(MID(AL79,1,3)*1,UomConversion!$D$8:$D$500,0)),M79=""),"",IF(AQ79="","",AQ79))</f>
        <v/>
      </c>
      <c r="AN79" s="2188" t="str">
        <f>IF(AND(AO79&gt;0,COUNTIFS(UomConversion!$D$8:$D$500,MID(AL79,1,3)*1,UomConversion!$J$8:$J$500,1)&gt;1),TEXT(AO79,"000")&amp;"."&amp;VLOOKUP(AO79,uom_list,5,FALSE),"")</f>
        <v/>
      </c>
      <c r="AO79" s="2184" t="str">
        <f t="shared" si="225"/>
        <v/>
      </c>
      <c r="AP79" s="2184" t="str">
        <f t="shared" si="226"/>
        <v/>
      </c>
      <c r="AQ79" s="2189" t="str">
        <f t="shared" si="227"/>
        <v/>
      </c>
      <c r="AR79" s="2190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2191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2190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1439"/>
      <c r="B80" s="1544"/>
      <c r="C80" s="1466"/>
      <c r="D80" s="1466"/>
      <c r="E80" s="1466"/>
      <c r="F80" s="1545"/>
      <c r="G80" s="1457"/>
      <c r="H80" s="1586"/>
      <c r="I80" s="2139" t="str">
        <f t="shared" si="214"/>
        <v/>
      </c>
      <c r="J80" s="2175" t="str">
        <f t="shared" si="228"/>
        <v/>
      </c>
      <c r="K80" s="2172" t="str">
        <f t="shared" si="210"/>
        <v/>
      </c>
      <c r="L80" s="2176"/>
      <c r="M80" s="1585"/>
      <c r="N80" s="1560"/>
      <c r="O80" s="1560"/>
      <c r="P80" s="1562"/>
      <c r="Q80" s="1563"/>
      <c r="R80" s="1569"/>
      <c r="S80" s="2178" t="str">
        <f t="shared" ref="S80" si="247">IF(M80="","",pb_currency_symbol)</f>
        <v/>
      </c>
      <c r="T80" s="1584"/>
      <c r="U80" s="2180" t="str">
        <f t="shared" si="216"/>
        <v/>
      </c>
      <c r="V80" s="2178" t="str">
        <f t="shared" ref="V80" si="248">IF(W80=0,"",pb_currency_symbol)</f>
        <v/>
      </c>
      <c r="W80" s="1570"/>
      <c r="X80" s="2178" t="str">
        <f t="shared" ref="X80" si="249">IF(M80="","",pb_currency_symbol)</f>
        <v/>
      </c>
      <c r="Y80" s="2182" t="str">
        <f t="shared" si="219"/>
        <v/>
      </c>
      <c r="Z80" s="1578"/>
      <c r="AA80" s="2183" t="str" cm="1">
        <f t="array" ref="AA80">IF(M80="","",IF(P80=AL80,1,Slookup(MID(AL80,1,3)*1,UomConversion!$D$8:$J$500,5,UomConversion!$E$8:$E$500,MID(P80,1,3)*1,UomConversion!$J$8:$J$500,1)))</f>
        <v/>
      </c>
      <c r="AB80" s="2184" t="str">
        <f t="shared" si="220"/>
        <v/>
      </c>
      <c r="AC80" s="2185" t="str">
        <f t="shared" si="221"/>
        <v/>
      </c>
      <c r="AD80" s="2186" t="str">
        <f t="shared" si="222"/>
        <v/>
      </c>
      <c r="AE80" s="2187" t="str">
        <f t="shared" si="223"/>
        <v/>
      </c>
      <c r="AF80" s="2184" t="str">
        <f>IF(I80="","",IF(ISNA(MATCH(I80,IF(invoice_location_id=1,'[1]1_inventory_totals'!$C$8:$C$10000,IF(invoice_location_id=2,'[1]2_inventory_totals'!$C$8:$C$10000,0)),0)),0,IF(AS80&gt;0,1,0)))</f>
        <v/>
      </c>
      <c r="AG80" s="2184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H80" s="2184" t="str">
        <f>IF(M80="","",IF(ISNA(MATCH(I80,'[1]1_group_totals'!$C$8:$C$10000)),0,IF(AT80&gt;0,1,0)))</f>
        <v/>
      </c>
      <c r="AI80" s="2184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J80" s="2184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K80" s="2184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L80" s="2188" t="str">
        <f t="shared" si="224"/>
        <v/>
      </c>
      <c r="AM80" s="2188" t="str">
        <f>IF(OR(ISNA(MATCH(MID(AL80,1,3)*1,UomConversion!$D$8:$D$500,0)),M80=""),"",IF(AQ80="","",AQ80))</f>
        <v/>
      </c>
      <c r="AN80" s="2188" t="str">
        <f>IF(AND(AO80&gt;0,COUNTIFS(UomConversion!$D$8:$D$500,MID(AL80,1,3)*1,UomConversion!$J$8:$J$500,1)&gt;1),TEXT(AO80,"000")&amp;"."&amp;VLOOKUP(AO80,uom_list,5,FALSE),"")</f>
        <v/>
      </c>
      <c r="AO80" s="2184" t="str">
        <f t="shared" si="225"/>
        <v/>
      </c>
      <c r="AP80" s="2184" t="str">
        <f t="shared" si="226"/>
        <v/>
      </c>
      <c r="AQ80" s="2189" t="str">
        <f t="shared" si="227"/>
        <v/>
      </c>
      <c r="AR80" s="2190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2191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2190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1439"/>
      <c r="B81" s="1544"/>
      <c r="C81" s="1466"/>
      <c r="D81" s="1466"/>
      <c r="E81" s="1466"/>
      <c r="F81" s="1545"/>
      <c r="G81" s="1457"/>
      <c r="H81" s="1586"/>
      <c r="I81" s="2139" t="str">
        <f t="shared" si="214"/>
        <v/>
      </c>
      <c r="J81" s="2175" t="str">
        <f t="shared" si="228"/>
        <v/>
      </c>
      <c r="K81" s="2172" t="str">
        <f t="shared" si="210"/>
        <v/>
      </c>
      <c r="L81" s="2176"/>
      <c r="M81" s="1585"/>
      <c r="N81" s="1560"/>
      <c r="O81" s="1560"/>
      <c r="P81" s="1562"/>
      <c r="Q81" s="1563"/>
      <c r="R81" s="1569"/>
      <c r="S81" s="2178" t="str">
        <f t="shared" ref="S81" si="250">IF(M81="","",pb_currency_symbol)</f>
        <v/>
      </c>
      <c r="T81" s="1584"/>
      <c r="U81" s="2180" t="str">
        <f t="shared" si="216"/>
        <v/>
      </c>
      <c r="V81" s="2178" t="str">
        <f t="shared" ref="V81" si="251">IF(W81=0,"",pb_currency_symbol)</f>
        <v/>
      </c>
      <c r="W81" s="1570"/>
      <c r="X81" s="2178" t="str">
        <f t="shared" ref="X81" si="252">IF(M81="","",pb_currency_symbol)</f>
        <v/>
      </c>
      <c r="Y81" s="2182" t="str">
        <f t="shared" si="219"/>
        <v/>
      </c>
      <c r="Z81" s="1578"/>
      <c r="AA81" s="2183" t="str" cm="1">
        <f t="array" ref="AA81">IF(M81="","",IF(P81=AL81,1,Slookup(MID(AL81,1,3)*1,UomConversion!$D$8:$J$500,5,UomConversion!$E$8:$E$500,MID(P81,1,3)*1,UomConversion!$J$8:$J$500,1)))</f>
        <v/>
      </c>
      <c r="AB81" s="2184" t="str">
        <f t="shared" si="220"/>
        <v/>
      </c>
      <c r="AC81" s="2185" t="str">
        <f t="shared" si="221"/>
        <v/>
      </c>
      <c r="AD81" s="2186" t="str">
        <f t="shared" si="222"/>
        <v/>
      </c>
      <c r="AE81" s="2187" t="str">
        <f t="shared" si="223"/>
        <v/>
      </c>
      <c r="AF81" s="2184" t="str">
        <f>IF(I81="","",IF(ISNA(MATCH(I81,IF(invoice_location_id=1,'[1]1_inventory_totals'!$C$8:$C$10000,IF(invoice_location_id=2,'[1]2_inventory_totals'!$C$8:$C$10000,0)),0)),0,IF(AS81&gt;0,1,0)))</f>
        <v/>
      </c>
      <c r="AG81" s="2184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H81" s="2184" t="str">
        <f>IF(M81="","",IF(ISNA(MATCH(I81,'[1]1_group_totals'!$C$8:$C$10000)),0,IF(AT81&gt;0,1,0)))</f>
        <v/>
      </c>
      <c r="AI81" s="2184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J81" s="2184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K81" s="2184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L81" s="2188" t="str">
        <f t="shared" si="224"/>
        <v/>
      </c>
      <c r="AM81" s="2188" t="str">
        <f>IF(OR(ISNA(MATCH(MID(AL81,1,3)*1,UomConversion!$D$8:$D$500,0)),M81=""),"",IF(AQ81="","",AQ81))</f>
        <v/>
      </c>
      <c r="AN81" s="2188" t="str">
        <f>IF(AND(AO81&gt;0,COUNTIFS(UomConversion!$D$8:$D$500,MID(AL81,1,3)*1,UomConversion!$J$8:$J$500,1)&gt;1),TEXT(AO81,"000")&amp;"."&amp;VLOOKUP(AO81,uom_list,5,FALSE),"")</f>
        <v/>
      </c>
      <c r="AO81" s="2184" t="str">
        <f t="shared" si="225"/>
        <v/>
      </c>
      <c r="AP81" s="2184" t="str">
        <f t="shared" si="226"/>
        <v/>
      </c>
      <c r="AQ81" s="2189" t="str">
        <f t="shared" si="227"/>
        <v/>
      </c>
      <c r="AR81" s="2190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2191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2190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1439"/>
      <c r="B82" s="1544"/>
      <c r="C82" s="1466"/>
      <c r="D82" s="1466"/>
      <c r="E82" s="1466"/>
      <c r="F82" s="1545"/>
      <c r="G82" s="1457"/>
      <c r="H82" s="1586"/>
      <c r="I82" s="2139" t="str">
        <f t="shared" si="214"/>
        <v/>
      </c>
      <c r="J82" s="2175" t="str">
        <f t="shared" si="228"/>
        <v/>
      </c>
      <c r="K82" s="2172" t="str">
        <f t="shared" si="210"/>
        <v/>
      </c>
      <c r="L82" s="2176"/>
      <c r="M82" s="1585"/>
      <c r="N82" s="1560"/>
      <c r="O82" s="1560"/>
      <c r="P82" s="1562"/>
      <c r="Q82" s="1563"/>
      <c r="R82" s="1569"/>
      <c r="S82" s="2178" t="str">
        <f t="shared" ref="S82" si="253">IF(M82="","",pb_currency_symbol)</f>
        <v/>
      </c>
      <c r="T82" s="1584"/>
      <c r="U82" s="2180" t="str">
        <f t="shared" si="216"/>
        <v/>
      </c>
      <c r="V82" s="2178" t="str">
        <f t="shared" ref="V82" si="254">IF(W82=0,"",pb_currency_symbol)</f>
        <v/>
      </c>
      <c r="W82" s="1570"/>
      <c r="X82" s="2178" t="str">
        <f t="shared" ref="X82" si="255">IF(M82="","",pb_currency_symbol)</f>
        <v/>
      </c>
      <c r="Y82" s="2182" t="str">
        <f t="shared" si="219"/>
        <v/>
      </c>
      <c r="Z82" s="1578"/>
      <c r="AA82" s="2183" t="str" cm="1">
        <f t="array" ref="AA82">IF(M82="","",IF(P82=AL82,1,Slookup(MID(AL82,1,3)*1,UomConversion!$D$8:$J$500,5,UomConversion!$E$8:$E$500,MID(P82,1,3)*1,UomConversion!$J$8:$J$500,1)))</f>
        <v/>
      </c>
      <c r="AB82" s="2184" t="str">
        <f t="shared" si="220"/>
        <v/>
      </c>
      <c r="AC82" s="2185" t="str">
        <f t="shared" si="221"/>
        <v/>
      </c>
      <c r="AD82" s="2186" t="str">
        <f t="shared" si="222"/>
        <v/>
      </c>
      <c r="AE82" s="2187" t="str">
        <f t="shared" si="223"/>
        <v/>
      </c>
      <c r="AF82" s="2184" t="str">
        <f>IF(I82="","",IF(ISNA(MATCH(I82,IF(invoice_location_id=1,'[1]1_inventory_totals'!$C$8:$C$10000,IF(invoice_location_id=2,'[1]2_inventory_totals'!$C$8:$C$10000,0)),0)),0,IF(AS82&gt;0,1,0)))</f>
        <v/>
      </c>
      <c r="AG82" s="2184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H82" s="2184" t="str">
        <f>IF(M82="","",IF(ISNA(MATCH(I82,'[1]1_group_totals'!$C$8:$C$10000)),0,IF(AT82&gt;0,1,0)))</f>
        <v/>
      </c>
      <c r="AI82" s="2184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J82" s="2184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K82" s="2184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L82" s="2188" t="str">
        <f t="shared" si="224"/>
        <v/>
      </c>
      <c r="AM82" s="2188" t="str">
        <f>IF(OR(ISNA(MATCH(MID(AL82,1,3)*1,UomConversion!$D$8:$D$500,0)),M82=""),"",IF(AQ82="","",AQ82))</f>
        <v/>
      </c>
      <c r="AN82" s="2188" t="str">
        <f>IF(AND(AO82&gt;0,COUNTIFS(UomConversion!$D$8:$D$500,MID(AL82,1,3)*1,UomConversion!$J$8:$J$500,1)&gt;1),TEXT(AO82,"000")&amp;"."&amp;VLOOKUP(AO82,uom_list,5,FALSE),"")</f>
        <v/>
      </c>
      <c r="AO82" s="2184" t="str">
        <f t="shared" si="225"/>
        <v/>
      </c>
      <c r="AP82" s="2184" t="str">
        <f t="shared" si="226"/>
        <v/>
      </c>
      <c r="AQ82" s="2189" t="str">
        <f t="shared" si="227"/>
        <v/>
      </c>
      <c r="AR82" s="2190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2191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2190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1439"/>
      <c r="B83" s="1544"/>
      <c r="C83" s="1466"/>
      <c r="D83" s="1466"/>
      <c r="E83" s="1466"/>
      <c r="F83" s="1545"/>
      <c r="G83" s="1457"/>
      <c r="H83" s="1586"/>
      <c r="I83" s="2139" t="str">
        <f t="shared" si="214"/>
        <v/>
      </c>
      <c r="J83" s="2175" t="str">
        <f t="shared" si="228"/>
        <v/>
      </c>
      <c r="K83" s="2172" t="str">
        <f t="shared" si="210"/>
        <v/>
      </c>
      <c r="L83" s="2176"/>
      <c r="M83" s="1585"/>
      <c r="N83" s="1560"/>
      <c r="O83" s="1560"/>
      <c r="P83" s="1562"/>
      <c r="Q83" s="1563"/>
      <c r="R83" s="1569"/>
      <c r="S83" s="2178" t="str">
        <f t="shared" ref="S83" si="256">IF(M83="","",pb_currency_symbol)</f>
        <v/>
      </c>
      <c r="T83" s="1584"/>
      <c r="U83" s="2180" t="str">
        <f t="shared" si="216"/>
        <v/>
      </c>
      <c r="V83" s="2178" t="str">
        <f t="shared" ref="V83" si="257">IF(W83=0,"",pb_currency_symbol)</f>
        <v/>
      </c>
      <c r="W83" s="1570"/>
      <c r="X83" s="2178" t="str">
        <f t="shared" ref="X83" si="258">IF(M83="","",pb_currency_symbol)</f>
        <v/>
      </c>
      <c r="Y83" s="2182" t="str">
        <f t="shared" si="219"/>
        <v/>
      </c>
      <c r="Z83" s="1578"/>
      <c r="AA83" s="2183" t="str" cm="1">
        <f t="array" ref="AA83">IF(M83="","",IF(P83=AL83,1,Slookup(MID(AL83,1,3)*1,UomConversion!$D$8:$J$500,5,UomConversion!$E$8:$E$500,MID(P83,1,3)*1,UomConversion!$J$8:$J$500,1)))</f>
        <v/>
      </c>
      <c r="AB83" s="2184" t="str">
        <f t="shared" si="220"/>
        <v/>
      </c>
      <c r="AC83" s="2185" t="str">
        <f t="shared" si="221"/>
        <v/>
      </c>
      <c r="AD83" s="2186" t="str">
        <f t="shared" si="222"/>
        <v/>
      </c>
      <c r="AE83" s="2187" t="str">
        <f t="shared" si="223"/>
        <v/>
      </c>
      <c r="AF83" s="2184" t="str">
        <f>IF(I83="","",IF(ISNA(MATCH(I83,IF(invoice_location_id=1,'[1]1_inventory_totals'!$C$8:$C$10000,IF(invoice_location_id=2,'[1]2_inventory_totals'!$C$8:$C$10000,0)),0)),0,IF(AS83&gt;0,1,0)))</f>
        <v/>
      </c>
      <c r="AG83" s="2184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H83" s="2184" t="str">
        <f>IF(M83="","",IF(ISNA(MATCH(I83,'[1]1_group_totals'!$C$8:$C$10000)),0,IF(AT83&gt;0,1,0)))</f>
        <v/>
      </c>
      <c r="AI83" s="2184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J83" s="2184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K83" s="2184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L83" s="2188" t="str">
        <f t="shared" si="224"/>
        <v/>
      </c>
      <c r="AM83" s="2188" t="str">
        <f>IF(OR(ISNA(MATCH(MID(AL83,1,3)*1,UomConversion!$D$8:$D$500,0)),M83=""),"",IF(AQ83="","",AQ83))</f>
        <v/>
      </c>
      <c r="AN83" s="2188" t="str">
        <f>IF(AND(AO83&gt;0,COUNTIFS(UomConversion!$D$8:$D$500,MID(AL83,1,3)*1,UomConversion!$J$8:$J$500,1)&gt;1),TEXT(AO83,"000")&amp;"."&amp;VLOOKUP(AO83,uom_list,5,FALSE),"")</f>
        <v/>
      </c>
      <c r="AO83" s="2184" t="str">
        <f t="shared" si="225"/>
        <v/>
      </c>
      <c r="AP83" s="2184" t="str">
        <f t="shared" si="226"/>
        <v/>
      </c>
      <c r="AQ83" s="2189" t="str">
        <f t="shared" si="227"/>
        <v/>
      </c>
      <c r="AR83" s="2190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2191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2190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1439"/>
      <c r="B84" s="1544"/>
      <c r="C84" s="1466"/>
      <c r="D84" s="1466"/>
      <c r="E84" s="1466"/>
      <c r="F84" s="1545"/>
      <c r="G84" s="1457"/>
      <c r="H84" s="1586"/>
      <c r="I84" s="2139" t="str">
        <f t="shared" si="214"/>
        <v/>
      </c>
      <c r="J84" s="2175" t="str">
        <f t="shared" si="228"/>
        <v/>
      </c>
      <c r="K84" s="2172" t="str">
        <f t="shared" si="210"/>
        <v/>
      </c>
      <c r="L84" s="2176"/>
      <c r="M84" s="1585"/>
      <c r="N84" s="1560"/>
      <c r="O84" s="1560"/>
      <c r="P84" s="1562"/>
      <c r="Q84" s="1563"/>
      <c r="R84" s="1569"/>
      <c r="S84" s="2178" t="str">
        <f t="shared" ref="S84" si="259">IF(M84="","",pb_currency_symbol)</f>
        <v/>
      </c>
      <c r="T84" s="1584"/>
      <c r="U84" s="2180" t="str">
        <f t="shared" si="216"/>
        <v/>
      </c>
      <c r="V84" s="2178" t="str">
        <f t="shared" ref="V84" si="260">IF(W84=0,"",pb_currency_symbol)</f>
        <v/>
      </c>
      <c r="W84" s="1570"/>
      <c r="X84" s="2178" t="str">
        <f t="shared" ref="X84" si="261">IF(M84="","",pb_currency_symbol)</f>
        <v/>
      </c>
      <c r="Y84" s="2182" t="str">
        <f t="shared" si="219"/>
        <v/>
      </c>
      <c r="Z84" s="1578"/>
      <c r="AA84" s="2183" t="str" cm="1">
        <f t="array" ref="AA84">IF(M84="","",IF(P84=AL84,1,Slookup(MID(AL84,1,3)*1,UomConversion!$D$8:$J$500,5,UomConversion!$E$8:$E$500,MID(P84,1,3)*1,UomConversion!$J$8:$J$500,1)))</f>
        <v/>
      </c>
      <c r="AB84" s="2184" t="str">
        <f t="shared" si="220"/>
        <v/>
      </c>
      <c r="AC84" s="2185" t="str">
        <f t="shared" si="221"/>
        <v/>
      </c>
      <c r="AD84" s="2186" t="str">
        <f t="shared" si="222"/>
        <v/>
      </c>
      <c r="AE84" s="2187" t="str">
        <f t="shared" si="223"/>
        <v/>
      </c>
      <c r="AF84" s="2184" t="str">
        <f>IF(I84="","",IF(ISNA(MATCH(I84,IF(invoice_location_id=1,'[1]1_inventory_totals'!$C$8:$C$10000,IF(invoice_location_id=2,'[1]2_inventory_totals'!$C$8:$C$10000,0)),0)),0,IF(AS84&gt;0,1,0)))</f>
        <v/>
      </c>
      <c r="AG84" s="2184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H84" s="2184" t="str">
        <f>IF(M84="","",IF(ISNA(MATCH(I84,'[1]1_group_totals'!$C$8:$C$10000)),0,IF(AT84&gt;0,1,0)))</f>
        <v/>
      </c>
      <c r="AI84" s="2184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J84" s="2184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K84" s="2184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L84" s="2188" t="str">
        <f t="shared" si="224"/>
        <v/>
      </c>
      <c r="AM84" s="2188" t="str">
        <f>IF(OR(ISNA(MATCH(MID(AL84,1,3)*1,UomConversion!$D$8:$D$500,0)),M84=""),"",IF(AQ84="","",AQ84))</f>
        <v/>
      </c>
      <c r="AN84" s="2188" t="str">
        <f>IF(AND(AO84&gt;0,COUNTIFS(UomConversion!$D$8:$D$500,MID(AL84,1,3)*1,UomConversion!$J$8:$J$500,1)&gt;1),TEXT(AO84,"000")&amp;"."&amp;VLOOKUP(AO84,uom_list,5,FALSE),"")</f>
        <v/>
      </c>
      <c r="AO84" s="2184" t="str">
        <f t="shared" si="225"/>
        <v/>
      </c>
      <c r="AP84" s="2184" t="str">
        <f t="shared" si="226"/>
        <v/>
      </c>
      <c r="AQ84" s="2189" t="str">
        <f t="shared" si="227"/>
        <v/>
      </c>
      <c r="AR84" s="2190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2191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2190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1439"/>
      <c r="B85" s="1544"/>
      <c r="C85" s="1466"/>
      <c r="D85" s="1466"/>
      <c r="E85" s="1466"/>
      <c r="F85" s="1545"/>
      <c r="G85" s="1457"/>
      <c r="H85" s="1586"/>
      <c r="I85" s="2139" t="str">
        <f t="shared" si="214"/>
        <v/>
      </c>
      <c r="J85" s="2175" t="str">
        <f t="shared" si="228"/>
        <v/>
      </c>
      <c r="K85" s="2172" t="str">
        <f t="shared" si="210"/>
        <v/>
      </c>
      <c r="L85" s="2176"/>
      <c r="M85" s="1585"/>
      <c r="N85" s="1560"/>
      <c r="O85" s="1560"/>
      <c r="P85" s="1562"/>
      <c r="Q85" s="1563"/>
      <c r="R85" s="1569"/>
      <c r="S85" s="2178" t="str">
        <f t="shared" ref="S85" si="262">IF(M85="","",pb_currency_symbol)</f>
        <v/>
      </c>
      <c r="T85" s="1584"/>
      <c r="U85" s="2180" t="str">
        <f t="shared" si="216"/>
        <v/>
      </c>
      <c r="V85" s="2178" t="str">
        <f t="shared" ref="V85" si="263">IF(W85=0,"",pb_currency_symbol)</f>
        <v/>
      </c>
      <c r="W85" s="1570"/>
      <c r="X85" s="2178" t="str">
        <f t="shared" ref="X85" si="264">IF(M85="","",pb_currency_symbol)</f>
        <v/>
      </c>
      <c r="Y85" s="2182" t="str">
        <f t="shared" si="219"/>
        <v/>
      </c>
      <c r="Z85" s="1578"/>
      <c r="AA85" s="2183" t="str" cm="1">
        <f t="array" ref="AA85">IF(M85="","",IF(P85=AL85,1,Slookup(MID(AL85,1,3)*1,UomConversion!$D$8:$J$500,5,UomConversion!$E$8:$E$500,MID(P85,1,3)*1,UomConversion!$J$8:$J$500,1)))</f>
        <v/>
      </c>
      <c r="AB85" s="2184" t="str">
        <f t="shared" si="220"/>
        <v/>
      </c>
      <c r="AC85" s="2185" t="str">
        <f t="shared" si="221"/>
        <v/>
      </c>
      <c r="AD85" s="2186" t="str">
        <f t="shared" si="222"/>
        <v/>
      </c>
      <c r="AE85" s="2187" t="str">
        <f t="shared" si="223"/>
        <v/>
      </c>
      <c r="AF85" s="2184" t="str">
        <f>IF(I85="","",IF(ISNA(MATCH(I85,IF(invoice_location_id=1,'[1]1_inventory_totals'!$C$8:$C$10000,IF(invoice_location_id=2,'[1]2_inventory_totals'!$C$8:$C$10000,0)),0)),0,IF(AS85&gt;0,1,0)))</f>
        <v/>
      </c>
      <c r="AG85" s="2184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tr">
        <f>IF(M85="","",IF(ISNA(MATCH(I85,'[1]1_group_totals'!$C$8:$C$10000)),0,IF(AT85&gt;0,1,0)))</f>
        <v/>
      </c>
      <c r="AI85" s="2184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J85" s="2184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K85" s="2184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L85" s="2188" t="str">
        <f t="shared" si="224"/>
        <v/>
      </c>
      <c r="AM85" s="2188" t="str">
        <f>IF(OR(ISNA(MATCH(MID(AL85,1,3)*1,UomConversion!$D$8:$D$500,0)),M85=""),"",IF(AQ85="","",AQ85))</f>
        <v/>
      </c>
      <c r="AN85" s="2188" t="str">
        <f>IF(AND(AO85&gt;0,COUNTIFS(UomConversion!$D$8:$D$500,MID(AL85,1,3)*1,UomConversion!$J$8:$J$500,1)&gt;1),TEXT(AO85,"000")&amp;"."&amp;VLOOKUP(AO85,uom_list,5,FALSE),"")</f>
        <v/>
      </c>
      <c r="AO85" s="2184" t="str">
        <f t="shared" si="225"/>
        <v/>
      </c>
      <c r="AP85" s="2184" t="str">
        <f t="shared" si="226"/>
        <v/>
      </c>
      <c r="AQ85" s="2189" t="str">
        <f t="shared" si="227"/>
        <v/>
      </c>
      <c r="AR85" s="2190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2191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2190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1439"/>
      <c r="B86" s="1544"/>
      <c r="C86" s="1466"/>
      <c r="D86" s="1466"/>
      <c r="E86" s="1466"/>
      <c r="F86" s="1545"/>
      <c r="G86" s="1457"/>
      <c r="H86" s="1586"/>
      <c r="I86" s="2139" t="str">
        <f t="shared" si="214"/>
        <v/>
      </c>
      <c r="J86" s="2175" t="str">
        <f t="shared" si="228"/>
        <v/>
      </c>
      <c r="K86" s="2172" t="str">
        <f t="shared" si="210"/>
        <v/>
      </c>
      <c r="L86" s="2176"/>
      <c r="M86" s="1585"/>
      <c r="N86" s="1560"/>
      <c r="O86" s="1560"/>
      <c r="P86" s="1562"/>
      <c r="Q86" s="1563"/>
      <c r="R86" s="1569"/>
      <c r="S86" s="2178" t="str">
        <f t="shared" ref="S86" si="265">IF(M86="","",pb_currency_symbol)</f>
        <v/>
      </c>
      <c r="T86" s="1584"/>
      <c r="U86" s="2180" t="str">
        <f t="shared" si="216"/>
        <v/>
      </c>
      <c r="V86" s="2178" t="str">
        <f t="shared" ref="V86" si="266">IF(W86=0,"",pb_currency_symbol)</f>
        <v/>
      </c>
      <c r="W86" s="1570"/>
      <c r="X86" s="2178" t="str">
        <f t="shared" ref="X86" si="267">IF(M86="","",pb_currency_symbol)</f>
        <v/>
      </c>
      <c r="Y86" s="2182" t="str">
        <f t="shared" si="219"/>
        <v/>
      </c>
      <c r="Z86" s="1578"/>
      <c r="AA86" s="2183" t="str" cm="1">
        <f t="array" ref="AA86">IF(M86="","",IF(P86=AL86,1,Slookup(MID(AL86,1,3)*1,UomConversion!$D$8:$J$500,5,UomConversion!$E$8:$E$500,MID(P86,1,3)*1,UomConversion!$J$8:$J$500,1)))</f>
        <v/>
      </c>
      <c r="AB86" s="2184" t="str">
        <f t="shared" si="220"/>
        <v/>
      </c>
      <c r="AC86" s="2185" t="str">
        <f t="shared" si="221"/>
        <v/>
      </c>
      <c r="AD86" s="2186" t="str">
        <f t="shared" si="222"/>
        <v/>
      </c>
      <c r="AE86" s="2187" t="str">
        <f t="shared" si="223"/>
        <v/>
      </c>
      <c r="AF86" s="2184" t="str">
        <f>IF(I86="","",IF(ISNA(MATCH(I86,IF(invoice_location_id=1,'[1]1_inventory_totals'!$C$8:$C$10000,IF(invoice_location_id=2,'[1]2_inventory_totals'!$C$8:$C$10000,0)),0)),0,IF(AS86&gt;0,1,0)))</f>
        <v/>
      </c>
      <c r="AG86" s="2184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H86" s="2184" t="str">
        <f>IF(M86="","",IF(ISNA(MATCH(I86,'[1]1_group_totals'!$C$8:$C$10000)),0,IF(AT86&gt;0,1,0)))</f>
        <v/>
      </c>
      <c r="AI86" s="2184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J86" s="2184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K86" s="2184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L86" s="2188" t="str">
        <f t="shared" si="224"/>
        <v/>
      </c>
      <c r="AM86" s="2188" t="str">
        <f>IF(OR(ISNA(MATCH(MID(AL86,1,3)*1,UomConversion!$D$8:$D$500,0)),M86=""),"",IF(AQ86="","",AQ86))</f>
        <v/>
      </c>
      <c r="AN86" s="2188" t="str">
        <f>IF(AND(AO86&gt;0,COUNTIFS(UomConversion!$D$8:$D$500,MID(AL86,1,3)*1,UomConversion!$J$8:$J$500,1)&gt;1),TEXT(AO86,"000")&amp;"."&amp;VLOOKUP(AO86,uom_list,5,FALSE),"")</f>
        <v/>
      </c>
      <c r="AO86" s="2184" t="str">
        <f t="shared" si="225"/>
        <v/>
      </c>
      <c r="AP86" s="2184" t="str">
        <f t="shared" si="226"/>
        <v/>
      </c>
      <c r="AQ86" s="2189" t="str">
        <f t="shared" si="227"/>
        <v/>
      </c>
      <c r="AR86" s="2190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2191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2190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1439"/>
      <c r="B87" s="1544"/>
      <c r="C87" s="1466"/>
      <c r="D87" s="1466"/>
      <c r="E87" s="1466"/>
      <c r="F87" s="1545"/>
      <c r="G87" s="1457"/>
      <c r="I87" s="2139" t="str">
        <f t="shared" si="214"/>
        <v/>
      </c>
      <c r="J87" s="2175" t="str">
        <f t="shared" si="228"/>
        <v/>
      </c>
      <c r="K87" s="2172" t="str">
        <f t="shared" si="210"/>
        <v/>
      </c>
      <c r="L87" s="2176"/>
      <c r="M87" s="1585"/>
      <c r="N87" s="1560"/>
      <c r="O87" s="1560"/>
      <c r="P87" s="1562"/>
      <c r="Q87" s="1563"/>
      <c r="R87" s="1569"/>
      <c r="S87" s="2178" t="str">
        <f t="shared" ref="S87" si="268">IF(M87="","",pb_currency_symbol)</f>
        <v/>
      </c>
      <c r="T87" s="1584"/>
      <c r="U87" s="2180" t="str">
        <f t="shared" si="216"/>
        <v/>
      </c>
      <c r="V87" s="2178" t="str">
        <f t="shared" ref="V87" si="269">IF(W87=0,"",pb_currency_symbol)</f>
        <v/>
      </c>
      <c r="W87" s="1570"/>
      <c r="X87" s="2178" t="str">
        <f t="shared" ref="X87" si="270">IF(M87="","",pb_currency_symbol)</f>
        <v/>
      </c>
      <c r="Y87" s="2182" t="str">
        <f t="shared" si="219"/>
        <v/>
      </c>
      <c r="Z87" s="1578"/>
      <c r="AA87" s="2183" t="str" cm="1">
        <f t="array" ref="AA87">IF(M87="","",IF(P87=AL87,1,Slookup(MID(AL87,1,3)*1,UomConversion!$D$8:$J$500,5,UomConversion!$E$8:$E$500,MID(P87,1,3)*1,UomConversion!$J$8:$J$500,1)))</f>
        <v/>
      </c>
      <c r="AB87" s="2184" t="str">
        <f t="shared" si="220"/>
        <v/>
      </c>
      <c r="AC87" s="2185" t="str">
        <f t="shared" si="221"/>
        <v/>
      </c>
      <c r="AD87" s="2186" t="str">
        <f t="shared" si="222"/>
        <v/>
      </c>
      <c r="AE87" s="2187" t="str">
        <f t="shared" si="223"/>
        <v/>
      </c>
      <c r="AF87" s="2184" t="str">
        <f>IF(I87="","",IF(ISNA(MATCH(I87,IF(invoice_location_id=1,'[1]1_inventory_totals'!$C$8:$C$10000,IF(invoice_location_id=2,'[1]2_inventory_totals'!$C$8:$C$10000,0)),0)),0,IF(AS87&gt;0,1,0)))</f>
        <v/>
      </c>
      <c r="AG87" s="2184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H87" s="2184" t="str">
        <f>IF(M87="","",IF(ISNA(MATCH(I87,'[1]1_group_totals'!$C$8:$C$10000)),0,IF(AT87&gt;0,1,0)))</f>
        <v/>
      </c>
      <c r="AI87" s="2184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J87" s="2184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K87" s="2184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L87" s="2188" t="str">
        <f t="shared" si="224"/>
        <v/>
      </c>
      <c r="AM87" s="2188" t="str">
        <f>IF(OR(ISNA(MATCH(MID(AL87,1,3)*1,UomConversion!$D$8:$D$500,0)),M87=""),"",IF(AQ87="","",AQ87))</f>
        <v/>
      </c>
      <c r="AN87" s="2188" t="str">
        <f>IF(AND(AO87&gt;0,COUNTIFS(UomConversion!$D$8:$D$500,MID(AL87,1,3)*1,UomConversion!$J$8:$J$500,1)&gt;1),TEXT(AO87,"000")&amp;"."&amp;VLOOKUP(AO87,uom_list,5,FALSE),"")</f>
        <v/>
      </c>
      <c r="AO87" s="2184" t="str">
        <f t="shared" si="225"/>
        <v/>
      </c>
      <c r="AP87" s="2184" t="str">
        <f t="shared" si="226"/>
        <v/>
      </c>
      <c r="AQ87" s="2189" t="str">
        <f t="shared" si="227"/>
        <v/>
      </c>
      <c r="AR87" s="2190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2191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2190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1439"/>
      <c r="B88" s="1544"/>
      <c r="C88" s="1466"/>
      <c r="D88" s="1466"/>
      <c r="E88" s="1466"/>
      <c r="F88" s="1545"/>
      <c r="G88" s="1457"/>
      <c r="I88" s="1503"/>
      <c r="J88" s="1468"/>
      <c r="K88" s="1469"/>
      <c r="L88" s="1470"/>
      <c r="M88" s="1587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588"/>
      <c r="O88" s="1589" t="s">
        <v>1634</v>
      </c>
      <c r="P88" s="1589" t="s">
        <v>1635</v>
      </c>
      <c r="Q88" s="1589"/>
      <c r="R88" s="1589"/>
      <c r="S88" s="1475"/>
      <c r="T88" s="1475"/>
      <c r="U88" s="1476"/>
      <c r="V88" s="1590"/>
      <c r="W88" s="1591" t="s">
        <v>1636</v>
      </c>
      <c r="X88" s="1592" t="str">
        <f>pb_currency_symbol</f>
        <v>$</v>
      </c>
      <c r="Y88" s="2170">
        <f>SUM(Y8:Y87)</f>
        <v>0</v>
      </c>
      <c r="Z88" s="1479"/>
      <c r="AC88" s="1480">
        <f>SUM(AC8:AC87)</f>
        <v>0</v>
      </c>
      <c r="AD88" s="1481"/>
      <c r="AE88" s="1482"/>
    </row>
    <row r="89" spans="1:46" ht="27" customHeight="1" thickBot="1">
      <c r="A89" s="1439"/>
      <c r="B89" s="1544"/>
      <c r="C89" s="1440"/>
      <c r="D89" s="1440"/>
      <c r="E89" s="1440"/>
      <c r="F89" s="1545"/>
      <c r="G89" s="1457"/>
      <c r="J89" s="1483"/>
      <c r="M89" s="1484" t="s">
        <v>51</v>
      </c>
      <c r="N89" s="2130">
        <f>MID(pb_discount_option,1,1)*1</f>
        <v>1</v>
      </c>
      <c r="O89" s="1485"/>
      <c r="P89" s="2165"/>
      <c r="Q89" s="1487"/>
      <c r="R89" s="1487"/>
      <c r="U89" s="1488">
        <f>IFERROR(IF(pb_discount_option="",0,IF(pb_discount_id*1=1,N(pb_discount_amount),IF(pb_discount_id*1=2,(pb_sub_total_amount*pb_discount_percent)/100,0))),0)</f>
        <v>0</v>
      </c>
      <c r="V89" s="1593" t="str">
        <f>pb_currency_symbol</f>
        <v>$</v>
      </c>
      <c r="W89" s="1594" t="s">
        <v>1637</v>
      </c>
      <c r="X89" s="1595" t="str">
        <f>pb_currency_symbol</f>
        <v>$</v>
      </c>
      <c r="Y89" s="2169">
        <f>IFERROR(IF(pb_discount_option="",0,IF(pb_discount_id=1,N(pb_discount_amount),IF(pb_discount_id=2,(pb_sub_total_amount*pb_discount_percent)/100,0))),0)</f>
        <v>0</v>
      </c>
      <c r="Z89" s="1479"/>
      <c r="AC89" s="1398" t="s">
        <v>1618</v>
      </c>
      <c r="AD89" s="1596"/>
    </row>
    <row r="90" spans="1:46" ht="27" customHeight="1">
      <c r="B90" s="1544"/>
      <c r="C90" s="1490"/>
      <c r="D90" s="1490"/>
      <c r="E90" s="1490"/>
      <c r="F90" s="1545"/>
      <c r="G90" s="1457"/>
      <c r="J90" s="1468"/>
      <c r="K90" s="1469"/>
      <c r="L90" s="1470"/>
      <c r="M90" s="1491"/>
      <c r="N90" s="1492"/>
      <c r="S90" s="2136">
        <f>VLOOKUP(1,company_list,6,FALSE)</f>
        <v>1</v>
      </c>
      <c r="T90" s="1493"/>
      <c r="U90" s="1597" t="s">
        <v>3244</v>
      </c>
      <c r="V90" s="2168">
        <f>IF(U90="","",VLOOKUP(MID(U90,1,2)*1,vat_list,3,FALSE))</f>
        <v>0</v>
      </c>
      <c r="W90" s="1594" t="s">
        <v>1638</v>
      </c>
      <c r="X90" s="1595" t="str">
        <f>pb_currency_symbol</f>
        <v>$</v>
      </c>
      <c r="Y90" s="2169">
        <f>IF(OR(pb_sub_total_amount="",pb_sub_total_amount=0,pb_vat=""),0,IF(pb_vat_cal_id=2,(pb_sub_total_amount-pb_discount)*pb_vat_percent/100,IF(pb_vat_cal_id=1,(pb_sub_total_amount)*pb_vat_percent/100,"")))</f>
        <v>0</v>
      </c>
      <c r="Z90" s="1479"/>
      <c r="AC90" s="1494" t="s">
        <v>1904</v>
      </c>
      <c r="AD90" s="1598"/>
    </row>
    <row r="91" spans="1:46" ht="27" customHeight="1" thickBot="1">
      <c r="B91" s="1599"/>
      <c r="C91" s="1600"/>
      <c r="D91" s="1601"/>
      <c r="E91" s="1602"/>
      <c r="F91" s="1603"/>
      <c r="J91" s="1483"/>
      <c r="K91" s="1495"/>
      <c r="L91" s="1495"/>
      <c r="P91" s="1496"/>
      <c r="Q91" s="1496"/>
      <c r="R91" s="1449"/>
      <c r="S91" s="1604"/>
      <c r="T91" s="1604"/>
      <c r="U91" s="1605">
        <v>18</v>
      </c>
      <c r="V91" s="1606"/>
      <c r="W91" s="1594" t="s">
        <v>1910</v>
      </c>
      <c r="X91" s="1595" t="str">
        <f>pb_currency_symbol</f>
        <v>$</v>
      </c>
      <c r="Y91" s="2169">
        <v>0</v>
      </c>
      <c r="Z91" s="1479"/>
    </row>
    <row r="92" spans="1:46" ht="24.95" customHeight="1">
      <c r="J92" s="1499"/>
      <c r="K92" s="1499"/>
      <c r="L92" s="1499"/>
      <c r="M92" s="1500"/>
      <c r="N92" s="1500"/>
      <c r="P92" s="1449" t="s">
        <v>235</v>
      </c>
      <c r="Q92" s="1449"/>
      <c r="W92" s="1594" t="s">
        <v>1639</v>
      </c>
      <c r="X92" s="1595" t="str">
        <f>pb_currency_symbol</f>
        <v>$</v>
      </c>
      <c r="Y92" s="2169">
        <f>pb_sub_total_amount-pb_discount-pb_deposit+pb_total_vat</f>
        <v>0</v>
      </c>
      <c r="Z92" s="1479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1497"/>
    </row>
    <row r="112" spans="47:66" ht="7.5" customHeight="1">
      <c r="AV112" s="1607"/>
      <c r="BN112" s="1608"/>
    </row>
    <row r="113" spans="47:79" ht="24.95" customHeight="1">
      <c r="AU113" s="1609" t="s">
        <v>1609</v>
      </c>
      <c r="BM113" s="1610"/>
    </row>
    <row r="114" spans="47:79" ht="24.95" customHeight="1">
      <c r="AU114" s="1611" t="s">
        <v>237</v>
      </c>
      <c r="AV114" s="1612"/>
      <c r="AW114" s="1612" t="s">
        <v>1603</v>
      </c>
      <c r="AX114" s="1613" t="str">
        <f>VLOOKUP(1,company_list,2,FALSE)</f>
        <v>គោកស្នួល ខនស្រ្តាក់សិន មេធៀរៀល</v>
      </c>
      <c r="AY114" s="1614"/>
      <c r="AZ114" s="1614"/>
      <c r="BA114" s="1614"/>
      <c r="BM114" s="1615"/>
      <c r="BO114" s="1616"/>
      <c r="BP114" s="1616"/>
      <c r="BQ114" s="1616"/>
      <c r="BR114" s="1616"/>
      <c r="BS114" s="1617"/>
    </row>
    <row r="115" spans="47:79" ht="24.95" customHeight="1">
      <c r="AU115" s="1618" t="s">
        <v>123</v>
      </c>
      <c r="AV115" s="1619"/>
      <c r="AW115" s="1619" t="s">
        <v>1603</v>
      </c>
      <c r="AX115" s="1620" t="e">
        <f>IF(C13="","",VLOOKUP(MID(C13,1,2),branch_list,4,FALSE))</f>
        <v>#N/A</v>
      </c>
      <c r="AY115" s="1621"/>
      <c r="AZ115" s="1621"/>
      <c r="BA115" s="1621"/>
      <c r="BM115" s="1820"/>
      <c r="BN115" s="1820"/>
      <c r="BO115" s="1820"/>
      <c r="BP115" s="1820"/>
      <c r="BQ115" s="1820"/>
      <c r="BR115" s="1616"/>
      <c r="BS115" s="1617"/>
    </row>
    <row r="116" spans="47:79" ht="24.95" customHeight="1">
      <c r="AU116" s="1618" t="s">
        <v>121</v>
      </c>
      <c r="AV116" s="1619"/>
      <c r="AW116" s="1619" t="s">
        <v>1603</v>
      </c>
      <c r="AX116" s="1620" t="e">
        <f>IF(C13="","",VLOOKUP(MID(C13,1,2),branch_list,11,FALSE))</f>
        <v>#N/A</v>
      </c>
      <c r="AY116" s="1621"/>
      <c r="AZ116" s="1621"/>
      <c r="BA116" s="1621"/>
      <c r="BC116" s="1821" t="e">
        <f>IF(quote_service_type="","",MID(quote_service_type,5,100))</f>
        <v>#NAME?</v>
      </c>
      <c r="BD116" s="1821"/>
      <c r="BE116" s="1821"/>
      <c r="BF116" s="1821"/>
      <c r="BG116" s="1821"/>
      <c r="BH116" s="1622"/>
      <c r="BI116" s="1808"/>
      <c r="BM116" s="1820"/>
      <c r="BN116" s="1820"/>
      <c r="BO116" s="1820"/>
      <c r="BP116" s="1820"/>
      <c r="BQ116" s="1820"/>
      <c r="BR116" s="1616"/>
      <c r="BS116" s="1617"/>
    </row>
    <row r="117" spans="47:79" ht="24.95" customHeight="1">
      <c r="AU117" s="1609"/>
      <c r="AV117" s="1607"/>
      <c r="BC117" s="1821"/>
      <c r="BD117" s="1821"/>
      <c r="BE117" s="1821"/>
      <c r="BF117" s="1821"/>
      <c r="BG117" s="1821"/>
      <c r="BH117" s="1622"/>
      <c r="BI117" s="1808"/>
      <c r="BM117" s="1623"/>
      <c r="BN117" s="1608"/>
      <c r="BU117" s="1810" t="e">
        <f>IF(quote_service_type="","",MID(quote_service_type,5,100))</f>
        <v>#NAME?</v>
      </c>
      <c r="BV117" s="1810"/>
      <c r="BW117" s="1810"/>
      <c r="BX117" s="1810"/>
      <c r="BY117" s="1810"/>
      <c r="CA117" s="1808"/>
    </row>
    <row r="118" spans="47:79" ht="24.95" customHeight="1">
      <c r="AZ118" s="1624"/>
      <c r="BA118" s="1624"/>
      <c r="BC118" s="1821"/>
      <c r="BD118" s="1821"/>
      <c r="BE118" s="1821"/>
      <c r="BF118" s="1821"/>
      <c r="BG118" s="1821"/>
      <c r="BH118" s="1622"/>
      <c r="BI118" s="1808"/>
      <c r="BR118" s="1624"/>
      <c r="BS118" s="1624"/>
      <c r="BU118" s="1810"/>
      <c r="BV118" s="1810"/>
      <c r="BW118" s="1810"/>
      <c r="BX118" s="1810"/>
      <c r="BY118" s="1810"/>
      <c r="CA118" s="1808"/>
    </row>
    <row r="119" spans="47:79" ht="24.95" customHeight="1">
      <c r="AU119" s="1809" t="s">
        <v>237</v>
      </c>
      <c r="AV119" s="1809"/>
      <c r="AW119" s="1626" t="s">
        <v>1603</v>
      </c>
      <c r="AX119" s="1627" t="e">
        <f>IF(C11="","",VLOOKUP(MID(C11,1,4),customer_list,4,FALSE))</f>
        <v>#N/A</v>
      </c>
      <c r="AY119" s="1624"/>
      <c r="AZ119" s="1628"/>
      <c r="BA119" s="1628"/>
      <c r="BE119" s="1629"/>
      <c r="BF119" s="1630"/>
      <c r="BG119" s="1629"/>
      <c r="BH119" s="1630"/>
      <c r="BM119" s="1809" t="s">
        <v>237</v>
      </c>
      <c r="BN119" s="1809"/>
      <c r="BO119" s="1472" t="s">
        <v>1603</v>
      </c>
      <c r="BP119" s="1627" t="e">
        <f>IF(C11="","",VLOOKUP(MID(C11,1,4),customer_list,4,FALSE))</f>
        <v>#N/A</v>
      </c>
      <c r="BQ119" s="1624"/>
      <c r="BR119" s="1628"/>
      <c r="BS119" s="1628"/>
      <c r="CA119" s="1808"/>
    </row>
    <row r="120" spans="47:79" ht="24.95" customHeight="1">
      <c r="AU120" s="1809" t="s">
        <v>123</v>
      </c>
      <c r="AV120" s="1809"/>
      <c r="AW120" s="1626" t="s">
        <v>1603</v>
      </c>
      <c r="AX120" s="1631" t="e">
        <f>IF(C11="","",VLOOKUP(MID(C11,1,4),customer_list,8,FALSE))</f>
        <v>#N/A</v>
      </c>
      <c r="AY120" s="1628"/>
      <c r="AZ120" s="1628"/>
      <c r="BA120" s="1628"/>
      <c r="BE120" s="1625"/>
      <c r="BF120" s="1625" t="s">
        <v>82</v>
      </c>
      <c r="BG120" s="1472" t="s">
        <v>1603</v>
      </c>
      <c r="BH120" s="1632"/>
      <c r="BI120" s="1633">
        <f>IF(C9="","",C9)</f>
        <v>46216</v>
      </c>
      <c r="BJ120" s="1633"/>
      <c r="BM120" s="1809" t="s">
        <v>123</v>
      </c>
      <c r="BN120" s="1809"/>
      <c r="BO120" s="1472" t="s">
        <v>1603</v>
      </c>
      <c r="BP120" s="1631" t="e">
        <f>IF(C11="","",VLOOKUP(MID(C11,1,4),customer_list,8,FALSE))</f>
        <v>#N/A</v>
      </c>
      <c r="BQ120" s="1628"/>
      <c r="BR120" s="1628"/>
      <c r="BS120" s="1628"/>
      <c r="BW120" s="1625"/>
      <c r="BX120" s="1634"/>
      <c r="BY120" s="1635" t="s">
        <v>1627</v>
      </c>
      <c r="BZ120" s="1632"/>
      <c r="CA120" s="1633">
        <f>IF(C9="","",C9)</f>
        <v>46216</v>
      </c>
    </row>
    <row r="121" spans="47:79" ht="24.95" customHeight="1">
      <c r="AU121" s="1809" t="s">
        <v>121</v>
      </c>
      <c r="AV121" s="1809"/>
      <c r="AW121" s="1626" t="s">
        <v>1603</v>
      </c>
      <c r="AX121" s="1628" t="e">
        <f>IF(C11="","",VLOOKUP(MID(C11,1,4),customer_list,6,FALSE))</f>
        <v>#N/A</v>
      </c>
      <c r="AY121" s="1628"/>
      <c r="BE121" s="1625"/>
      <c r="BF121" s="1625" t="s">
        <v>176</v>
      </c>
      <c r="BG121" s="1472" t="s">
        <v>1603</v>
      </c>
      <c r="BH121" s="1636"/>
      <c r="BI121" s="1636" t="str">
        <f>IF(E9="","",E9)</f>
        <v>KSPB26-0009</v>
      </c>
      <c r="BM121" s="1809" t="s">
        <v>121</v>
      </c>
      <c r="BN121" s="1809"/>
      <c r="BO121" s="1472" t="s">
        <v>1603</v>
      </c>
      <c r="BP121" s="1628" t="e">
        <f>IF(C11="","",VLOOKUP(MID(C11,1,4),customer_list,6,FALSE))</f>
        <v>#N/A</v>
      </c>
      <c r="BQ121" s="1628"/>
      <c r="BW121" s="1625"/>
      <c r="BX121" s="1634"/>
      <c r="BY121" s="1634" t="s">
        <v>1628</v>
      </c>
      <c r="BZ121" s="1636"/>
      <c r="CA121" s="1636" t="str">
        <f>IF(E9="","",E9)</f>
        <v>KSPB26-0009</v>
      </c>
    </row>
    <row r="122" spans="47:79" ht="12" customHeight="1"/>
    <row r="123" spans="47:79" ht="24.95" customHeight="1">
      <c r="AU123" s="1637" t="s">
        <v>47</v>
      </c>
      <c r="AV123" s="1903" t="s">
        <v>176</v>
      </c>
      <c r="AW123" s="1904"/>
      <c r="AX123" s="1904"/>
      <c r="AY123" s="1903" t="s">
        <v>105</v>
      </c>
      <c r="AZ123" s="1905"/>
      <c r="BA123" s="1639" t="s">
        <v>74</v>
      </c>
      <c r="BB123" s="1639" t="s">
        <v>74</v>
      </c>
      <c r="BC123" s="1639" t="s">
        <v>62</v>
      </c>
      <c r="BD123" s="1903" t="s">
        <v>63</v>
      </c>
      <c r="BE123" s="1905"/>
      <c r="BF123" s="1903" t="s">
        <v>46</v>
      </c>
      <c r="BG123" s="1905"/>
      <c r="BH123" s="1903" t="s">
        <v>223</v>
      </c>
      <c r="BI123" s="1905"/>
      <c r="BJ123" s="1497"/>
      <c r="BM123" s="1639" t="s">
        <v>47</v>
      </c>
      <c r="BN123" s="1903" t="s">
        <v>176</v>
      </c>
      <c r="BO123" s="1904"/>
      <c r="BP123" s="1904"/>
      <c r="BQ123" s="1903" t="s">
        <v>105</v>
      </c>
      <c r="BR123" s="1905"/>
      <c r="BS123" s="1639" t="s">
        <v>74</v>
      </c>
      <c r="BT123" s="1639" t="s">
        <v>74</v>
      </c>
      <c r="BU123" s="1638" t="s">
        <v>62</v>
      </c>
      <c r="BV123" s="1903" t="s">
        <v>63</v>
      </c>
      <c r="BW123" s="1905"/>
      <c r="BX123" s="1903" t="s">
        <v>46</v>
      </c>
      <c r="BY123" s="1905"/>
      <c r="BZ123" s="1903" t="s">
        <v>223</v>
      </c>
      <c r="CA123" s="1905"/>
    </row>
    <row r="124" spans="47:79" ht="24.95" customHeight="1">
      <c r="AU124" s="1640" t="s">
        <v>9</v>
      </c>
      <c r="AV124" s="1901" t="s">
        <v>111</v>
      </c>
      <c r="AW124" s="1902"/>
      <c r="AX124" s="1902"/>
      <c r="AY124" s="1901" t="s">
        <v>289</v>
      </c>
      <c r="AZ124" s="1906"/>
      <c r="BA124" s="1640" t="s">
        <v>76</v>
      </c>
      <c r="BB124" s="1640" t="s">
        <v>732</v>
      </c>
      <c r="BC124" s="1640" t="s">
        <v>14</v>
      </c>
      <c r="BD124" s="1901" t="s">
        <v>77</v>
      </c>
      <c r="BE124" s="1906"/>
      <c r="BF124" s="1901" t="s">
        <v>95</v>
      </c>
      <c r="BG124" s="1906"/>
      <c r="BH124" s="1901" t="s">
        <v>1604</v>
      </c>
      <c r="BI124" s="1906"/>
      <c r="BM124" s="1640" t="s">
        <v>9</v>
      </c>
      <c r="BN124" s="1901" t="s">
        <v>111</v>
      </c>
      <c r="BO124" s="1902"/>
      <c r="BP124" s="1902"/>
      <c r="BQ124" s="1901" t="s">
        <v>289</v>
      </c>
      <c r="BR124" s="1906"/>
      <c r="BS124" s="1640" t="s">
        <v>76</v>
      </c>
      <c r="BT124" s="1640" t="s">
        <v>732</v>
      </c>
      <c r="BU124" s="1641" t="s">
        <v>14</v>
      </c>
      <c r="BV124" s="1901" t="s">
        <v>77</v>
      </c>
      <c r="BW124" s="1906"/>
      <c r="BX124" s="1901" t="s">
        <v>95</v>
      </c>
      <c r="BY124" s="1906"/>
      <c r="BZ124" s="1901" t="s">
        <v>1604</v>
      </c>
      <c r="CA124" s="1906"/>
    </row>
    <row r="125" spans="47:79" ht="24.95" customHeight="1">
      <c r="AU125" s="1642" t="str">
        <f>IF(M8="","",1)</f>
        <v/>
      </c>
      <c r="AV125" s="1643" t="str">
        <f t="shared" ref="AV125:AV156" si="271">IF(K8&lt;&gt;"",K8,"")</f>
        <v/>
      </c>
      <c r="AW125" s="1643"/>
      <c r="AX125" s="1644"/>
      <c r="AY125" s="1645" t="str">
        <f t="shared" ref="AY125:AY156" si="272">IF(M8&lt;&gt;"",MID(M8,7,200),"")</f>
        <v/>
      </c>
      <c r="AZ125" s="1646"/>
      <c r="BA125" s="1647" t="str">
        <f t="shared" ref="BA125:BA156" si="273">IF(N8&gt;0,N8,"")</f>
        <v/>
      </c>
      <c r="BB125" s="1647" t="str">
        <f t="shared" ref="BB125:BB156" si="274">IF(O8&lt;&gt;"",O8,"")</f>
        <v/>
      </c>
      <c r="BC125" s="1648" t="str">
        <f t="shared" ref="BC125:BC156" si="275">IF(M8&lt;&gt;"",MID(P8,5,100),"")</f>
        <v/>
      </c>
      <c r="BD125" s="1649" t="str">
        <f t="shared" ref="BD125:BD188" si="276">IF(AY125="","",quote_currency_symbol)</f>
        <v/>
      </c>
      <c r="BE125" s="1650" t="str">
        <f t="shared" ref="BE125:BE156" si="277">IF(M8&lt;&gt;"",U8,"")</f>
        <v/>
      </c>
      <c r="BF125" s="1651" t="e">
        <f>IF(BG125=0,"",quote_currency_symbol)</f>
        <v>#NAME?</v>
      </c>
      <c r="BG125" s="1652" t="str">
        <f t="shared" ref="BG125:BG156" si="278">IF(M8&lt;&gt;"",W8,"")</f>
        <v/>
      </c>
      <c r="BH125" s="1651" t="str">
        <f t="shared" ref="BH125:BH188" si="279">IF(AY125="","",quote_currency_symbol)</f>
        <v/>
      </c>
      <c r="BI125" s="1653" t="str">
        <f>IF(AND(AY125&lt;&gt;"",BA125&gt;0),(N(BA125))*BE125-BG125,"")</f>
        <v/>
      </c>
      <c r="BM125" s="1643" t="str">
        <f>IF(M8="","",1)</f>
        <v/>
      </c>
      <c r="BN125" s="1644" t="str">
        <f t="shared" ref="BN125:BN156" si="280">IF(M8&lt;&gt;"",K8,"")</f>
        <v/>
      </c>
      <c r="BO125" s="1644"/>
      <c r="BP125" s="1644"/>
      <c r="BQ125" s="1645" t="str">
        <f t="shared" ref="BQ125:BQ156" si="281">IF(M8&lt;&gt;"",MID(M8,7,200),"")</f>
        <v/>
      </c>
      <c r="BR125" s="1646"/>
      <c r="BS125" s="1643" t="str">
        <f t="shared" ref="BS125:BS156" si="282">IF(N8&gt;0,N8,"")</f>
        <v/>
      </c>
      <c r="BT125" s="1643" t="str">
        <f t="shared" ref="BT125:BT156" si="283">IF(O8&lt;&gt;"",O8,"")</f>
        <v/>
      </c>
      <c r="BU125" s="1648" t="str">
        <f t="shared" ref="BU125:BU156" si="284">IF(M8&lt;&gt;"",MID(P8,5,100),"")</f>
        <v/>
      </c>
      <c r="BV125" s="1649" t="str">
        <f t="shared" ref="BV125:BV188" si="285">IF(BQ125="","",quote_currency_symbol)</f>
        <v/>
      </c>
      <c r="BW125" s="1654" t="str">
        <f t="shared" ref="BW125:BW156" si="286">IF(M8&lt;&gt;"",U8,"")</f>
        <v/>
      </c>
      <c r="BX125" s="1655" t="str">
        <f t="shared" ref="BX125:BX188" si="287">IF(BQ125="","",quote_currency_symbol)</f>
        <v/>
      </c>
      <c r="BY125" s="1655" t="str">
        <f t="shared" ref="BY125:BY156" si="288">IF(M8&lt;&gt;"",W8,"")</f>
        <v/>
      </c>
      <c r="BZ125" s="1656" t="str">
        <f t="shared" ref="BZ125:BZ188" si="289">IF(BQ125="","",quote_currency_symbol)</f>
        <v/>
      </c>
      <c r="CA125" s="1655" t="str">
        <f>IF(AND(BQ125&lt;&gt;"",BS125&gt;0),(N(BS125))*BW125-BY125,"")</f>
        <v/>
      </c>
    </row>
    <row r="126" spans="47:79" ht="24.95" customHeight="1">
      <c r="AU126" s="1657" t="str">
        <f t="shared" ref="AU126:AU157" si="290">IF(M9="","",AU125+1)</f>
        <v/>
      </c>
      <c r="AV126" s="1658" t="str">
        <f t="shared" si="271"/>
        <v/>
      </c>
      <c r="AW126" s="1658"/>
      <c r="AX126" s="1659"/>
      <c r="AY126" s="1645" t="str">
        <f t="shared" si="272"/>
        <v/>
      </c>
      <c r="AZ126" s="1620"/>
      <c r="BA126" s="1619" t="str">
        <f t="shared" si="273"/>
        <v/>
      </c>
      <c r="BB126" s="1619" t="str">
        <f t="shared" si="274"/>
        <v/>
      </c>
      <c r="BC126" s="1648" t="str">
        <f t="shared" si="275"/>
        <v/>
      </c>
      <c r="BD126" s="1660" t="str">
        <f t="shared" si="276"/>
        <v/>
      </c>
      <c r="BE126" s="1652" t="str">
        <f t="shared" si="277"/>
        <v/>
      </c>
      <c r="BF126" s="1661" t="str">
        <f t="shared" ref="BF126:BF189" si="291">IF(AY126="","",quote_currency_symbol)</f>
        <v/>
      </c>
      <c r="BG126" s="1652" t="str">
        <f t="shared" si="278"/>
        <v/>
      </c>
      <c r="BH126" s="1661" t="str">
        <f t="shared" si="279"/>
        <v/>
      </c>
      <c r="BI126" s="1653" t="str">
        <f t="shared" ref="BI126:BI189" si="292">IF(AND(AY126&lt;&gt;"",BA126&gt;0),(N(BA126))*BE126-BG126,"")</f>
        <v/>
      </c>
      <c r="BM126" s="1658" t="str">
        <f t="shared" ref="BM126:BM157" si="293">IF(M9="","",BM125+1)</f>
        <v/>
      </c>
      <c r="BN126" s="1659" t="str">
        <f t="shared" si="280"/>
        <v/>
      </c>
      <c r="BO126" s="1659"/>
      <c r="BP126" s="1659"/>
      <c r="BQ126" s="1645" t="str">
        <f t="shared" si="281"/>
        <v/>
      </c>
      <c r="BR126" s="1620"/>
      <c r="BS126" s="1658" t="str">
        <f t="shared" si="282"/>
        <v/>
      </c>
      <c r="BT126" s="1658" t="str">
        <f t="shared" si="283"/>
        <v/>
      </c>
      <c r="BU126" s="1648" t="str">
        <f t="shared" si="284"/>
        <v/>
      </c>
      <c r="BV126" s="1660" t="str">
        <f t="shared" si="285"/>
        <v/>
      </c>
      <c r="BW126" s="1662" t="str">
        <f t="shared" si="286"/>
        <v/>
      </c>
      <c r="BX126" s="1663" t="str">
        <f t="shared" si="287"/>
        <v/>
      </c>
      <c r="BY126" s="1663" t="str">
        <f t="shared" si="288"/>
        <v/>
      </c>
      <c r="BZ126" s="1664" t="str">
        <f t="shared" si="289"/>
        <v/>
      </c>
      <c r="CA126" s="1655" t="str">
        <f t="shared" ref="CA126:CA189" si="294">IF(AND(BQ126&lt;&gt;"",BS126&gt;0),(N(BS126))*BW126-BY126,"")</f>
        <v/>
      </c>
    </row>
    <row r="127" spans="47:79" ht="24.95" customHeight="1">
      <c r="AU127" s="1657" t="str">
        <f t="shared" si="290"/>
        <v/>
      </c>
      <c r="AV127" s="1658" t="str">
        <f t="shared" si="271"/>
        <v/>
      </c>
      <c r="AW127" s="1658"/>
      <c r="AX127" s="1659"/>
      <c r="AY127" s="1645" t="str">
        <f t="shared" si="272"/>
        <v/>
      </c>
      <c r="AZ127" s="1620"/>
      <c r="BA127" s="1619" t="str">
        <f t="shared" si="273"/>
        <v/>
      </c>
      <c r="BB127" s="1619" t="str">
        <f t="shared" si="274"/>
        <v/>
      </c>
      <c r="BC127" s="1648" t="str">
        <f t="shared" si="275"/>
        <v/>
      </c>
      <c r="BD127" s="1660" t="str">
        <f t="shared" si="276"/>
        <v/>
      </c>
      <c r="BE127" s="1652" t="str">
        <f t="shared" si="277"/>
        <v/>
      </c>
      <c r="BF127" s="1661" t="str">
        <f t="shared" si="291"/>
        <v/>
      </c>
      <c r="BG127" s="1652" t="str">
        <f t="shared" si="278"/>
        <v/>
      </c>
      <c r="BH127" s="1661" t="str">
        <f t="shared" si="279"/>
        <v/>
      </c>
      <c r="BI127" s="1653" t="str">
        <f t="shared" si="292"/>
        <v/>
      </c>
      <c r="BM127" s="1658" t="str">
        <f t="shared" si="293"/>
        <v/>
      </c>
      <c r="BN127" s="1659" t="str">
        <f t="shared" si="280"/>
        <v/>
      </c>
      <c r="BO127" s="1659"/>
      <c r="BP127" s="1659"/>
      <c r="BQ127" s="1645" t="str">
        <f t="shared" si="281"/>
        <v/>
      </c>
      <c r="BR127" s="1620"/>
      <c r="BS127" s="1658" t="str">
        <f t="shared" si="282"/>
        <v/>
      </c>
      <c r="BT127" s="1658" t="str">
        <f t="shared" si="283"/>
        <v/>
      </c>
      <c r="BU127" s="1648" t="str">
        <f t="shared" si="284"/>
        <v/>
      </c>
      <c r="BV127" s="1660" t="str">
        <f t="shared" si="285"/>
        <v/>
      </c>
      <c r="BW127" s="1662" t="str">
        <f t="shared" si="286"/>
        <v/>
      </c>
      <c r="BX127" s="1663" t="str">
        <f t="shared" si="287"/>
        <v/>
      </c>
      <c r="BY127" s="1663" t="str">
        <f t="shared" si="288"/>
        <v/>
      </c>
      <c r="BZ127" s="1664" t="str">
        <f t="shared" si="289"/>
        <v/>
      </c>
      <c r="CA127" s="1655" t="str">
        <f t="shared" si="294"/>
        <v/>
      </c>
    </row>
    <row r="128" spans="47:79" ht="24.95" customHeight="1">
      <c r="AU128" s="1657" t="str">
        <f t="shared" si="290"/>
        <v/>
      </c>
      <c r="AV128" s="1658" t="str">
        <f t="shared" si="271"/>
        <v/>
      </c>
      <c r="AW128" s="1658"/>
      <c r="AX128" s="1659"/>
      <c r="AY128" s="1645" t="str">
        <f t="shared" si="272"/>
        <v/>
      </c>
      <c r="AZ128" s="1620"/>
      <c r="BA128" s="1619" t="str">
        <f t="shared" si="273"/>
        <v/>
      </c>
      <c r="BB128" s="1619" t="str">
        <f t="shared" si="274"/>
        <v/>
      </c>
      <c r="BC128" s="1648" t="str">
        <f t="shared" si="275"/>
        <v/>
      </c>
      <c r="BD128" s="1660" t="str">
        <f t="shared" si="276"/>
        <v/>
      </c>
      <c r="BE128" s="1652" t="str">
        <f t="shared" si="277"/>
        <v/>
      </c>
      <c r="BF128" s="1661" t="str">
        <f t="shared" si="291"/>
        <v/>
      </c>
      <c r="BG128" s="1652" t="str">
        <f t="shared" si="278"/>
        <v/>
      </c>
      <c r="BH128" s="1661" t="str">
        <f t="shared" si="279"/>
        <v/>
      </c>
      <c r="BI128" s="1653" t="str">
        <f t="shared" si="292"/>
        <v/>
      </c>
      <c r="BM128" s="1658" t="str">
        <f t="shared" si="293"/>
        <v/>
      </c>
      <c r="BN128" s="1659" t="str">
        <f t="shared" si="280"/>
        <v/>
      </c>
      <c r="BO128" s="1659"/>
      <c r="BP128" s="1659"/>
      <c r="BQ128" s="1645" t="str">
        <f t="shared" si="281"/>
        <v/>
      </c>
      <c r="BR128" s="1620"/>
      <c r="BS128" s="1658" t="str">
        <f t="shared" si="282"/>
        <v/>
      </c>
      <c r="BT128" s="1658" t="str">
        <f t="shared" si="283"/>
        <v/>
      </c>
      <c r="BU128" s="1648" t="str">
        <f t="shared" si="284"/>
        <v/>
      </c>
      <c r="BV128" s="1660" t="str">
        <f t="shared" si="285"/>
        <v/>
      </c>
      <c r="BW128" s="1662" t="str">
        <f t="shared" si="286"/>
        <v/>
      </c>
      <c r="BX128" s="1663" t="str">
        <f t="shared" si="287"/>
        <v/>
      </c>
      <c r="BY128" s="1663" t="str">
        <f t="shared" si="288"/>
        <v/>
      </c>
      <c r="BZ128" s="1664" t="str">
        <f t="shared" si="289"/>
        <v/>
      </c>
      <c r="CA128" s="1655" t="str">
        <f t="shared" si="294"/>
        <v/>
      </c>
    </row>
    <row r="129" spans="47:79" ht="24.95" customHeight="1">
      <c r="AU129" s="1657" t="str">
        <f t="shared" si="290"/>
        <v/>
      </c>
      <c r="AV129" s="1658" t="str">
        <f t="shared" si="271"/>
        <v/>
      </c>
      <c r="AW129" s="1658"/>
      <c r="AX129" s="1659"/>
      <c r="AY129" s="1645" t="str">
        <f t="shared" si="272"/>
        <v/>
      </c>
      <c r="AZ129" s="1620"/>
      <c r="BA129" s="1619" t="str">
        <f t="shared" si="273"/>
        <v/>
      </c>
      <c r="BB129" s="1619" t="str">
        <f t="shared" si="274"/>
        <v/>
      </c>
      <c r="BC129" s="1648" t="str">
        <f t="shared" si="275"/>
        <v/>
      </c>
      <c r="BD129" s="1660" t="str">
        <f t="shared" si="276"/>
        <v/>
      </c>
      <c r="BE129" s="1652" t="str">
        <f t="shared" si="277"/>
        <v/>
      </c>
      <c r="BF129" s="1661" t="str">
        <f t="shared" si="291"/>
        <v/>
      </c>
      <c r="BG129" s="1652" t="str">
        <f t="shared" si="278"/>
        <v/>
      </c>
      <c r="BH129" s="1661" t="str">
        <f t="shared" si="279"/>
        <v/>
      </c>
      <c r="BI129" s="1653" t="str">
        <f t="shared" si="292"/>
        <v/>
      </c>
      <c r="BM129" s="1658" t="str">
        <f t="shared" si="293"/>
        <v/>
      </c>
      <c r="BN129" s="1659" t="str">
        <f t="shared" si="280"/>
        <v/>
      </c>
      <c r="BO129" s="1659"/>
      <c r="BP129" s="1659"/>
      <c r="BQ129" s="1645" t="str">
        <f t="shared" si="281"/>
        <v/>
      </c>
      <c r="BR129" s="1620"/>
      <c r="BS129" s="1658" t="str">
        <f t="shared" si="282"/>
        <v/>
      </c>
      <c r="BT129" s="1658" t="str">
        <f t="shared" si="283"/>
        <v/>
      </c>
      <c r="BU129" s="1648" t="str">
        <f t="shared" si="284"/>
        <v/>
      </c>
      <c r="BV129" s="1660" t="str">
        <f t="shared" si="285"/>
        <v/>
      </c>
      <c r="BW129" s="1662" t="str">
        <f t="shared" si="286"/>
        <v/>
      </c>
      <c r="BX129" s="1663" t="str">
        <f t="shared" si="287"/>
        <v/>
      </c>
      <c r="BY129" s="1663" t="str">
        <f t="shared" si="288"/>
        <v/>
      </c>
      <c r="BZ129" s="1664" t="str">
        <f t="shared" si="289"/>
        <v/>
      </c>
      <c r="CA129" s="1655" t="str">
        <f t="shared" si="294"/>
        <v/>
      </c>
    </row>
    <row r="130" spans="47:79" ht="24.95" customHeight="1">
      <c r="AU130" s="1657" t="str">
        <f t="shared" si="290"/>
        <v/>
      </c>
      <c r="AV130" s="1658" t="str">
        <f t="shared" si="271"/>
        <v/>
      </c>
      <c r="AW130" s="1658"/>
      <c r="AX130" s="1659"/>
      <c r="AY130" s="1645" t="str">
        <f t="shared" si="272"/>
        <v/>
      </c>
      <c r="AZ130" s="1620"/>
      <c r="BA130" s="1619" t="str">
        <f t="shared" si="273"/>
        <v/>
      </c>
      <c r="BB130" s="1619" t="str">
        <f t="shared" si="274"/>
        <v/>
      </c>
      <c r="BC130" s="1648" t="str">
        <f t="shared" si="275"/>
        <v/>
      </c>
      <c r="BD130" s="1660" t="str">
        <f t="shared" si="276"/>
        <v/>
      </c>
      <c r="BE130" s="1652" t="str">
        <f t="shared" si="277"/>
        <v/>
      </c>
      <c r="BF130" s="1661" t="str">
        <f t="shared" si="291"/>
        <v/>
      </c>
      <c r="BG130" s="1652" t="str">
        <f t="shared" si="278"/>
        <v/>
      </c>
      <c r="BH130" s="1661" t="str">
        <f t="shared" si="279"/>
        <v/>
      </c>
      <c r="BI130" s="1653" t="str">
        <f t="shared" si="292"/>
        <v/>
      </c>
      <c r="BM130" s="1658" t="str">
        <f t="shared" si="293"/>
        <v/>
      </c>
      <c r="BN130" s="1659" t="str">
        <f t="shared" si="280"/>
        <v/>
      </c>
      <c r="BO130" s="1659"/>
      <c r="BP130" s="1659"/>
      <c r="BQ130" s="1645" t="str">
        <f t="shared" si="281"/>
        <v/>
      </c>
      <c r="BR130" s="1620"/>
      <c r="BS130" s="1658" t="str">
        <f t="shared" si="282"/>
        <v/>
      </c>
      <c r="BT130" s="1658" t="str">
        <f t="shared" si="283"/>
        <v/>
      </c>
      <c r="BU130" s="1648" t="str">
        <f t="shared" si="284"/>
        <v/>
      </c>
      <c r="BV130" s="1660" t="str">
        <f t="shared" si="285"/>
        <v/>
      </c>
      <c r="BW130" s="1662" t="str">
        <f t="shared" si="286"/>
        <v/>
      </c>
      <c r="BX130" s="1663" t="str">
        <f t="shared" si="287"/>
        <v/>
      </c>
      <c r="BY130" s="1663" t="str">
        <f t="shared" si="288"/>
        <v/>
      </c>
      <c r="BZ130" s="1664" t="str">
        <f t="shared" si="289"/>
        <v/>
      </c>
      <c r="CA130" s="1655" t="str">
        <f t="shared" si="294"/>
        <v/>
      </c>
    </row>
    <row r="131" spans="47:79" ht="24.95" customHeight="1">
      <c r="AU131" s="1657" t="str">
        <f t="shared" si="290"/>
        <v/>
      </c>
      <c r="AV131" s="1658" t="str">
        <f t="shared" si="271"/>
        <v/>
      </c>
      <c r="AW131" s="1658"/>
      <c r="AX131" s="1659"/>
      <c r="AY131" s="1645" t="str">
        <f t="shared" si="272"/>
        <v/>
      </c>
      <c r="AZ131" s="1620"/>
      <c r="BA131" s="1619" t="str">
        <f t="shared" si="273"/>
        <v/>
      </c>
      <c r="BB131" s="1619" t="str">
        <f t="shared" si="274"/>
        <v/>
      </c>
      <c r="BC131" s="1648" t="str">
        <f t="shared" si="275"/>
        <v/>
      </c>
      <c r="BD131" s="1660" t="str">
        <f t="shared" si="276"/>
        <v/>
      </c>
      <c r="BE131" s="1652" t="str">
        <f t="shared" si="277"/>
        <v/>
      </c>
      <c r="BF131" s="1661" t="str">
        <f t="shared" si="291"/>
        <v/>
      </c>
      <c r="BG131" s="1652" t="str">
        <f t="shared" si="278"/>
        <v/>
      </c>
      <c r="BH131" s="1661" t="str">
        <f t="shared" si="279"/>
        <v/>
      </c>
      <c r="BI131" s="1653" t="str">
        <f t="shared" si="292"/>
        <v/>
      </c>
      <c r="BM131" s="1658" t="str">
        <f t="shared" si="293"/>
        <v/>
      </c>
      <c r="BN131" s="1659" t="str">
        <f t="shared" si="280"/>
        <v/>
      </c>
      <c r="BO131" s="1659"/>
      <c r="BP131" s="1659"/>
      <c r="BQ131" s="1645" t="str">
        <f t="shared" si="281"/>
        <v/>
      </c>
      <c r="BR131" s="1620"/>
      <c r="BS131" s="1658" t="str">
        <f t="shared" si="282"/>
        <v/>
      </c>
      <c r="BT131" s="1658" t="str">
        <f t="shared" si="283"/>
        <v/>
      </c>
      <c r="BU131" s="1648" t="str">
        <f t="shared" si="284"/>
        <v/>
      </c>
      <c r="BV131" s="1660" t="str">
        <f t="shared" si="285"/>
        <v/>
      </c>
      <c r="BW131" s="1662" t="str">
        <f t="shared" si="286"/>
        <v/>
      </c>
      <c r="BX131" s="1663" t="str">
        <f t="shared" si="287"/>
        <v/>
      </c>
      <c r="BY131" s="1663" t="str">
        <f t="shared" si="288"/>
        <v/>
      </c>
      <c r="BZ131" s="1664" t="str">
        <f t="shared" si="289"/>
        <v/>
      </c>
      <c r="CA131" s="1655" t="str">
        <f t="shared" si="294"/>
        <v/>
      </c>
    </row>
    <row r="132" spans="47:79" ht="24.95" customHeight="1">
      <c r="AU132" s="1657" t="str">
        <f t="shared" si="290"/>
        <v/>
      </c>
      <c r="AV132" s="1658" t="str">
        <f t="shared" si="271"/>
        <v/>
      </c>
      <c r="AW132" s="1658"/>
      <c r="AX132" s="1659"/>
      <c r="AY132" s="1645" t="str">
        <f t="shared" si="272"/>
        <v/>
      </c>
      <c r="AZ132" s="1620"/>
      <c r="BA132" s="1619" t="str">
        <f t="shared" si="273"/>
        <v/>
      </c>
      <c r="BB132" s="1619" t="str">
        <f t="shared" si="274"/>
        <v/>
      </c>
      <c r="BC132" s="1648" t="str">
        <f t="shared" si="275"/>
        <v/>
      </c>
      <c r="BD132" s="1660" t="str">
        <f t="shared" si="276"/>
        <v/>
      </c>
      <c r="BE132" s="1652" t="str">
        <f t="shared" si="277"/>
        <v/>
      </c>
      <c r="BF132" s="1661" t="str">
        <f t="shared" si="291"/>
        <v/>
      </c>
      <c r="BG132" s="1652" t="str">
        <f t="shared" si="278"/>
        <v/>
      </c>
      <c r="BH132" s="1661" t="str">
        <f t="shared" si="279"/>
        <v/>
      </c>
      <c r="BI132" s="1653" t="str">
        <f t="shared" si="292"/>
        <v/>
      </c>
      <c r="BM132" s="1658" t="str">
        <f t="shared" si="293"/>
        <v/>
      </c>
      <c r="BN132" s="1659" t="str">
        <f t="shared" si="280"/>
        <v/>
      </c>
      <c r="BO132" s="1659"/>
      <c r="BP132" s="1659"/>
      <c r="BQ132" s="1645" t="str">
        <f t="shared" si="281"/>
        <v/>
      </c>
      <c r="BR132" s="1620"/>
      <c r="BS132" s="1658" t="str">
        <f t="shared" si="282"/>
        <v/>
      </c>
      <c r="BT132" s="1658" t="str">
        <f t="shared" si="283"/>
        <v/>
      </c>
      <c r="BU132" s="1648" t="str">
        <f t="shared" si="284"/>
        <v/>
      </c>
      <c r="BV132" s="1660" t="str">
        <f t="shared" si="285"/>
        <v/>
      </c>
      <c r="BW132" s="1662" t="str">
        <f t="shared" si="286"/>
        <v/>
      </c>
      <c r="BX132" s="1663" t="str">
        <f t="shared" si="287"/>
        <v/>
      </c>
      <c r="BY132" s="1663" t="str">
        <f t="shared" si="288"/>
        <v/>
      </c>
      <c r="BZ132" s="1664" t="str">
        <f t="shared" si="289"/>
        <v/>
      </c>
      <c r="CA132" s="1655" t="str">
        <f t="shared" si="294"/>
        <v/>
      </c>
    </row>
    <row r="133" spans="47:79" ht="24.95" customHeight="1">
      <c r="AU133" s="1657" t="str">
        <f t="shared" si="290"/>
        <v/>
      </c>
      <c r="AV133" s="1658" t="str">
        <f t="shared" si="271"/>
        <v/>
      </c>
      <c r="AW133" s="1658"/>
      <c r="AX133" s="1659"/>
      <c r="AY133" s="1645" t="str">
        <f t="shared" si="272"/>
        <v/>
      </c>
      <c r="AZ133" s="1620"/>
      <c r="BA133" s="1619" t="str">
        <f t="shared" si="273"/>
        <v/>
      </c>
      <c r="BB133" s="1619" t="str">
        <f t="shared" si="274"/>
        <v/>
      </c>
      <c r="BC133" s="1648" t="str">
        <f t="shared" si="275"/>
        <v/>
      </c>
      <c r="BD133" s="1660" t="str">
        <f t="shared" si="276"/>
        <v/>
      </c>
      <c r="BE133" s="1652" t="str">
        <f t="shared" si="277"/>
        <v/>
      </c>
      <c r="BF133" s="1661" t="str">
        <f t="shared" si="291"/>
        <v/>
      </c>
      <c r="BG133" s="1652" t="str">
        <f t="shared" si="278"/>
        <v/>
      </c>
      <c r="BH133" s="1661" t="str">
        <f t="shared" si="279"/>
        <v/>
      </c>
      <c r="BI133" s="1653" t="str">
        <f t="shared" si="292"/>
        <v/>
      </c>
      <c r="BM133" s="1658" t="str">
        <f t="shared" si="293"/>
        <v/>
      </c>
      <c r="BN133" s="1659" t="str">
        <f t="shared" si="280"/>
        <v/>
      </c>
      <c r="BO133" s="1659"/>
      <c r="BP133" s="1659"/>
      <c r="BQ133" s="1645" t="str">
        <f t="shared" si="281"/>
        <v/>
      </c>
      <c r="BR133" s="1620"/>
      <c r="BS133" s="1658" t="str">
        <f t="shared" si="282"/>
        <v/>
      </c>
      <c r="BT133" s="1658" t="str">
        <f t="shared" si="283"/>
        <v/>
      </c>
      <c r="BU133" s="1648" t="str">
        <f t="shared" si="284"/>
        <v/>
      </c>
      <c r="BV133" s="1660" t="str">
        <f t="shared" si="285"/>
        <v/>
      </c>
      <c r="BW133" s="1662" t="str">
        <f t="shared" si="286"/>
        <v/>
      </c>
      <c r="BX133" s="1663" t="str">
        <f t="shared" si="287"/>
        <v/>
      </c>
      <c r="BY133" s="1663" t="str">
        <f t="shared" si="288"/>
        <v/>
      </c>
      <c r="BZ133" s="1664" t="str">
        <f t="shared" si="289"/>
        <v/>
      </c>
      <c r="CA133" s="1655" t="str">
        <f t="shared" si="294"/>
        <v/>
      </c>
    </row>
    <row r="134" spans="47:79" ht="24.95" customHeight="1">
      <c r="AU134" s="1657" t="str">
        <f t="shared" si="290"/>
        <v/>
      </c>
      <c r="AV134" s="1658" t="str">
        <f t="shared" si="271"/>
        <v/>
      </c>
      <c r="AW134" s="1658"/>
      <c r="AX134" s="1659"/>
      <c r="AY134" s="1645" t="str">
        <f t="shared" si="272"/>
        <v/>
      </c>
      <c r="AZ134" s="1620"/>
      <c r="BA134" s="1619" t="str">
        <f t="shared" si="273"/>
        <v/>
      </c>
      <c r="BB134" s="1619" t="str">
        <f t="shared" si="274"/>
        <v/>
      </c>
      <c r="BC134" s="1648" t="str">
        <f t="shared" si="275"/>
        <v/>
      </c>
      <c r="BD134" s="1660" t="str">
        <f t="shared" si="276"/>
        <v/>
      </c>
      <c r="BE134" s="1652" t="str">
        <f t="shared" si="277"/>
        <v/>
      </c>
      <c r="BF134" s="1661" t="str">
        <f t="shared" si="291"/>
        <v/>
      </c>
      <c r="BG134" s="1652" t="str">
        <f t="shared" si="278"/>
        <v/>
      </c>
      <c r="BH134" s="1661" t="str">
        <f t="shared" si="279"/>
        <v/>
      </c>
      <c r="BI134" s="1653" t="str">
        <f t="shared" si="292"/>
        <v/>
      </c>
      <c r="BM134" s="1658" t="str">
        <f t="shared" si="293"/>
        <v/>
      </c>
      <c r="BN134" s="1659" t="str">
        <f t="shared" si="280"/>
        <v/>
      </c>
      <c r="BO134" s="1659"/>
      <c r="BP134" s="1659"/>
      <c r="BQ134" s="1645" t="str">
        <f t="shared" si="281"/>
        <v/>
      </c>
      <c r="BR134" s="1620"/>
      <c r="BS134" s="1658" t="str">
        <f t="shared" si="282"/>
        <v/>
      </c>
      <c r="BT134" s="1658" t="str">
        <f t="shared" si="283"/>
        <v/>
      </c>
      <c r="BU134" s="1648" t="str">
        <f t="shared" si="284"/>
        <v/>
      </c>
      <c r="BV134" s="1660" t="str">
        <f t="shared" si="285"/>
        <v/>
      </c>
      <c r="BW134" s="1662" t="str">
        <f t="shared" si="286"/>
        <v/>
      </c>
      <c r="BX134" s="1663" t="str">
        <f t="shared" si="287"/>
        <v/>
      </c>
      <c r="BY134" s="1663" t="str">
        <f t="shared" si="288"/>
        <v/>
      </c>
      <c r="BZ134" s="1664" t="str">
        <f t="shared" si="289"/>
        <v/>
      </c>
      <c r="CA134" s="1655" t="str">
        <f t="shared" si="294"/>
        <v/>
      </c>
    </row>
    <row r="135" spans="47:79" ht="24.95" customHeight="1">
      <c r="AU135" s="1657" t="str">
        <f t="shared" si="290"/>
        <v/>
      </c>
      <c r="AV135" s="1658" t="str">
        <f t="shared" si="271"/>
        <v/>
      </c>
      <c r="AW135" s="1658"/>
      <c r="AX135" s="1659"/>
      <c r="AY135" s="1645" t="str">
        <f t="shared" si="272"/>
        <v/>
      </c>
      <c r="AZ135" s="1620"/>
      <c r="BA135" s="1619" t="str">
        <f t="shared" si="273"/>
        <v/>
      </c>
      <c r="BB135" s="1619" t="str">
        <f t="shared" si="274"/>
        <v/>
      </c>
      <c r="BC135" s="1648" t="str">
        <f t="shared" si="275"/>
        <v/>
      </c>
      <c r="BD135" s="1660" t="str">
        <f t="shared" si="276"/>
        <v/>
      </c>
      <c r="BE135" s="1652" t="str">
        <f t="shared" si="277"/>
        <v/>
      </c>
      <c r="BF135" s="1661" t="str">
        <f t="shared" si="291"/>
        <v/>
      </c>
      <c r="BG135" s="1652" t="str">
        <f t="shared" si="278"/>
        <v/>
      </c>
      <c r="BH135" s="1661" t="str">
        <f t="shared" si="279"/>
        <v/>
      </c>
      <c r="BI135" s="1653" t="str">
        <f t="shared" si="292"/>
        <v/>
      </c>
      <c r="BM135" s="1658" t="str">
        <f t="shared" si="293"/>
        <v/>
      </c>
      <c r="BN135" s="1659" t="str">
        <f t="shared" si="280"/>
        <v/>
      </c>
      <c r="BO135" s="1659"/>
      <c r="BP135" s="1659"/>
      <c r="BQ135" s="1645" t="str">
        <f t="shared" si="281"/>
        <v/>
      </c>
      <c r="BR135" s="1620"/>
      <c r="BS135" s="1658" t="str">
        <f t="shared" si="282"/>
        <v/>
      </c>
      <c r="BT135" s="1658" t="str">
        <f t="shared" si="283"/>
        <v/>
      </c>
      <c r="BU135" s="1648" t="str">
        <f t="shared" si="284"/>
        <v/>
      </c>
      <c r="BV135" s="1660" t="str">
        <f t="shared" si="285"/>
        <v/>
      </c>
      <c r="BW135" s="1662" t="str">
        <f t="shared" si="286"/>
        <v/>
      </c>
      <c r="BX135" s="1663" t="str">
        <f t="shared" si="287"/>
        <v/>
      </c>
      <c r="BY135" s="1663" t="str">
        <f t="shared" si="288"/>
        <v/>
      </c>
      <c r="BZ135" s="1664" t="str">
        <f t="shared" si="289"/>
        <v/>
      </c>
      <c r="CA135" s="1655" t="str">
        <f t="shared" si="294"/>
        <v/>
      </c>
    </row>
    <row r="136" spans="47:79" ht="24.95" customHeight="1">
      <c r="AU136" s="1657" t="str">
        <f t="shared" si="290"/>
        <v/>
      </c>
      <c r="AV136" s="1658" t="str">
        <f t="shared" si="271"/>
        <v/>
      </c>
      <c r="AW136" s="1658"/>
      <c r="AX136" s="1659"/>
      <c r="AY136" s="1645" t="str">
        <f t="shared" si="272"/>
        <v/>
      </c>
      <c r="AZ136" s="1620"/>
      <c r="BA136" s="1619" t="str">
        <f t="shared" si="273"/>
        <v/>
      </c>
      <c r="BB136" s="1619" t="str">
        <f t="shared" si="274"/>
        <v/>
      </c>
      <c r="BC136" s="1648" t="str">
        <f t="shared" si="275"/>
        <v/>
      </c>
      <c r="BD136" s="1660" t="str">
        <f t="shared" si="276"/>
        <v/>
      </c>
      <c r="BE136" s="1652" t="str">
        <f t="shared" si="277"/>
        <v/>
      </c>
      <c r="BF136" s="1661" t="str">
        <f t="shared" si="291"/>
        <v/>
      </c>
      <c r="BG136" s="1652" t="str">
        <f t="shared" si="278"/>
        <v/>
      </c>
      <c r="BH136" s="1661" t="str">
        <f t="shared" si="279"/>
        <v/>
      </c>
      <c r="BI136" s="1653" t="str">
        <f t="shared" si="292"/>
        <v/>
      </c>
      <c r="BM136" s="1658" t="str">
        <f t="shared" si="293"/>
        <v/>
      </c>
      <c r="BN136" s="1659" t="str">
        <f t="shared" si="280"/>
        <v/>
      </c>
      <c r="BO136" s="1659"/>
      <c r="BP136" s="1659"/>
      <c r="BQ136" s="1645" t="str">
        <f t="shared" si="281"/>
        <v/>
      </c>
      <c r="BR136" s="1620"/>
      <c r="BS136" s="1658" t="str">
        <f t="shared" si="282"/>
        <v/>
      </c>
      <c r="BT136" s="1658" t="str">
        <f t="shared" si="283"/>
        <v/>
      </c>
      <c r="BU136" s="1648" t="str">
        <f t="shared" si="284"/>
        <v/>
      </c>
      <c r="BV136" s="1660" t="str">
        <f t="shared" si="285"/>
        <v/>
      </c>
      <c r="BW136" s="1662" t="str">
        <f t="shared" si="286"/>
        <v/>
      </c>
      <c r="BX136" s="1663" t="str">
        <f t="shared" si="287"/>
        <v/>
      </c>
      <c r="BY136" s="1663" t="str">
        <f t="shared" si="288"/>
        <v/>
      </c>
      <c r="BZ136" s="1664" t="str">
        <f t="shared" si="289"/>
        <v/>
      </c>
      <c r="CA136" s="1655" t="str">
        <f t="shared" si="294"/>
        <v/>
      </c>
    </row>
    <row r="137" spans="47:79" ht="24.95" customHeight="1">
      <c r="AU137" s="1657" t="str">
        <f t="shared" si="290"/>
        <v/>
      </c>
      <c r="AV137" s="1658" t="str">
        <f t="shared" si="271"/>
        <v/>
      </c>
      <c r="AW137" s="1658"/>
      <c r="AX137" s="1659"/>
      <c r="AY137" s="1645" t="str">
        <f t="shared" si="272"/>
        <v/>
      </c>
      <c r="AZ137" s="1620"/>
      <c r="BA137" s="1619" t="str">
        <f t="shared" si="273"/>
        <v/>
      </c>
      <c r="BB137" s="1619" t="str">
        <f t="shared" si="274"/>
        <v/>
      </c>
      <c r="BC137" s="1648" t="str">
        <f t="shared" si="275"/>
        <v/>
      </c>
      <c r="BD137" s="1660" t="str">
        <f t="shared" si="276"/>
        <v/>
      </c>
      <c r="BE137" s="1652" t="str">
        <f t="shared" si="277"/>
        <v/>
      </c>
      <c r="BF137" s="1661" t="str">
        <f t="shared" si="291"/>
        <v/>
      </c>
      <c r="BG137" s="1652" t="str">
        <f t="shared" si="278"/>
        <v/>
      </c>
      <c r="BH137" s="1661" t="str">
        <f t="shared" si="279"/>
        <v/>
      </c>
      <c r="BI137" s="1653" t="str">
        <f t="shared" si="292"/>
        <v/>
      </c>
      <c r="BM137" s="1658" t="str">
        <f t="shared" si="293"/>
        <v/>
      </c>
      <c r="BN137" s="1659" t="str">
        <f t="shared" si="280"/>
        <v/>
      </c>
      <c r="BO137" s="1659"/>
      <c r="BP137" s="1659"/>
      <c r="BQ137" s="1645" t="str">
        <f t="shared" si="281"/>
        <v/>
      </c>
      <c r="BR137" s="1620"/>
      <c r="BS137" s="1658" t="str">
        <f t="shared" si="282"/>
        <v/>
      </c>
      <c r="BT137" s="1658" t="str">
        <f t="shared" si="283"/>
        <v/>
      </c>
      <c r="BU137" s="1648" t="str">
        <f t="shared" si="284"/>
        <v/>
      </c>
      <c r="BV137" s="1660" t="str">
        <f t="shared" si="285"/>
        <v/>
      </c>
      <c r="BW137" s="1662" t="str">
        <f t="shared" si="286"/>
        <v/>
      </c>
      <c r="BX137" s="1663" t="str">
        <f t="shared" si="287"/>
        <v/>
      </c>
      <c r="BY137" s="1663" t="str">
        <f t="shared" si="288"/>
        <v/>
      </c>
      <c r="BZ137" s="1664" t="str">
        <f t="shared" si="289"/>
        <v/>
      </c>
      <c r="CA137" s="1655" t="str">
        <f t="shared" si="294"/>
        <v/>
      </c>
    </row>
    <row r="138" spans="47:79" ht="24.95" customHeight="1">
      <c r="AU138" s="1657" t="str">
        <f t="shared" si="290"/>
        <v/>
      </c>
      <c r="AV138" s="1658" t="str">
        <f t="shared" si="271"/>
        <v/>
      </c>
      <c r="AW138" s="1658"/>
      <c r="AX138" s="1659"/>
      <c r="AY138" s="1645" t="str">
        <f t="shared" si="272"/>
        <v/>
      </c>
      <c r="AZ138" s="1620"/>
      <c r="BA138" s="1619" t="str">
        <f t="shared" si="273"/>
        <v/>
      </c>
      <c r="BB138" s="1619" t="str">
        <f t="shared" si="274"/>
        <v/>
      </c>
      <c r="BC138" s="1648" t="str">
        <f t="shared" si="275"/>
        <v/>
      </c>
      <c r="BD138" s="1660" t="str">
        <f t="shared" si="276"/>
        <v/>
      </c>
      <c r="BE138" s="1652" t="str">
        <f t="shared" si="277"/>
        <v/>
      </c>
      <c r="BF138" s="1661" t="str">
        <f t="shared" si="291"/>
        <v/>
      </c>
      <c r="BG138" s="1652" t="str">
        <f t="shared" si="278"/>
        <v/>
      </c>
      <c r="BH138" s="1661" t="str">
        <f t="shared" si="279"/>
        <v/>
      </c>
      <c r="BI138" s="1653" t="str">
        <f t="shared" si="292"/>
        <v/>
      </c>
      <c r="BM138" s="1658" t="str">
        <f t="shared" si="293"/>
        <v/>
      </c>
      <c r="BN138" s="1659" t="str">
        <f t="shared" si="280"/>
        <v/>
      </c>
      <c r="BO138" s="1659"/>
      <c r="BP138" s="1659"/>
      <c r="BQ138" s="1645" t="str">
        <f t="shared" si="281"/>
        <v/>
      </c>
      <c r="BR138" s="1620"/>
      <c r="BS138" s="1658" t="str">
        <f t="shared" si="282"/>
        <v/>
      </c>
      <c r="BT138" s="1658" t="str">
        <f t="shared" si="283"/>
        <v/>
      </c>
      <c r="BU138" s="1648" t="str">
        <f t="shared" si="284"/>
        <v/>
      </c>
      <c r="BV138" s="1660" t="str">
        <f t="shared" si="285"/>
        <v/>
      </c>
      <c r="BW138" s="1662" t="str">
        <f t="shared" si="286"/>
        <v/>
      </c>
      <c r="BX138" s="1663" t="str">
        <f t="shared" si="287"/>
        <v/>
      </c>
      <c r="BY138" s="1663" t="str">
        <f t="shared" si="288"/>
        <v/>
      </c>
      <c r="BZ138" s="1664" t="str">
        <f t="shared" si="289"/>
        <v/>
      </c>
      <c r="CA138" s="1655" t="str">
        <f t="shared" si="294"/>
        <v/>
      </c>
    </row>
    <row r="139" spans="47:79" ht="24.95" hidden="1" customHeight="1">
      <c r="AU139" s="1657" t="str">
        <f t="shared" si="290"/>
        <v/>
      </c>
      <c r="AV139" s="1658" t="str">
        <f t="shared" si="271"/>
        <v/>
      </c>
      <c r="AW139" s="1658"/>
      <c r="AX139" s="1659"/>
      <c r="AY139" s="1645" t="str">
        <f t="shared" si="272"/>
        <v/>
      </c>
      <c r="AZ139" s="1620"/>
      <c r="BA139" s="1619" t="str">
        <f t="shared" si="273"/>
        <v/>
      </c>
      <c r="BB139" s="1619" t="str">
        <f t="shared" si="274"/>
        <v/>
      </c>
      <c r="BC139" s="1648" t="str">
        <f t="shared" si="275"/>
        <v/>
      </c>
      <c r="BD139" s="1660" t="str">
        <f t="shared" si="276"/>
        <v/>
      </c>
      <c r="BE139" s="1652" t="str">
        <f t="shared" si="277"/>
        <v/>
      </c>
      <c r="BF139" s="1661" t="str">
        <f t="shared" si="291"/>
        <v/>
      </c>
      <c r="BG139" s="1652" t="str">
        <f t="shared" si="278"/>
        <v/>
      </c>
      <c r="BH139" s="1661" t="str">
        <f t="shared" si="279"/>
        <v/>
      </c>
      <c r="BI139" s="1653" t="str">
        <f t="shared" si="292"/>
        <v/>
      </c>
      <c r="BM139" s="1658" t="str">
        <f t="shared" si="293"/>
        <v/>
      </c>
      <c r="BN139" s="1659" t="str">
        <f t="shared" si="280"/>
        <v/>
      </c>
      <c r="BO139" s="1659"/>
      <c r="BP139" s="1659"/>
      <c r="BQ139" s="1645" t="str">
        <f t="shared" si="281"/>
        <v/>
      </c>
      <c r="BR139" s="1620"/>
      <c r="BS139" s="1658" t="str">
        <f t="shared" si="282"/>
        <v/>
      </c>
      <c r="BT139" s="1658" t="str">
        <f t="shared" si="283"/>
        <v/>
      </c>
      <c r="BU139" s="1648" t="str">
        <f t="shared" si="284"/>
        <v/>
      </c>
      <c r="BV139" s="1660" t="str">
        <f t="shared" si="285"/>
        <v/>
      </c>
      <c r="BW139" s="1662" t="str">
        <f t="shared" si="286"/>
        <v/>
      </c>
      <c r="BX139" s="1663" t="str">
        <f t="shared" si="287"/>
        <v/>
      </c>
      <c r="BY139" s="1663" t="str">
        <f t="shared" si="288"/>
        <v/>
      </c>
      <c r="BZ139" s="1664" t="str">
        <f t="shared" si="289"/>
        <v/>
      </c>
      <c r="CA139" s="1655" t="str">
        <f t="shared" si="294"/>
        <v/>
      </c>
    </row>
    <row r="140" spans="47:79" ht="24.95" hidden="1" customHeight="1">
      <c r="AU140" s="1657" t="str">
        <f t="shared" si="290"/>
        <v/>
      </c>
      <c r="AV140" s="1657" t="str">
        <f t="shared" si="271"/>
        <v/>
      </c>
      <c r="AW140" s="1657"/>
      <c r="AX140" s="1665"/>
      <c r="AY140" s="1645" t="str">
        <f t="shared" si="272"/>
        <v/>
      </c>
      <c r="AZ140" s="1666"/>
      <c r="BA140" s="1618" t="str">
        <f t="shared" si="273"/>
        <v/>
      </c>
      <c r="BB140" s="1618" t="str">
        <f t="shared" si="274"/>
        <v/>
      </c>
      <c r="BC140" s="1648" t="str">
        <f t="shared" si="275"/>
        <v/>
      </c>
      <c r="BD140" s="1667" t="str">
        <f t="shared" si="276"/>
        <v/>
      </c>
      <c r="BE140" s="1668" t="str">
        <f t="shared" si="277"/>
        <v/>
      </c>
      <c r="BF140" s="1669" t="str">
        <f t="shared" si="291"/>
        <v/>
      </c>
      <c r="BG140" s="1668" t="str">
        <f t="shared" si="278"/>
        <v/>
      </c>
      <c r="BH140" s="1669" t="str">
        <f t="shared" si="279"/>
        <v/>
      </c>
      <c r="BI140" s="1653" t="str">
        <f t="shared" si="292"/>
        <v/>
      </c>
      <c r="BM140" s="1658" t="str">
        <f t="shared" si="293"/>
        <v/>
      </c>
      <c r="BN140" s="1659" t="str">
        <f t="shared" si="280"/>
        <v/>
      </c>
      <c r="BO140" s="1659"/>
      <c r="BP140" s="1659"/>
      <c r="BQ140" s="1645" t="str">
        <f t="shared" si="281"/>
        <v/>
      </c>
      <c r="BR140" s="1620"/>
      <c r="BS140" s="1658" t="str">
        <f t="shared" si="282"/>
        <v/>
      </c>
      <c r="BT140" s="1658" t="str">
        <f t="shared" si="283"/>
        <v/>
      </c>
      <c r="BU140" s="1648" t="str">
        <f t="shared" si="284"/>
        <v/>
      </c>
      <c r="BV140" s="1660" t="str">
        <f t="shared" si="285"/>
        <v/>
      </c>
      <c r="BW140" s="1662" t="str">
        <f t="shared" si="286"/>
        <v/>
      </c>
      <c r="BX140" s="1663" t="str">
        <f t="shared" si="287"/>
        <v/>
      </c>
      <c r="BY140" s="1663" t="str">
        <f t="shared" si="288"/>
        <v/>
      </c>
      <c r="BZ140" s="1664" t="str">
        <f t="shared" si="289"/>
        <v/>
      </c>
      <c r="CA140" s="1655" t="str">
        <f t="shared" si="294"/>
        <v/>
      </c>
    </row>
    <row r="141" spans="47:79" ht="24.95" hidden="1" customHeight="1">
      <c r="AU141" s="1657" t="str">
        <f t="shared" si="290"/>
        <v/>
      </c>
      <c r="AV141" s="1657" t="str">
        <f t="shared" si="271"/>
        <v/>
      </c>
      <c r="AW141" s="1657"/>
      <c r="AX141" s="1665"/>
      <c r="AY141" s="1645" t="str">
        <f t="shared" si="272"/>
        <v/>
      </c>
      <c r="AZ141" s="1666"/>
      <c r="BA141" s="1618" t="str">
        <f t="shared" si="273"/>
        <v/>
      </c>
      <c r="BB141" s="1618" t="str">
        <f t="shared" si="274"/>
        <v/>
      </c>
      <c r="BC141" s="1648" t="str">
        <f t="shared" si="275"/>
        <v/>
      </c>
      <c r="BD141" s="1667" t="str">
        <f t="shared" si="276"/>
        <v/>
      </c>
      <c r="BE141" s="1668" t="str">
        <f t="shared" si="277"/>
        <v/>
      </c>
      <c r="BF141" s="1669" t="str">
        <f t="shared" si="291"/>
        <v/>
      </c>
      <c r="BG141" s="1668" t="str">
        <f t="shared" si="278"/>
        <v/>
      </c>
      <c r="BH141" s="1669" t="str">
        <f t="shared" si="279"/>
        <v/>
      </c>
      <c r="BI141" s="1653" t="str">
        <f t="shared" si="292"/>
        <v/>
      </c>
      <c r="BM141" s="1658" t="str">
        <f t="shared" si="293"/>
        <v/>
      </c>
      <c r="BN141" s="1659" t="str">
        <f t="shared" si="280"/>
        <v/>
      </c>
      <c r="BO141" s="1659"/>
      <c r="BP141" s="1659"/>
      <c r="BQ141" s="1645" t="str">
        <f t="shared" si="281"/>
        <v/>
      </c>
      <c r="BR141" s="1620"/>
      <c r="BS141" s="1658" t="str">
        <f t="shared" si="282"/>
        <v/>
      </c>
      <c r="BT141" s="1658" t="str">
        <f t="shared" si="283"/>
        <v/>
      </c>
      <c r="BU141" s="1648" t="str">
        <f t="shared" si="284"/>
        <v/>
      </c>
      <c r="BV141" s="1660" t="str">
        <f t="shared" si="285"/>
        <v/>
      </c>
      <c r="BW141" s="1662" t="str">
        <f t="shared" si="286"/>
        <v/>
      </c>
      <c r="BX141" s="1663" t="str">
        <f t="shared" si="287"/>
        <v/>
      </c>
      <c r="BY141" s="1663" t="str">
        <f t="shared" si="288"/>
        <v/>
      </c>
      <c r="BZ141" s="1664" t="str">
        <f t="shared" si="289"/>
        <v/>
      </c>
      <c r="CA141" s="1655" t="str">
        <f t="shared" si="294"/>
        <v/>
      </c>
    </row>
    <row r="142" spans="47:79" ht="24.95" hidden="1" customHeight="1">
      <c r="AU142" s="1657" t="str">
        <f t="shared" si="290"/>
        <v/>
      </c>
      <c r="AV142" s="1657" t="str">
        <f t="shared" si="271"/>
        <v/>
      </c>
      <c r="AW142" s="1657"/>
      <c r="AX142" s="1665"/>
      <c r="AY142" s="1645" t="str">
        <f t="shared" si="272"/>
        <v/>
      </c>
      <c r="AZ142" s="1666"/>
      <c r="BA142" s="1618" t="str">
        <f t="shared" si="273"/>
        <v/>
      </c>
      <c r="BB142" s="1618" t="str">
        <f t="shared" si="274"/>
        <v/>
      </c>
      <c r="BC142" s="1648" t="str">
        <f t="shared" si="275"/>
        <v/>
      </c>
      <c r="BD142" s="1667" t="str">
        <f t="shared" si="276"/>
        <v/>
      </c>
      <c r="BE142" s="1668" t="str">
        <f t="shared" si="277"/>
        <v/>
      </c>
      <c r="BF142" s="1669" t="str">
        <f t="shared" si="291"/>
        <v/>
      </c>
      <c r="BG142" s="1668" t="str">
        <f t="shared" si="278"/>
        <v/>
      </c>
      <c r="BH142" s="1669" t="str">
        <f t="shared" si="279"/>
        <v/>
      </c>
      <c r="BI142" s="1653" t="str">
        <f t="shared" si="292"/>
        <v/>
      </c>
      <c r="BM142" s="1658" t="str">
        <f t="shared" si="293"/>
        <v/>
      </c>
      <c r="BN142" s="1659" t="str">
        <f t="shared" si="280"/>
        <v/>
      </c>
      <c r="BO142" s="1659"/>
      <c r="BP142" s="1659"/>
      <c r="BQ142" s="1645" t="str">
        <f t="shared" si="281"/>
        <v/>
      </c>
      <c r="BR142" s="1620"/>
      <c r="BS142" s="1658" t="str">
        <f t="shared" si="282"/>
        <v/>
      </c>
      <c r="BT142" s="1658" t="str">
        <f t="shared" si="283"/>
        <v/>
      </c>
      <c r="BU142" s="1648" t="str">
        <f t="shared" si="284"/>
        <v/>
      </c>
      <c r="BV142" s="1660" t="str">
        <f t="shared" si="285"/>
        <v/>
      </c>
      <c r="BW142" s="1662" t="str">
        <f t="shared" si="286"/>
        <v/>
      </c>
      <c r="BX142" s="1663" t="str">
        <f t="shared" si="287"/>
        <v/>
      </c>
      <c r="BY142" s="1663" t="str">
        <f t="shared" si="288"/>
        <v/>
      </c>
      <c r="BZ142" s="1664" t="str">
        <f t="shared" si="289"/>
        <v/>
      </c>
      <c r="CA142" s="1655" t="str">
        <f t="shared" si="294"/>
        <v/>
      </c>
    </row>
    <row r="143" spans="47:79" ht="24.95" hidden="1" customHeight="1">
      <c r="AU143" s="1657" t="str">
        <f t="shared" si="290"/>
        <v/>
      </c>
      <c r="AV143" s="1657" t="str">
        <f t="shared" si="271"/>
        <v/>
      </c>
      <c r="AW143" s="1657"/>
      <c r="AX143" s="1665"/>
      <c r="AY143" s="1645" t="str">
        <f t="shared" si="272"/>
        <v/>
      </c>
      <c r="AZ143" s="1666"/>
      <c r="BA143" s="1618" t="str">
        <f t="shared" si="273"/>
        <v/>
      </c>
      <c r="BB143" s="1618" t="str">
        <f t="shared" si="274"/>
        <v/>
      </c>
      <c r="BC143" s="1648" t="str">
        <f t="shared" si="275"/>
        <v/>
      </c>
      <c r="BD143" s="1667" t="str">
        <f t="shared" si="276"/>
        <v/>
      </c>
      <c r="BE143" s="1668" t="str">
        <f t="shared" si="277"/>
        <v/>
      </c>
      <c r="BF143" s="1669" t="str">
        <f t="shared" si="291"/>
        <v/>
      </c>
      <c r="BG143" s="1668" t="str">
        <f t="shared" si="278"/>
        <v/>
      </c>
      <c r="BH143" s="1669" t="str">
        <f t="shared" si="279"/>
        <v/>
      </c>
      <c r="BI143" s="1653" t="str">
        <f t="shared" si="292"/>
        <v/>
      </c>
      <c r="BM143" s="1658" t="str">
        <f t="shared" si="293"/>
        <v/>
      </c>
      <c r="BN143" s="1659" t="str">
        <f t="shared" si="280"/>
        <v/>
      </c>
      <c r="BO143" s="1659"/>
      <c r="BP143" s="1659"/>
      <c r="BQ143" s="1645" t="str">
        <f t="shared" si="281"/>
        <v/>
      </c>
      <c r="BR143" s="1620"/>
      <c r="BS143" s="1658" t="str">
        <f t="shared" si="282"/>
        <v/>
      </c>
      <c r="BT143" s="1658" t="str">
        <f t="shared" si="283"/>
        <v/>
      </c>
      <c r="BU143" s="1648" t="str">
        <f t="shared" si="284"/>
        <v/>
      </c>
      <c r="BV143" s="1660" t="str">
        <f t="shared" si="285"/>
        <v/>
      </c>
      <c r="BW143" s="1662" t="str">
        <f t="shared" si="286"/>
        <v/>
      </c>
      <c r="BX143" s="1663" t="str">
        <f t="shared" si="287"/>
        <v/>
      </c>
      <c r="BY143" s="1663" t="str">
        <f t="shared" si="288"/>
        <v/>
      </c>
      <c r="BZ143" s="1664" t="str">
        <f t="shared" si="289"/>
        <v/>
      </c>
      <c r="CA143" s="1655" t="str">
        <f t="shared" si="294"/>
        <v/>
      </c>
    </row>
    <row r="144" spans="47:79" ht="24.95" hidden="1" customHeight="1">
      <c r="AU144" s="1657" t="str">
        <f t="shared" si="290"/>
        <v/>
      </c>
      <c r="AV144" s="1657" t="str">
        <f t="shared" si="271"/>
        <v/>
      </c>
      <c r="AW144" s="1657"/>
      <c r="AX144" s="1665"/>
      <c r="AY144" s="1645" t="str">
        <f t="shared" si="272"/>
        <v/>
      </c>
      <c r="AZ144" s="1666"/>
      <c r="BA144" s="1618" t="str">
        <f t="shared" si="273"/>
        <v/>
      </c>
      <c r="BB144" s="1618" t="str">
        <f t="shared" si="274"/>
        <v/>
      </c>
      <c r="BC144" s="1648" t="str">
        <f t="shared" si="275"/>
        <v/>
      </c>
      <c r="BD144" s="1667" t="str">
        <f t="shared" si="276"/>
        <v/>
      </c>
      <c r="BE144" s="1668" t="str">
        <f t="shared" si="277"/>
        <v/>
      </c>
      <c r="BF144" s="1669" t="str">
        <f t="shared" si="291"/>
        <v/>
      </c>
      <c r="BG144" s="1668" t="str">
        <f t="shared" si="278"/>
        <v/>
      </c>
      <c r="BH144" s="1669" t="str">
        <f t="shared" si="279"/>
        <v/>
      </c>
      <c r="BI144" s="1653" t="str">
        <f t="shared" si="292"/>
        <v/>
      </c>
      <c r="BM144" s="1658" t="str">
        <f t="shared" si="293"/>
        <v/>
      </c>
      <c r="BN144" s="1659" t="str">
        <f t="shared" si="280"/>
        <v/>
      </c>
      <c r="BO144" s="1659"/>
      <c r="BP144" s="1659"/>
      <c r="BQ144" s="1645" t="str">
        <f t="shared" si="281"/>
        <v/>
      </c>
      <c r="BR144" s="1620"/>
      <c r="BS144" s="1658" t="str">
        <f t="shared" si="282"/>
        <v/>
      </c>
      <c r="BT144" s="1658" t="str">
        <f t="shared" si="283"/>
        <v/>
      </c>
      <c r="BU144" s="1648" t="str">
        <f t="shared" si="284"/>
        <v/>
      </c>
      <c r="BV144" s="1660" t="str">
        <f t="shared" si="285"/>
        <v/>
      </c>
      <c r="BW144" s="1662" t="str">
        <f t="shared" si="286"/>
        <v/>
      </c>
      <c r="BX144" s="1663" t="str">
        <f t="shared" si="287"/>
        <v/>
      </c>
      <c r="BY144" s="1663" t="str">
        <f t="shared" si="288"/>
        <v/>
      </c>
      <c r="BZ144" s="1664" t="str">
        <f t="shared" si="289"/>
        <v/>
      </c>
      <c r="CA144" s="1655" t="str">
        <f t="shared" si="294"/>
        <v/>
      </c>
    </row>
    <row r="145" spans="47:79" ht="24.95" hidden="1" customHeight="1">
      <c r="AU145" s="1657" t="str">
        <f t="shared" si="290"/>
        <v/>
      </c>
      <c r="AV145" s="1657" t="str">
        <f t="shared" si="271"/>
        <v/>
      </c>
      <c r="AW145" s="1657"/>
      <c r="AX145" s="1665"/>
      <c r="AY145" s="1645" t="str">
        <f t="shared" si="272"/>
        <v/>
      </c>
      <c r="AZ145" s="1666"/>
      <c r="BA145" s="1618" t="str">
        <f t="shared" si="273"/>
        <v/>
      </c>
      <c r="BB145" s="1618" t="str">
        <f t="shared" si="274"/>
        <v/>
      </c>
      <c r="BC145" s="1648" t="str">
        <f t="shared" si="275"/>
        <v/>
      </c>
      <c r="BD145" s="1667" t="str">
        <f t="shared" si="276"/>
        <v/>
      </c>
      <c r="BE145" s="1668" t="str">
        <f t="shared" si="277"/>
        <v/>
      </c>
      <c r="BF145" s="1669" t="str">
        <f t="shared" si="291"/>
        <v/>
      </c>
      <c r="BG145" s="1668" t="str">
        <f t="shared" si="278"/>
        <v/>
      </c>
      <c r="BH145" s="1669" t="str">
        <f t="shared" si="279"/>
        <v/>
      </c>
      <c r="BI145" s="1653" t="str">
        <f t="shared" si="292"/>
        <v/>
      </c>
      <c r="BM145" s="1658" t="str">
        <f t="shared" si="293"/>
        <v/>
      </c>
      <c r="BN145" s="1659" t="str">
        <f t="shared" si="280"/>
        <v/>
      </c>
      <c r="BO145" s="1659"/>
      <c r="BP145" s="1659"/>
      <c r="BQ145" s="1645" t="str">
        <f t="shared" si="281"/>
        <v/>
      </c>
      <c r="BR145" s="1620"/>
      <c r="BS145" s="1658" t="str">
        <f t="shared" si="282"/>
        <v/>
      </c>
      <c r="BT145" s="1658" t="str">
        <f t="shared" si="283"/>
        <v/>
      </c>
      <c r="BU145" s="1648" t="str">
        <f t="shared" si="284"/>
        <v/>
      </c>
      <c r="BV145" s="1660" t="str">
        <f t="shared" si="285"/>
        <v/>
      </c>
      <c r="BW145" s="1662" t="str">
        <f t="shared" si="286"/>
        <v/>
      </c>
      <c r="BX145" s="1663" t="str">
        <f t="shared" si="287"/>
        <v/>
      </c>
      <c r="BY145" s="1663" t="str">
        <f t="shared" si="288"/>
        <v/>
      </c>
      <c r="BZ145" s="1664" t="str">
        <f t="shared" si="289"/>
        <v/>
      </c>
      <c r="CA145" s="1655" t="str">
        <f t="shared" si="294"/>
        <v/>
      </c>
    </row>
    <row r="146" spans="47:79" ht="24.95" hidden="1" customHeight="1">
      <c r="AU146" s="1657" t="str">
        <f t="shared" si="290"/>
        <v/>
      </c>
      <c r="AV146" s="1657" t="str">
        <f t="shared" si="271"/>
        <v/>
      </c>
      <c r="AW146" s="1657"/>
      <c r="AX146" s="1665"/>
      <c r="AY146" s="1645" t="str">
        <f t="shared" si="272"/>
        <v/>
      </c>
      <c r="AZ146" s="1666"/>
      <c r="BA146" s="1618" t="str">
        <f t="shared" si="273"/>
        <v/>
      </c>
      <c r="BB146" s="1618" t="str">
        <f t="shared" si="274"/>
        <v/>
      </c>
      <c r="BC146" s="1648" t="str">
        <f t="shared" si="275"/>
        <v/>
      </c>
      <c r="BD146" s="1667" t="str">
        <f t="shared" si="276"/>
        <v/>
      </c>
      <c r="BE146" s="1668" t="str">
        <f t="shared" si="277"/>
        <v/>
      </c>
      <c r="BF146" s="1669" t="str">
        <f t="shared" si="291"/>
        <v/>
      </c>
      <c r="BG146" s="1668" t="str">
        <f t="shared" si="278"/>
        <v/>
      </c>
      <c r="BH146" s="1669" t="str">
        <f t="shared" si="279"/>
        <v/>
      </c>
      <c r="BI146" s="1653" t="str">
        <f t="shared" si="292"/>
        <v/>
      </c>
      <c r="BM146" s="1658" t="str">
        <f t="shared" si="293"/>
        <v/>
      </c>
      <c r="BN146" s="1659" t="str">
        <f t="shared" si="280"/>
        <v/>
      </c>
      <c r="BO146" s="1659"/>
      <c r="BP146" s="1659"/>
      <c r="BQ146" s="1645" t="str">
        <f t="shared" si="281"/>
        <v/>
      </c>
      <c r="BR146" s="1620"/>
      <c r="BS146" s="1658" t="str">
        <f t="shared" si="282"/>
        <v/>
      </c>
      <c r="BT146" s="1658" t="str">
        <f t="shared" si="283"/>
        <v/>
      </c>
      <c r="BU146" s="1648" t="str">
        <f t="shared" si="284"/>
        <v/>
      </c>
      <c r="BV146" s="1660" t="str">
        <f t="shared" si="285"/>
        <v/>
      </c>
      <c r="BW146" s="1662" t="str">
        <f t="shared" si="286"/>
        <v/>
      </c>
      <c r="BX146" s="1663" t="str">
        <f t="shared" si="287"/>
        <v/>
      </c>
      <c r="BY146" s="1663" t="str">
        <f t="shared" si="288"/>
        <v/>
      </c>
      <c r="BZ146" s="1664" t="str">
        <f t="shared" si="289"/>
        <v/>
      </c>
      <c r="CA146" s="1655" t="str">
        <f t="shared" si="294"/>
        <v/>
      </c>
    </row>
    <row r="147" spans="47:79" ht="24.95" hidden="1" customHeight="1">
      <c r="AU147" s="1657" t="str">
        <f t="shared" si="290"/>
        <v/>
      </c>
      <c r="AV147" s="1657" t="str">
        <f t="shared" si="271"/>
        <v/>
      </c>
      <c r="AW147" s="1657"/>
      <c r="AX147" s="1665"/>
      <c r="AY147" s="1645" t="str">
        <f t="shared" si="272"/>
        <v/>
      </c>
      <c r="AZ147" s="1666"/>
      <c r="BA147" s="1618" t="str">
        <f t="shared" si="273"/>
        <v/>
      </c>
      <c r="BB147" s="1618" t="str">
        <f t="shared" si="274"/>
        <v/>
      </c>
      <c r="BC147" s="1648" t="str">
        <f t="shared" si="275"/>
        <v/>
      </c>
      <c r="BD147" s="1667" t="str">
        <f t="shared" si="276"/>
        <v/>
      </c>
      <c r="BE147" s="1668" t="str">
        <f t="shared" si="277"/>
        <v/>
      </c>
      <c r="BF147" s="1669" t="str">
        <f t="shared" si="291"/>
        <v/>
      </c>
      <c r="BG147" s="1668" t="str">
        <f t="shared" si="278"/>
        <v/>
      </c>
      <c r="BH147" s="1669" t="str">
        <f t="shared" si="279"/>
        <v/>
      </c>
      <c r="BI147" s="1653" t="str">
        <f t="shared" si="292"/>
        <v/>
      </c>
      <c r="BM147" s="1658" t="str">
        <f t="shared" si="293"/>
        <v/>
      </c>
      <c r="BN147" s="1659" t="str">
        <f t="shared" si="280"/>
        <v/>
      </c>
      <c r="BO147" s="1659"/>
      <c r="BP147" s="1659"/>
      <c r="BQ147" s="1645" t="str">
        <f t="shared" si="281"/>
        <v/>
      </c>
      <c r="BR147" s="1620"/>
      <c r="BS147" s="1658" t="str">
        <f t="shared" si="282"/>
        <v/>
      </c>
      <c r="BT147" s="1658" t="str">
        <f t="shared" si="283"/>
        <v/>
      </c>
      <c r="BU147" s="1648" t="str">
        <f t="shared" si="284"/>
        <v/>
      </c>
      <c r="BV147" s="1660" t="str">
        <f t="shared" si="285"/>
        <v/>
      </c>
      <c r="BW147" s="1662" t="str">
        <f t="shared" si="286"/>
        <v/>
      </c>
      <c r="BX147" s="1663" t="str">
        <f t="shared" si="287"/>
        <v/>
      </c>
      <c r="BY147" s="1663" t="str">
        <f t="shared" si="288"/>
        <v/>
      </c>
      <c r="BZ147" s="1664" t="str">
        <f t="shared" si="289"/>
        <v/>
      </c>
      <c r="CA147" s="1655" t="str">
        <f t="shared" si="294"/>
        <v/>
      </c>
    </row>
    <row r="148" spans="47:79" ht="24.95" hidden="1" customHeight="1">
      <c r="AU148" s="1657" t="str">
        <f t="shared" si="290"/>
        <v/>
      </c>
      <c r="AV148" s="1657" t="str">
        <f t="shared" si="271"/>
        <v/>
      </c>
      <c r="AW148" s="1657"/>
      <c r="AX148" s="1665"/>
      <c r="AY148" s="1645" t="str">
        <f t="shared" si="272"/>
        <v/>
      </c>
      <c r="AZ148" s="1666"/>
      <c r="BA148" s="1618" t="str">
        <f t="shared" si="273"/>
        <v/>
      </c>
      <c r="BB148" s="1618" t="str">
        <f t="shared" si="274"/>
        <v/>
      </c>
      <c r="BC148" s="1648" t="str">
        <f t="shared" si="275"/>
        <v/>
      </c>
      <c r="BD148" s="1667" t="str">
        <f t="shared" si="276"/>
        <v/>
      </c>
      <c r="BE148" s="1668" t="str">
        <f t="shared" si="277"/>
        <v/>
      </c>
      <c r="BF148" s="1669" t="str">
        <f t="shared" si="291"/>
        <v/>
      </c>
      <c r="BG148" s="1668" t="str">
        <f t="shared" si="278"/>
        <v/>
      </c>
      <c r="BH148" s="1669" t="str">
        <f t="shared" si="279"/>
        <v/>
      </c>
      <c r="BI148" s="1653" t="str">
        <f t="shared" si="292"/>
        <v/>
      </c>
      <c r="BM148" s="1658" t="str">
        <f t="shared" si="293"/>
        <v/>
      </c>
      <c r="BN148" s="1659" t="str">
        <f t="shared" si="280"/>
        <v/>
      </c>
      <c r="BO148" s="1659"/>
      <c r="BP148" s="1659"/>
      <c r="BQ148" s="1645" t="str">
        <f t="shared" si="281"/>
        <v/>
      </c>
      <c r="BR148" s="1620"/>
      <c r="BS148" s="1658" t="str">
        <f t="shared" si="282"/>
        <v/>
      </c>
      <c r="BT148" s="1658" t="str">
        <f t="shared" si="283"/>
        <v/>
      </c>
      <c r="BU148" s="1648" t="str">
        <f t="shared" si="284"/>
        <v/>
      </c>
      <c r="BV148" s="1660" t="str">
        <f t="shared" si="285"/>
        <v/>
      </c>
      <c r="BW148" s="1662" t="str">
        <f t="shared" si="286"/>
        <v/>
      </c>
      <c r="BX148" s="1663" t="str">
        <f t="shared" si="287"/>
        <v/>
      </c>
      <c r="BY148" s="1663" t="str">
        <f t="shared" si="288"/>
        <v/>
      </c>
      <c r="BZ148" s="1664" t="str">
        <f t="shared" si="289"/>
        <v/>
      </c>
      <c r="CA148" s="1655" t="str">
        <f t="shared" si="294"/>
        <v/>
      </c>
    </row>
    <row r="149" spans="47:79" ht="24.95" hidden="1" customHeight="1">
      <c r="AU149" s="1657" t="str">
        <f t="shared" si="290"/>
        <v/>
      </c>
      <c r="AV149" s="1657" t="str">
        <f t="shared" si="271"/>
        <v/>
      </c>
      <c r="AW149" s="1657"/>
      <c r="AX149" s="1665"/>
      <c r="AY149" s="1645" t="str">
        <f t="shared" si="272"/>
        <v/>
      </c>
      <c r="AZ149" s="1666"/>
      <c r="BA149" s="1618" t="str">
        <f t="shared" si="273"/>
        <v/>
      </c>
      <c r="BB149" s="1618" t="str">
        <f t="shared" si="274"/>
        <v/>
      </c>
      <c r="BC149" s="1648" t="str">
        <f t="shared" si="275"/>
        <v/>
      </c>
      <c r="BD149" s="1667" t="str">
        <f t="shared" si="276"/>
        <v/>
      </c>
      <c r="BE149" s="1668" t="str">
        <f t="shared" si="277"/>
        <v/>
      </c>
      <c r="BF149" s="1669" t="str">
        <f t="shared" si="291"/>
        <v/>
      </c>
      <c r="BG149" s="1668" t="str">
        <f t="shared" si="278"/>
        <v/>
      </c>
      <c r="BH149" s="1669" t="str">
        <f t="shared" si="279"/>
        <v/>
      </c>
      <c r="BI149" s="1653" t="str">
        <f t="shared" si="292"/>
        <v/>
      </c>
      <c r="BM149" s="1658" t="str">
        <f t="shared" si="293"/>
        <v/>
      </c>
      <c r="BN149" s="1659" t="str">
        <f t="shared" si="280"/>
        <v/>
      </c>
      <c r="BO149" s="1659"/>
      <c r="BP149" s="1659"/>
      <c r="BQ149" s="1645" t="str">
        <f t="shared" si="281"/>
        <v/>
      </c>
      <c r="BR149" s="1620"/>
      <c r="BS149" s="1658" t="str">
        <f t="shared" si="282"/>
        <v/>
      </c>
      <c r="BT149" s="1658" t="str">
        <f t="shared" si="283"/>
        <v/>
      </c>
      <c r="BU149" s="1648" t="str">
        <f t="shared" si="284"/>
        <v/>
      </c>
      <c r="BV149" s="1660" t="str">
        <f t="shared" si="285"/>
        <v/>
      </c>
      <c r="BW149" s="1662" t="str">
        <f t="shared" si="286"/>
        <v/>
      </c>
      <c r="BX149" s="1663" t="str">
        <f t="shared" si="287"/>
        <v/>
      </c>
      <c r="BY149" s="1663" t="str">
        <f t="shared" si="288"/>
        <v/>
      </c>
      <c r="BZ149" s="1664" t="str">
        <f t="shared" si="289"/>
        <v/>
      </c>
      <c r="CA149" s="1655" t="str">
        <f t="shared" si="294"/>
        <v/>
      </c>
    </row>
    <row r="150" spans="47:79" ht="24.95" hidden="1" customHeight="1">
      <c r="AU150" s="1657" t="str">
        <f t="shared" si="290"/>
        <v/>
      </c>
      <c r="AV150" s="1657" t="str">
        <f t="shared" si="271"/>
        <v/>
      </c>
      <c r="AW150" s="1657"/>
      <c r="AX150" s="1665"/>
      <c r="AY150" s="1645" t="str">
        <f t="shared" si="272"/>
        <v/>
      </c>
      <c r="AZ150" s="1666"/>
      <c r="BA150" s="1618" t="str">
        <f t="shared" si="273"/>
        <v/>
      </c>
      <c r="BB150" s="1618" t="str">
        <f t="shared" si="274"/>
        <v/>
      </c>
      <c r="BC150" s="1648" t="str">
        <f t="shared" si="275"/>
        <v/>
      </c>
      <c r="BD150" s="1667" t="str">
        <f t="shared" si="276"/>
        <v/>
      </c>
      <c r="BE150" s="1668" t="str">
        <f t="shared" si="277"/>
        <v/>
      </c>
      <c r="BF150" s="1669" t="str">
        <f t="shared" si="291"/>
        <v/>
      </c>
      <c r="BG150" s="1668" t="str">
        <f t="shared" si="278"/>
        <v/>
      </c>
      <c r="BH150" s="1669" t="str">
        <f t="shared" si="279"/>
        <v/>
      </c>
      <c r="BI150" s="1653" t="str">
        <f t="shared" si="292"/>
        <v/>
      </c>
      <c r="BM150" s="1658" t="str">
        <f t="shared" si="293"/>
        <v/>
      </c>
      <c r="BN150" s="1659" t="str">
        <f t="shared" si="280"/>
        <v/>
      </c>
      <c r="BO150" s="1659"/>
      <c r="BP150" s="1659"/>
      <c r="BQ150" s="1645" t="str">
        <f t="shared" si="281"/>
        <v/>
      </c>
      <c r="BR150" s="1620"/>
      <c r="BS150" s="1658" t="str">
        <f t="shared" si="282"/>
        <v/>
      </c>
      <c r="BT150" s="1658" t="str">
        <f t="shared" si="283"/>
        <v/>
      </c>
      <c r="BU150" s="1648" t="str">
        <f t="shared" si="284"/>
        <v/>
      </c>
      <c r="BV150" s="1660" t="str">
        <f t="shared" si="285"/>
        <v/>
      </c>
      <c r="BW150" s="1662" t="str">
        <f t="shared" si="286"/>
        <v/>
      </c>
      <c r="BX150" s="1663" t="str">
        <f t="shared" si="287"/>
        <v/>
      </c>
      <c r="BY150" s="1663" t="str">
        <f t="shared" si="288"/>
        <v/>
      </c>
      <c r="BZ150" s="1664" t="str">
        <f t="shared" si="289"/>
        <v/>
      </c>
      <c r="CA150" s="1655" t="str">
        <f t="shared" si="294"/>
        <v/>
      </c>
    </row>
    <row r="151" spans="47:79" ht="24.95" hidden="1" customHeight="1">
      <c r="AU151" s="1657" t="str">
        <f t="shared" si="290"/>
        <v/>
      </c>
      <c r="AV151" s="1657" t="str">
        <f t="shared" si="271"/>
        <v/>
      </c>
      <c r="AW151" s="1657"/>
      <c r="AX151" s="1665"/>
      <c r="AY151" s="1645" t="str">
        <f t="shared" si="272"/>
        <v/>
      </c>
      <c r="AZ151" s="1666"/>
      <c r="BA151" s="1618" t="str">
        <f t="shared" si="273"/>
        <v/>
      </c>
      <c r="BB151" s="1618" t="str">
        <f t="shared" si="274"/>
        <v/>
      </c>
      <c r="BC151" s="1648" t="str">
        <f t="shared" si="275"/>
        <v/>
      </c>
      <c r="BD151" s="1667" t="str">
        <f t="shared" si="276"/>
        <v/>
      </c>
      <c r="BE151" s="1668" t="str">
        <f t="shared" si="277"/>
        <v/>
      </c>
      <c r="BF151" s="1669" t="str">
        <f t="shared" si="291"/>
        <v/>
      </c>
      <c r="BG151" s="1668" t="str">
        <f t="shared" si="278"/>
        <v/>
      </c>
      <c r="BH151" s="1669" t="str">
        <f t="shared" si="279"/>
        <v/>
      </c>
      <c r="BI151" s="1653" t="str">
        <f t="shared" si="292"/>
        <v/>
      </c>
      <c r="BM151" s="1658" t="str">
        <f t="shared" si="293"/>
        <v/>
      </c>
      <c r="BN151" s="1659" t="str">
        <f t="shared" si="280"/>
        <v/>
      </c>
      <c r="BO151" s="1659"/>
      <c r="BP151" s="1659"/>
      <c r="BQ151" s="1645" t="str">
        <f t="shared" si="281"/>
        <v/>
      </c>
      <c r="BR151" s="1620"/>
      <c r="BS151" s="1658" t="str">
        <f t="shared" si="282"/>
        <v/>
      </c>
      <c r="BT151" s="1658" t="str">
        <f t="shared" si="283"/>
        <v/>
      </c>
      <c r="BU151" s="1648" t="str">
        <f t="shared" si="284"/>
        <v/>
      </c>
      <c r="BV151" s="1660" t="str">
        <f t="shared" si="285"/>
        <v/>
      </c>
      <c r="BW151" s="1662" t="str">
        <f t="shared" si="286"/>
        <v/>
      </c>
      <c r="BX151" s="1663" t="str">
        <f t="shared" si="287"/>
        <v/>
      </c>
      <c r="BY151" s="1663" t="str">
        <f t="shared" si="288"/>
        <v/>
      </c>
      <c r="BZ151" s="1664" t="str">
        <f t="shared" si="289"/>
        <v/>
      </c>
      <c r="CA151" s="1655" t="str">
        <f t="shared" si="294"/>
        <v/>
      </c>
    </row>
    <row r="152" spans="47:79" ht="24.95" hidden="1" customHeight="1">
      <c r="AU152" s="1657" t="str">
        <f t="shared" si="290"/>
        <v/>
      </c>
      <c r="AV152" s="1657" t="str">
        <f t="shared" si="271"/>
        <v/>
      </c>
      <c r="AW152" s="1657"/>
      <c r="AX152" s="1665"/>
      <c r="AY152" s="1645" t="str">
        <f t="shared" si="272"/>
        <v/>
      </c>
      <c r="AZ152" s="1666"/>
      <c r="BA152" s="1618" t="str">
        <f t="shared" si="273"/>
        <v/>
      </c>
      <c r="BB152" s="1618" t="str">
        <f t="shared" si="274"/>
        <v/>
      </c>
      <c r="BC152" s="1648" t="str">
        <f t="shared" si="275"/>
        <v/>
      </c>
      <c r="BD152" s="1667" t="str">
        <f t="shared" si="276"/>
        <v/>
      </c>
      <c r="BE152" s="1668" t="str">
        <f t="shared" si="277"/>
        <v/>
      </c>
      <c r="BF152" s="1669" t="str">
        <f t="shared" si="291"/>
        <v/>
      </c>
      <c r="BG152" s="1668" t="str">
        <f t="shared" si="278"/>
        <v/>
      </c>
      <c r="BH152" s="1669" t="str">
        <f t="shared" si="279"/>
        <v/>
      </c>
      <c r="BI152" s="1653" t="str">
        <f t="shared" si="292"/>
        <v/>
      </c>
      <c r="BM152" s="1658" t="str">
        <f t="shared" si="293"/>
        <v/>
      </c>
      <c r="BN152" s="1659" t="str">
        <f t="shared" si="280"/>
        <v/>
      </c>
      <c r="BO152" s="1659"/>
      <c r="BP152" s="1659"/>
      <c r="BQ152" s="1645" t="str">
        <f t="shared" si="281"/>
        <v/>
      </c>
      <c r="BR152" s="1620"/>
      <c r="BS152" s="1658" t="str">
        <f t="shared" si="282"/>
        <v/>
      </c>
      <c r="BT152" s="1658" t="str">
        <f t="shared" si="283"/>
        <v/>
      </c>
      <c r="BU152" s="1648" t="str">
        <f t="shared" si="284"/>
        <v/>
      </c>
      <c r="BV152" s="1660" t="str">
        <f t="shared" si="285"/>
        <v/>
      </c>
      <c r="BW152" s="1662" t="str">
        <f t="shared" si="286"/>
        <v/>
      </c>
      <c r="BX152" s="1663" t="str">
        <f t="shared" si="287"/>
        <v/>
      </c>
      <c r="BY152" s="1663" t="str">
        <f t="shared" si="288"/>
        <v/>
      </c>
      <c r="BZ152" s="1664" t="str">
        <f t="shared" si="289"/>
        <v/>
      </c>
      <c r="CA152" s="1655" t="str">
        <f t="shared" si="294"/>
        <v/>
      </c>
    </row>
    <row r="153" spans="47:79" ht="24.95" hidden="1" customHeight="1">
      <c r="AU153" s="1657" t="str">
        <f t="shared" si="290"/>
        <v/>
      </c>
      <c r="AV153" s="1657" t="str">
        <f t="shared" si="271"/>
        <v/>
      </c>
      <c r="AW153" s="1657"/>
      <c r="AX153" s="1665"/>
      <c r="AY153" s="1645" t="str">
        <f t="shared" si="272"/>
        <v/>
      </c>
      <c r="AZ153" s="1666"/>
      <c r="BA153" s="1618" t="str">
        <f t="shared" si="273"/>
        <v/>
      </c>
      <c r="BB153" s="1618" t="str">
        <f t="shared" si="274"/>
        <v/>
      </c>
      <c r="BC153" s="1648" t="str">
        <f t="shared" si="275"/>
        <v/>
      </c>
      <c r="BD153" s="1667" t="str">
        <f t="shared" si="276"/>
        <v/>
      </c>
      <c r="BE153" s="1668" t="str">
        <f t="shared" si="277"/>
        <v/>
      </c>
      <c r="BF153" s="1669" t="str">
        <f t="shared" si="291"/>
        <v/>
      </c>
      <c r="BG153" s="1668" t="str">
        <f t="shared" si="278"/>
        <v/>
      </c>
      <c r="BH153" s="1669" t="str">
        <f t="shared" si="279"/>
        <v/>
      </c>
      <c r="BI153" s="1653" t="str">
        <f t="shared" si="292"/>
        <v/>
      </c>
      <c r="BM153" s="1658" t="str">
        <f t="shared" si="293"/>
        <v/>
      </c>
      <c r="BN153" s="1659" t="str">
        <f t="shared" si="280"/>
        <v/>
      </c>
      <c r="BO153" s="1659"/>
      <c r="BP153" s="1659"/>
      <c r="BQ153" s="1645" t="str">
        <f t="shared" si="281"/>
        <v/>
      </c>
      <c r="BR153" s="1620"/>
      <c r="BS153" s="1658" t="str">
        <f t="shared" si="282"/>
        <v/>
      </c>
      <c r="BT153" s="1658" t="str">
        <f t="shared" si="283"/>
        <v/>
      </c>
      <c r="BU153" s="1648" t="str">
        <f t="shared" si="284"/>
        <v/>
      </c>
      <c r="BV153" s="1660" t="str">
        <f t="shared" si="285"/>
        <v/>
      </c>
      <c r="BW153" s="1662" t="str">
        <f t="shared" si="286"/>
        <v/>
      </c>
      <c r="BX153" s="1663" t="str">
        <f t="shared" si="287"/>
        <v/>
      </c>
      <c r="BY153" s="1663" t="str">
        <f t="shared" si="288"/>
        <v/>
      </c>
      <c r="BZ153" s="1664" t="str">
        <f t="shared" si="289"/>
        <v/>
      </c>
      <c r="CA153" s="1655" t="str">
        <f t="shared" si="294"/>
        <v/>
      </c>
    </row>
    <row r="154" spans="47:79" ht="24.95" hidden="1" customHeight="1">
      <c r="AU154" s="1657" t="str">
        <f t="shared" si="290"/>
        <v/>
      </c>
      <c r="AV154" s="1657" t="str">
        <f t="shared" si="271"/>
        <v/>
      </c>
      <c r="AW154" s="1657"/>
      <c r="AX154" s="1665"/>
      <c r="AY154" s="1645" t="str">
        <f t="shared" si="272"/>
        <v/>
      </c>
      <c r="AZ154" s="1666"/>
      <c r="BA154" s="1618" t="str">
        <f t="shared" si="273"/>
        <v/>
      </c>
      <c r="BB154" s="1618" t="str">
        <f t="shared" si="274"/>
        <v/>
      </c>
      <c r="BC154" s="1648" t="str">
        <f t="shared" si="275"/>
        <v/>
      </c>
      <c r="BD154" s="1667" t="str">
        <f t="shared" si="276"/>
        <v/>
      </c>
      <c r="BE154" s="1668" t="str">
        <f t="shared" si="277"/>
        <v/>
      </c>
      <c r="BF154" s="1669" t="str">
        <f t="shared" si="291"/>
        <v/>
      </c>
      <c r="BG154" s="1668" t="str">
        <f t="shared" si="278"/>
        <v/>
      </c>
      <c r="BH154" s="1669" t="str">
        <f t="shared" si="279"/>
        <v/>
      </c>
      <c r="BI154" s="1653" t="str">
        <f t="shared" si="292"/>
        <v/>
      </c>
      <c r="BM154" s="1658" t="str">
        <f t="shared" si="293"/>
        <v/>
      </c>
      <c r="BN154" s="1659" t="str">
        <f t="shared" si="280"/>
        <v/>
      </c>
      <c r="BO154" s="1659"/>
      <c r="BP154" s="1659"/>
      <c r="BQ154" s="1645" t="str">
        <f t="shared" si="281"/>
        <v/>
      </c>
      <c r="BR154" s="1620"/>
      <c r="BS154" s="1658" t="str">
        <f t="shared" si="282"/>
        <v/>
      </c>
      <c r="BT154" s="1658" t="str">
        <f t="shared" si="283"/>
        <v/>
      </c>
      <c r="BU154" s="1648" t="str">
        <f t="shared" si="284"/>
        <v/>
      </c>
      <c r="BV154" s="1660" t="str">
        <f t="shared" si="285"/>
        <v/>
      </c>
      <c r="BW154" s="1662" t="str">
        <f t="shared" si="286"/>
        <v/>
      </c>
      <c r="BX154" s="1663" t="str">
        <f t="shared" si="287"/>
        <v/>
      </c>
      <c r="BY154" s="1663" t="str">
        <f t="shared" si="288"/>
        <v/>
      </c>
      <c r="BZ154" s="1664" t="str">
        <f t="shared" si="289"/>
        <v/>
      </c>
      <c r="CA154" s="1655" t="str">
        <f t="shared" si="294"/>
        <v/>
      </c>
    </row>
    <row r="155" spans="47:79" ht="24.95" hidden="1" customHeight="1">
      <c r="AU155" s="1657" t="str">
        <f t="shared" si="290"/>
        <v/>
      </c>
      <c r="AV155" s="1657" t="str">
        <f t="shared" si="271"/>
        <v/>
      </c>
      <c r="AW155" s="1657"/>
      <c r="AX155" s="1665"/>
      <c r="AY155" s="1645" t="str">
        <f t="shared" si="272"/>
        <v/>
      </c>
      <c r="AZ155" s="1666"/>
      <c r="BA155" s="1618" t="str">
        <f t="shared" si="273"/>
        <v/>
      </c>
      <c r="BB155" s="1618" t="str">
        <f t="shared" si="274"/>
        <v/>
      </c>
      <c r="BC155" s="1648" t="str">
        <f t="shared" si="275"/>
        <v/>
      </c>
      <c r="BD155" s="1667" t="str">
        <f t="shared" si="276"/>
        <v/>
      </c>
      <c r="BE155" s="1668" t="str">
        <f t="shared" si="277"/>
        <v/>
      </c>
      <c r="BF155" s="1669" t="str">
        <f t="shared" si="291"/>
        <v/>
      </c>
      <c r="BG155" s="1668" t="str">
        <f t="shared" si="278"/>
        <v/>
      </c>
      <c r="BH155" s="1669" t="str">
        <f t="shared" si="279"/>
        <v/>
      </c>
      <c r="BI155" s="1653" t="str">
        <f t="shared" si="292"/>
        <v/>
      </c>
      <c r="BM155" s="1658" t="str">
        <f t="shared" si="293"/>
        <v/>
      </c>
      <c r="BN155" s="1659" t="str">
        <f t="shared" si="280"/>
        <v/>
      </c>
      <c r="BO155" s="1659"/>
      <c r="BP155" s="1659"/>
      <c r="BQ155" s="1645" t="str">
        <f t="shared" si="281"/>
        <v/>
      </c>
      <c r="BR155" s="1620"/>
      <c r="BS155" s="1658" t="str">
        <f t="shared" si="282"/>
        <v/>
      </c>
      <c r="BT155" s="1658" t="str">
        <f t="shared" si="283"/>
        <v/>
      </c>
      <c r="BU155" s="1648" t="str">
        <f t="shared" si="284"/>
        <v/>
      </c>
      <c r="BV155" s="1660" t="str">
        <f t="shared" si="285"/>
        <v/>
      </c>
      <c r="BW155" s="1662" t="str">
        <f t="shared" si="286"/>
        <v/>
      </c>
      <c r="BX155" s="1663" t="str">
        <f t="shared" si="287"/>
        <v/>
      </c>
      <c r="BY155" s="1663" t="str">
        <f t="shared" si="288"/>
        <v/>
      </c>
      <c r="BZ155" s="1664" t="str">
        <f t="shared" si="289"/>
        <v/>
      </c>
      <c r="CA155" s="1655" t="str">
        <f t="shared" si="294"/>
        <v/>
      </c>
    </row>
    <row r="156" spans="47:79" ht="24.95" hidden="1" customHeight="1">
      <c r="AU156" s="1657" t="str">
        <f t="shared" si="290"/>
        <v/>
      </c>
      <c r="AV156" s="1657" t="str">
        <f t="shared" si="271"/>
        <v/>
      </c>
      <c r="AW156" s="1657"/>
      <c r="AX156" s="1665"/>
      <c r="AY156" s="1645" t="str">
        <f t="shared" si="272"/>
        <v/>
      </c>
      <c r="AZ156" s="1666"/>
      <c r="BA156" s="1618" t="str">
        <f t="shared" si="273"/>
        <v/>
      </c>
      <c r="BB156" s="1618" t="str">
        <f t="shared" si="274"/>
        <v/>
      </c>
      <c r="BC156" s="1648" t="str">
        <f t="shared" si="275"/>
        <v/>
      </c>
      <c r="BD156" s="1667" t="str">
        <f t="shared" si="276"/>
        <v/>
      </c>
      <c r="BE156" s="1668" t="str">
        <f t="shared" si="277"/>
        <v/>
      </c>
      <c r="BF156" s="1669" t="str">
        <f t="shared" si="291"/>
        <v/>
      </c>
      <c r="BG156" s="1668" t="str">
        <f t="shared" si="278"/>
        <v/>
      </c>
      <c r="BH156" s="1669" t="str">
        <f t="shared" si="279"/>
        <v/>
      </c>
      <c r="BI156" s="1653" t="str">
        <f t="shared" si="292"/>
        <v/>
      </c>
      <c r="BM156" s="1658" t="str">
        <f t="shared" si="293"/>
        <v/>
      </c>
      <c r="BN156" s="1659" t="str">
        <f t="shared" si="280"/>
        <v/>
      </c>
      <c r="BO156" s="1659"/>
      <c r="BP156" s="1659"/>
      <c r="BQ156" s="1645" t="str">
        <f t="shared" si="281"/>
        <v/>
      </c>
      <c r="BR156" s="1620"/>
      <c r="BS156" s="1658" t="str">
        <f t="shared" si="282"/>
        <v/>
      </c>
      <c r="BT156" s="1658" t="str">
        <f t="shared" si="283"/>
        <v/>
      </c>
      <c r="BU156" s="1648" t="str">
        <f t="shared" si="284"/>
        <v/>
      </c>
      <c r="BV156" s="1660" t="str">
        <f t="shared" si="285"/>
        <v/>
      </c>
      <c r="BW156" s="1662" t="str">
        <f t="shared" si="286"/>
        <v/>
      </c>
      <c r="BX156" s="1663" t="str">
        <f t="shared" si="287"/>
        <v/>
      </c>
      <c r="BY156" s="1663" t="str">
        <f t="shared" si="288"/>
        <v/>
      </c>
      <c r="BZ156" s="1664" t="str">
        <f t="shared" si="289"/>
        <v/>
      </c>
      <c r="CA156" s="1655" t="str">
        <f t="shared" si="294"/>
        <v/>
      </c>
    </row>
    <row r="157" spans="47:79" ht="24.95" hidden="1" customHeight="1">
      <c r="AU157" s="1657" t="str">
        <f t="shared" si="290"/>
        <v/>
      </c>
      <c r="AV157" s="1657" t="str">
        <f t="shared" ref="AV157:AV188" si="295">IF(K40&lt;&gt;"",K40,"")</f>
        <v/>
      </c>
      <c r="AW157" s="1657"/>
      <c r="AX157" s="1665"/>
      <c r="AY157" s="1645" t="str">
        <f t="shared" ref="AY157:AY188" si="296">IF(M40&lt;&gt;"",MID(M40,7,200),"")</f>
        <v/>
      </c>
      <c r="AZ157" s="1666"/>
      <c r="BA157" s="1618" t="str">
        <f t="shared" ref="BA157:BA188" si="297">IF(N40&gt;0,N40,"")</f>
        <v/>
      </c>
      <c r="BB157" s="1618" t="str">
        <f t="shared" ref="BB157:BB188" si="298">IF(O40&lt;&gt;"",O40,"")</f>
        <v/>
      </c>
      <c r="BC157" s="1648" t="str">
        <f t="shared" ref="BC157:BC188" si="299">IF(M40&lt;&gt;"",MID(P40,5,100),"")</f>
        <v/>
      </c>
      <c r="BD157" s="1667" t="str">
        <f t="shared" si="276"/>
        <v/>
      </c>
      <c r="BE157" s="1668" t="str">
        <f t="shared" ref="BE157:BE188" si="300">IF(M40&lt;&gt;"",U40,"")</f>
        <v/>
      </c>
      <c r="BF157" s="1669" t="str">
        <f t="shared" si="291"/>
        <v/>
      </c>
      <c r="BG157" s="1668" t="str">
        <f t="shared" ref="BG157:BG188" si="301">IF(M40&lt;&gt;"",W40,"")</f>
        <v/>
      </c>
      <c r="BH157" s="1669" t="str">
        <f t="shared" si="279"/>
        <v/>
      </c>
      <c r="BI157" s="1653" t="str">
        <f t="shared" si="292"/>
        <v/>
      </c>
      <c r="BM157" s="1658" t="str">
        <f t="shared" si="293"/>
        <v/>
      </c>
      <c r="BN157" s="1659" t="str">
        <f t="shared" ref="BN157:BN188" si="302">IF(M40&lt;&gt;"",K40,"")</f>
        <v/>
      </c>
      <c r="BO157" s="1659"/>
      <c r="BP157" s="1659"/>
      <c r="BQ157" s="1645" t="str">
        <f t="shared" ref="BQ157:BQ188" si="303">IF(M40&lt;&gt;"",MID(M40,7,200),"")</f>
        <v/>
      </c>
      <c r="BR157" s="1620"/>
      <c r="BS157" s="1658" t="str">
        <f t="shared" ref="BS157:BS188" si="304">IF(N40&gt;0,N40,"")</f>
        <v/>
      </c>
      <c r="BT157" s="1658" t="str">
        <f t="shared" ref="BT157:BT188" si="305">IF(O40&lt;&gt;"",O40,"")</f>
        <v/>
      </c>
      <c r="BU157" s="1648" t="str">
        <f t="shared" ref="BU157:BU188" si="306">IF(M40&lt;&gt;"",MID(P40,5,100),"")</f>
        <v/>
      </c>
      <c r="BV157" s="1660" t="str">
        <f t="shared" si="285"/>
        <v/>
      </c>
      <c r="BW157" s="1662" t="str">
        <f t="shared" ref="BW157:BW188" si="307">IF(M40&lt;&gt;"",U40,"")</f>
        <v/>
      </c>
      <c r="BX157" s="1663" t="str">
        <f t="shared" si="287"/>
        <v/>
      </c>
      <c r="BY157" s="1663" t="str">
        <f t="shared" ref="BY157:BY188" si="308">IF(M40&lt;&gt;"",W40,"")</f>
        <v/>
      </c>
      <c r="BZ157" s="1664" t="str">
        <f t="shared" si="289"/>
        <v/>
      </c>
      <c r="CA157" s="1655" t="str">
        <f t="shared" si="294"/>
        <v/>
      </c>
    </row>
    <row r="158" spans="47:79" ht="24.95" hidden="1" customHeight="1">
      <c r="AU158" s="1657" t="str">
        <f t="shared" ref="AU158:AU189" si="309">IF(M41="","",AU157+1)</f>
        <v/>
      </c>
      <c r="AV158" s="1657" t="str">
        <f t="shared" si="295"/>
        <v/>
      </c>
      <c r="AW158" s="1657"/>
      <c r="AX158" s="1665"/>
      <c r="AY158" s="1645" t="str">
        <f t="shared" si="296"/>
        <v/>
      </c>
      <c r="AZ158" s="1666"/>
      <c r="BA158" s="1618" t="str">
        <f t="shared" si="297"/>
        <v/>
      </c>
      <c r="BB158" s="1618" t="str">
        <f t="shared" si="298"/>
        <v/>
      </c>
      <c r="BC158" s="1648" t="str">
        <f t="shared" si="299"/>
        <v/>
      </c>
      <c r="BD158" s="1667" t="str">
        <f t="shared" si="276"/>
        <v/>
      </c>
      <c r="BE158" s="1668" t="str">
        <f t="shared" si="300"/>
        <v/>
      </c>
      <c r="BF158" s="1669" t="str">
        <f t="shared" si="291"/>
        <v/>
      </c>
      <c r="BG158" s="1668" t="str">
        <f t="shared" si="301"/>
        <v/>
      </c>
      <c r="BH158" s="1669" t="str">
        <f t="shared" si="279"/>
        <v/>
      </c>
      <c r="BI158" s="1653" t="str">
        <f t="shared" si="292"/>
        <v/>
      </c>
      <c r="BM158" s="1658" t="str">
        <f t="shared" ref="BM158:BM189" si="310">IF(M41="","",BM157+1)</f>
        <v/>
      </c>
      <c r="BN158" s="1659" t="str">
        <f t="shared" si="302"/>
        <v/>
      </c>
      <c r="BO158" s="1659"/>
      <c r="BP158" s="1659"/>
      <c r="BQ158" s="1645" t="str">
        <f t="shared" si="303"/>
        <v/>
      </c>
      <c r="BR158" s="1620"/>
      <c r="BS158" s="1658" t="str">
        <f t="shared" si="304"/>
        <v/>
      </c>
      <c r="BT158" s="1658" t="str">
        <f t="shared" si="305"/>
        <v/>
      </c>
      <c r="BU158" s="1648" t="str">
        <f t="shared" si="306"/>
        <v/>
      </c>
      <c r="BV158" s="1660" t="str">
        <f t="shared" si="285"/>
        <v/>
      </c>
      <c r="BW158" s="1662" t="str">
        <f t="shared" si="307"/>
        <v/>
      </c>
      <c r="BX158" s="1663" t="str">
        <f t="shared" si="287"/>
        <v/>
      </c>
      <c r="BY158" s="1663" t="str">
        <f t="shared" si="308"/>
        <v/>
      </c>
      <c r="BZ158" s="1664" t="str">
        <f t="shared" si="289"/>
        <v/>
      </c>
      <c r="CA158" s="1655" t="str">
        <f t="shared" si="294"/>
        <v/>
      </c>
    </row>
    <row r="159" spans="47:79" ht="24.95" hidden="1" customHeight="1">
      <c r="AU159" s="1657" t="str">
        <f t="shared" si="309"/>
        <v/>
      </c>
      <c r="AV159" s="1657" t="str">
        <f t="shared" si="295"/>
        <v/>
      </c>
      <c r="AW159" s="1657"/>
      <c r="AX159" s="1665"/>
      <c r="AY159" s="1645" t="str">
        <f t="shared" si="296"/>
        <v/>
      </c>
      <c r="AZ159" s="1666"/>
      <c r="BA159" s="1618" t="str">
        <f t="shared" si="297"/>
        <v/>
      </c>
      <c r="BB159" s="1618" t="str">
        <f t="shared" si="298"/>
        <v/>
      </c>
      <c r="BC159" s="1648" t="str">
        <f t="shared" si="299"/>
        <v/>
      </c>
      <c r="BD159" s="1667" t="str">
        <f t="shared" si="276"/>
        <v/>
      </c>
      <c r="BE159" s="1668" t="str">
        <f t="shared" si="300"/>
        <v/>
      </c>
      <c r="BF159" s="1669" t="str">
        <f t="shared" si="291"/>
        <v/>
      </c>
      <c r="BG159" s="1668" t="str">
        <f t="shared" si="301"/>
        <v/>
      </c>
      <c r="BH159" s="1669" t="str">
        <f t="shared" si="279"/>
        <v/>
      </c>
      <c r="BI159" s="1653" t="str">
        <f t="shared" si="292"/>
        <v/>
      </c>
      <c r="BM159" s="1658" t="str">
        <f t="shared" si="310"/>
        <v/>
      </c>
      <c r="BN159" s="1659" t="str">
        <f t="shared" si="302"/>
        <v/>
      </c>
      <c r="BO159" s="1659"/>
      <c r="BP159" s="1659"/>
      <c r="BQ159" s="1645" t="str">
        <f t="shared" si="303"/>
        <v/>
      </c>
      <c r="BR159" s="1620"/>
      <c r="BS159" s="1658" t="str">
        <f t="shared" si="304"/>
        <v/>
      </c>
      <c r="BT159" s="1658" t="str">
        <f t="shared" si="305"/>
        <v/>
      </c>
      <c r="BU159" s="1648" t="str">
        <f t="shared" si="306"/>
        <v/>
      </c>
      <c r="BV159" s="1660" t="str">
        <f t="shared" si="285"/>
        <v/>
      </c>
      <c r="BW159" s="1662" t="str">
        <f t="shared" si="307"/>
        <v/>
      </c>
      <c r="BX159" s="1663" t="str">
        <f t="shared" si="287"/>
        <v/>
      </c>
      <c r="BY159" s="1663" t="str">
        <f t="shared" si="308"/>
        <v/>
      </c>
      <c r="BZ159" s="1664" t="str">
        <f t="shared" si="289"/>
        <v/>
      </c>
      <c r="CA159" s="1655" t="str">
        <f t="shared" si="294"/>
        <v/>
      </c>
    </row>
    <row r="160" spans="47:79" ht="24.95" hidden="1" customHeight="1">
      <c r="AU160" s="1657" t="str">
        <f t="shared" si="309"/>
        <v/>
      </c>
      <c r="AV160" s="1657" t="str">
        <f t="shared" si="295"/>
        <v/>
      </c>
      <c r="AW160" s="1657"/>
      <c r="AX160" s="1665"/>
      <c r="AY160" s="1645" t="str">
        <f t="shared" si="296"/>
        <v/>
      </c>
      <c r="AZ160" s="1666"/>
      <c r="BA160" s="1618" t="str">
        <f t="shared" si="297"/>
        <v/>
      </c>
      <c r="BB160" s="1618" t="str">
        <f t="shared" si="298"/>
        <v/>
      </c>
      <c r="BC160" s="1648" t="str">
        <f t="shared" si="299"/>
        <v/>
      </c>
      <c r="BD160" s="1667" t="str">
        <f t="shared" si="276"/>
        <v/>
      </c>
      <c r="BE160" s="1668" t="str">
        <f t="shared" si="300"/>
        <v/>
      </c>
      <c r="BF160" s="1669" t="str">
        <f t="shared" si="291"/>
        <v/>
      </c>
      <c r="BG160" s="1668" t="str">
        <f t="shared" si="301"/>
        <v/>
      </c>
      <c r="BH160" s="1669" t="str">
        <f t="shared" si="279"/>
        <v/>
      </c>
      <c r="BI160" s="1653" t="str">
        <f t="shared" si="292"/>
        <v/>
      </c>
      <c r="BM160" s="1658" t="str">
        <f t="shared" si="310"/>
        <v/>
      </c>
      <c r="BN160" s="1659" t="str">
        <f t="shared" si="302"/>
        <v/>
      </c>
      <c r="BO160" s="1659"/>
      <c r="BP160" s="1659"/>
      <c r="BQ160" s="1645" t="str">
        <f t="shared" si="303"/>
        <v/>
      </c>
      <c r="BR160" s="1620"/>
      <c r="BS160" s="1658" t="str">
        <f t="shared" si="304"/>
        <v/>
      </c>
      <c r="BT160" s="1658" t="str">
        <f t="shared" si="305"/>
        <v/>
      </c>
      <c r="BU160" s="1648" t="str">
        <f t="shared" si="306"/>
        <v/>
      </c>
      <c r="BV160" s="1660" t="str">
        <f t="shared" si="285"/>
        <v/>
      </c>
      <c r="BW160" s="1662" t="str">
        <f t="shared" si="307"/>
        <v/>
      </c>
      <c r="BX160" s="1663" t="str">
        <f t="shared" si="287"/>
        <v/>
      </c>
      <c r="BY160" s="1663" t="str">
        <f t="shared" si="308"/>
        <v/>
      </c>
      <c r="BZ160" s="1664" t="str">
        <f t="shared" si="289"/>
        <v/>
      </c>
      <c r="CA160" s="1655" t="str">
        <f t="shared" si="294"/>
        <v/>
      </c>
    </row>
    <row r="161" spans="47:79" ht="24.95" hidden="1" customHeight="1">
      <c r="AU161" s="1657" t="str">
        <f t="shared" si="309"/>
        <v/>
      </c>
      <c r="AV161" s="1657" t="str">
        <f t="shared" si="295"/>
        <v/>
      </c>
      <c r="AW161" s="1657"/>
      <c r="AX161" s="1665"/>
      <c r="AY161" s="1645" t="str">
        <f t="shared" si="296"/>
        <v/>
      </c>
      <c r="AZ161" s="1666"/>
      <c r="BA161" s="1618" t="str">
        <f t="shared" si="297"/>
        <v/>
      </c>
      <c r="BB161" s="1618" t="str">
        <f t="shared" si="298"/>
        <v/>
      </c>
      <c r="BC161" s="1648" t="str">
        <f t="shared" si="299"/>
        <v/>
      </c>
      <c r="BD161" s="1667" t="str">
        <f t="shared" si="276"/>
        <v/>
      </c>
      <c r="BE161" s="1668" t="str">
        <f t="shared" si="300"/>
        <v/>
      </c>
      <c r="BF161" s="1669" t="str">
        <f t="shared" si="291"/>
        <v/>
      </c>
      <c r="BG161" s="1668" t="str">
        <f t="shared" si="301"/>
        <v/>
      </c>
      <c r="BH161" s="1669" t="str">
        <f t="shared" si="279"/>
        <v/>
      </c>
      <c r="BI161" s="1653" t="str">
        <f t="shared" si="292"/>
        <v/>
      </c>
      <c r="BM161" s="1658" t="str">
        <f t="shared" si="310"/>
        <v/>
      </c>
      <c r="BN161" s="1659" t="str">
        <f t="shared" si="302"/>
        <v/>
      </c>
      <c r="BO161" s="1659"/>
      <c r="BP161" s="1659"/>
      <c r="BQ161" s="1645" t="str">
        <f t="shared" si="303"/>
        <v/>
      </c>
      <c r="BR161" s="1620"/>
      <c r="BS161" s="1658" t="str">
        <f t="shared" si="304"/>
        <v/>
      </c>
      <c r="BT161" s="1658" t="str">
        <f t="shared" si="305"/>
        <v/>
      </c>
      <c r="BU161" s="1648" t="str">
        <f t="shared" si="306"/>
        <v/>
      </c>
      <c r="BV161" s="1660" t="str">
        <f t="shared" si="285"/>
        <v/>
      </c>
      <c r="BW161" s="1662" t="str">
        <f t="shared" si="307"/>
        <v/>
      </c>
      <c r="BX161" s="1663" t="str">
        <f t="shared" si="287"/>
        <v/>
      </c>
      <c r="BY161" s="1663" t="str">
        <f t="shared" si="308"/>
        <v/>
      </c>
      <c r="BZ161" s="1664" t="str">
        <f t="shared" si="289"/>
        <v/>
      </c>
      <c r="CA161" s="1655" t="str">
        <f t="shared" si="294"/>
        <v/>
      </c>
    </row>
    <row r="162" spans="47:79" ht="24.95" hidden="1" customHeight="1">
      <c r="AU162" s="1657" t="str">
        <f t="shared" si="309"/>
        <v/>
      </c>
      <c r="AV162" s="1657" t="str">
        <f t="shared" si="295"/>
        <v/>
      </c>
      <c r="AW162" s="1657"/>
      <c r="AX162" s="1665"/>
      <c r="AY162" s="1645" t="str">
        <f t="shared" si="296"/>
        <v/>
      </c>
      <c r="AZ162" s="1666"/>
      <c r="BA162" s="1618" t="str">
        <f t="shared" si="297"/>
        <v/>
      </c>
      <c r="BB162" s="1618" t="str">
        <f t="shared" si="298"/>
        <v/>
      </c>
      <c r="BC162" s="1648" t="str">
        <f t="shared" si="299"/>
        <v/>
      </c>
      <c r="BD162" s="1667" t="str">
        <f t="shared" si="276"/>
        <v/>
      </c>
      <c r="BE162" s="1668" t="str">
        <f t="shared" si="300"/>
        <v/>
      </c>
      <c r="BF162" s="1669" t="str">
        <f t="shared" si="291"/>
        <v/>
      </c>
      <c r="BG162" s="1668" t="str">
        <f t="shared" si="301"/>
        <v/>
      </c>
      <c r="BH162" s="1669" t="str">
        <f t="shared" si="279"/>
        <v/>
      </c>
      <c r="BI162" s="1653" t="str">
        <f t="shared" si="292"/>
        <v/>
      </c>
      <c r="BM162" s="1658" t="str">
        <f t="shared" si="310"/>
        <v/>
      </c>
      <c r="BN162" s="1659" t="str">
        <f t="shared" si="302"/>
        <v/>
      </c>
      <c r="BO162" s="1659"/>
      <c r="BP162" s="1659"/>
      <c r="BQ162" s="1645" t="str">
        <f t="shared" si="303"/>
        <v/>
      </c>
      <c r="BR162" s="1620"/>
      <c r="BS162" s="1658" t="str">
        <f t="shared" si="304"/>
        <v/>
      </c>
      <c r="BT162" s="1658" t="str">
        <f t="shared" si="305"/>
        <v/>
      </c>
      <c r="BU162" s="1648" t="str">
        <f t="shared" si="306"/>
        <v/>
      </c>
      <c r="BV162" s="1660" t="str">
        <f t="shared" si="285"/>
        <v/>
      </c>
      <c r="BW162" s="1662" t="str">
        <f t="shared" si="307"/>
        <v/>
      </c>
      <c r="BX162" s="1663" t="str">
        <f t="shared" si="287"/>
        <v/>
      </c>
      <c r="BY162" s="1663" t="str">
        <f t="shared" si="308"/>
        <v/>
      </c>
      <c r="BZ162" s="1664" t="str">
        <f t="shared" si="289"/>
        <v/>
      </c>
      <c r="CA162" s="1655" t="str">
        <f t="shared" si="294"/>
        <v/>
      </c>
    </row>
    <row r="163" spans="47:79" ht="24.95" hidden="1" customHeight="1">
      <c r="AU163" s="1657" t="str">
        <f t="shared" si="309"/>
        <v/>
      </c>
      <c r="AV163" s="1657" t="str">
        <f t="shared" si="295"/>
        <v/>
      </c>
      <c r="AW163" s="1657"/>
      <c r="AX163" s="1665"/>
      <c r="AY163" s="1645" t="str">
        <f t="shared" si="296"/>
        <v/>
      </c>
      <c r="AZ163" s="1666"/>
      <c r="BA163" s="1618" t="str">
        <f t="shared" si="297"/>
        <v/>
      </c>
      <c r="BB163" s="1618" t="str">
        <f t="shared" si="298"/>
        <v/>
      </c>
      <c r="BC163" s="1648" t="str">
        <f t="shared" si="299"/>
        <v/>
      </c>
      <c r="BD163" s="1667" t="str">
        <f t="shared" si="276"/>
        <v/>
      </c>
      <c r="BE163" s="1668" t="str">
        <f t="shared" si="300"/>
        <v/>
      </c>
      <c r="BF163" s="1669" t="str">
        <f t="shared" si="291"/>
        <v/>
      </c>
      <c r="BG163" s="1668" t="str">
        <f t="shared" si="301"/>
        <v/>
      </c>
      <c r="BH163" s="1669" t="str">
        <f t="shared" si="279"/>
        <v/>
      </c>
      <c r="BI163" s="1653" t="str">
        <f t="shared" si="292"/>
        <v/>
      </c>
      <c r="BM163" s="1658" t="str">
        <f t="shared" si="310"/>
        <v/>
      </c>
      <c r="BN163" s="1659" t="str">
        <f t="shared" si="302"/>
        <v/>
      </c>
      <c r="BO163" s="1659"/>
      <c r="BP163" s="1659"/>
      <c r="BQ163" s="1645" t="str">
        <f t="shared" si="303"/>
        <v/>
      </c>
      <c r="BR163" s="1620"/>
      <c r="BS163" s="1658" t="str">
        <f t="shared" si="304"/>
        <v/>
      </c>
      <c r="BT163" s="1658" t="str">
        <f t="shared" si="305"/>
        <v/>
      </c>
      <c r="BU163" s="1648" t="str">
        <f t="shared" si="306"/>
        <v/>
      </c>
      <c r="BV163" s="1660" t="str">
        <f t="shared" si="285"/>
        <v/>
      </c>
      <c r="BW163" s="1662" t="str">
        <f t="shared" si="307"/>
        <v/>
      </c>
      <c r="BX163" s="1663" t="str">
        <f t="shared" si="287"/>
        <v/>
      </c>
      <c r="BY163" s="1663" t="str">
        <f t="shared" si="308"/>
        <v/>
      </c>
      <c r="BZ163" s="1664" t="str">
        <f t="shared" si="289"/>
        <v/>
      </c>
      <c r="CA163" s="1655" t="str">
        <f t="shared" si="294"/>
        <v/>
      </c>
    </row>
    <row r="164" spans="47:79" ht="24.95" hidden="1" customHeight="1">
      <c r="AU164" s="1657" t="str">
        <f t="shared" si="309"/>
        <v/>
      </c>
      <c r="AV164" s="1657" t="str">
        <f t="shared" si="295"/>
        <v/>
      </c>
      <c r="AW164" s="1657"/>
      <c r="AX164" s="1665"/>
      <c r="AY164" s="1645" t="str">
        <f t="shared" si="296"/>
        <v/>
      </c>
      <c r="AZ164" s="1666"/>
      <c r="BA164" s="1618" t="str">
        <f t="shared" si="297"/>
        <v/>
      </c>
      <c r="BB164" s="1618" t="str">
        <f t="shared" si="298"/>
        <v/>
      </c>
      <c r="BC164" s="1648" t="str">
        <f t="shared" si="299"/>
        <v/>
      </c>
      <c r="BD164" s="1667" t="str">
        <f t="shared" si="276"/>
        <v/>
      </c>
      <c r="BE164" s="1668" t="str">
        <f t="shared" si="300"/>
        <v/>
      </c>
      <c r="BF164" s="1669" t="str">
        <f t="shared" si="291"/>
        <v/>
      </c>
      <c r="BG164" s="1668" t="str">
        <f t="shared" si="301"/>
        <v/>
      </c>
      <c r="BH164" s="1669" t="str">
        <f t="shared" si="279"/>
        <v/>
      </c>
      <c r="BI164" s="1653" t="str">
        <f t="shared" si="292"/>
        <v/>
      </c>
      <c r="BM164" s="1658" t="str">
        <f t="shared" si="310"/>
        <v/>
      </c>
      <c r="BN164" s="1659" t="str">
        <f t="shared" si="302"/>
        <v/>
      </c>
      <c r="BO164" s="1659"/>
      <c r="BP164" s="1659"/>
      <c r="BQ164" s="1645" t="str">
        <f t="shared" si="303"/>
        <v/>
      </c>
      <c r="BR164" s="1620"/>
      <c r="BS164" s="1658" t="str">
        <f t="shared" si="304"/>
        <v/>
      </c>
      <c r="BT164" s="1658" t="str">
        <f t="shared" si="305"/>
        <v/>
      </c>
      <c r="BU164" s="1648" t="str">
        <f t="shared" si="306"/>
        <v/>
      </c>
      <c r="BV164" s="1660" t="str">
        <f t="shared" si="285"/>
        <v/>
      </c>
      <c r="BW164" s="1662" t="str">
        <f t="shared" si="307"/>
        <v/>
      </c>
      <c r="BX164" s="1663" t="str">
        <f t="shared" si="287"/>
        <v/>
      </c>
      <c r="BY164" s="1663" t="str">
        <f t="shared" si="308"/>
        <v/>
      </c>
      <c r="BZ164" s="1664" t="str">
        <f t="shared" si="289"/>
        <v/>
      </c>
      <c r="CA164" s="1655" t="str">
        <f t="shared" si="294"/>
        <v/>
      </c>
    </row>
    <row r="165" spans="47:79" ht="24.95" hidden="1" customHeight="1">
      <c r="AU165" s="1657" t="str">
        <f t="shared" si="309"/>
        <v/>
      </c>
      <c r="AV165" s="1657" t="str">
        <f t="shared" si="295"/>
        <v/>
      </c>
      <c r="AW165" s="1657"/>
      <c r="AX165" s="1665"/>
      <c r="AY165" s="1645" t="str">
        <f t="shared" si="296"/>
        <v/>
      </c>
      <c r="AZ165" s="1666"/>
      <c r="BA165" s="1618" t="str">
        <f t="shared" si="297"/>
        <v/>
      </c>
      <c r="BB165" s="1618" t="str">
        <f t="shared" si="298"/>
        <v/>
      </c>
      <c r="BC165" s="1648" t="str">
        <f t="shared" si="299"/>
        <v/>
      </c>
      <c r="BD165" s="1667" t="str">
        <f t="shared" si="276"/>
        <v/>
      </c>
      <c r="BE165" s="1668" t="str">
        <f t="shared" si="300"/>
        <v/>
      </c>
      <c r="BF165" s="1669" t="str">
        <f t="shared" si="291"/>
        <v/>
      </c>
      <c r="BG165" s="1668" t="str">
        <f t="shared" si="301"/>
        <v/>
      </c>
      <c r="BH165" s="1669" t="str">
        <f t="shared" si="279"/>
        <v/>
      </c>
      <c r="BI165" s="1653" t="str">
        <f t="shared" si="292"/>
        <v/>
      </c>
      <c r="BM165" s="1658" t="str">
        <f t="shared" si="310"/>
        <v/>
      </c>
      <c r="BN165" s="1659" t="str">
        <f t="shared" si="302"/>
        <v/>
      </c>
      <c r="BO165" s="1659"/>
      <c r="BP165" s="1659"/>
      <c r="BQ165" s="1645" t="str">
        <f t="shared" si="303"/>
        <v/>
      </c>
      <c r="BR165" s="1620"/>
      <c r="BS165" s="1658" t="str">
        <f t="shared" si="304"/>
        <v/>
      </c>
      <c r="BT165" s="1658" t="str">
        <f t="shared" si="305"/>
        <v/>
      </c>
      <c r="BU165" s="1648" t="str">
        <f t="shared" si="306"/>
        <v/>
      </c>
      <c r="BV165" s="1660" t="str">
        <f t="shared" si="285"/>
        <v/>
      </c>
      <c r="BW165" s="1662" t="str">
        <f t="shared" si="307"/>
        <v/>
      </c>
      <c r="BX165" s="1663" t="str">
        <f t="shared" si="287"/>
        <v/>
      </c>
      <c r="BY165" s="1663" t="str">
        <f t="shared" si="308"/>
        <v/>
      </c>
      <c r="BZ165" s="1664" t="str">
        <f t="shared" si="289"/>
        <v/>
      </c>
      <c r="CA165" s="1655" t="str">
        <f t="shared" si="294"/>
        <v/>
      </c>
    </row>
    <row r="166" spans="47:79" ht="24.95" hidden="1" customHeight="1">
      <c r="AU166" s="1657" t="str">
        <f t="shared" si="309"/>
        <v/>
      </c>
      <c r="AV166" s="1657" t="str">
        <f t="shared" si="295"/>
        <v/>
      </c>
      <c r="AW166" s="1657"/>
      <c r="AX166" s="1665"/>
      <c r="AY166" s="1645" t="str">
        <f t="shared" si="296"/>
        <v/>
      </c>
      <c r="AZ166" s="1666"/>
      <c r="BA166" s="1618" t="str">
        <f t="shared" si="297"/>
        <v/>
      </c>
      <c r="BB166" s="1618" t="str">
        <f t="shared" si="298"/>
        <v/>
      </c>
      <c r="BC166" s="1648" t="str">
        <f t="shared" si="299"/>
        <v/>
      </c>
      <c r="BD166" s="1667" t="str">
        <f t="shared" si="276"/>
        <v/>
      </c>
      <c r="BE166" s="1668" t="str">
        <f t="shared" si="300"/>
        <v/>
      </c>
      <c r="BF166" s="1669" t="str">
        <f t="shared" si="291"/>
        <v/>
      </c>
      <c r="BG166" s="1668" t="str">
        <f t="shared" si="301"/>
        <v/>
      </c>
      <c r="BH166" s="1669" t="str">
        <f t="shared" si="279"/>
        <v/>
      </c>
      <c r="BI166" s="1653" t="str">
        <f t="shared" si="292"/>
        <v/>
      </c>
      <c r="BM166" s="1658" t="str">
        <f t="shared" si="310"/>
        <v/>
      </c>
      <c r="BN166" s="1659" t="str">
        <f t="shared" si="302"/>
        <v/>
      </c>
      <c r="BO166" s="1659"/>
      <c r="BP166" s="1659"/>
      <c r="BQ166" s="1645" t="str">
        <f t="shared" si="303"/>
        <v/>
      </c>
      <c r="BR166" s="1620"/>
      <c r="BS166" s="1658" t="str">
        <f t="shared" si="304"/>
        <v/>
      </c>
      <c r="BT166" s="1658" t="str">
        <f t="shared" si="305"/>
        <v/>
      </c>
      <c r="BU166" s="1648" t="str">
        <f t="shared" si="306"/>
        <v/>
      </c>
      <c r="BV166" s="1660" t="str">
        <f t="shared" si="285"/>
        <v/>
      </c>
      <c r="BW166" s="1662" t="str">
        <f t="shared" si="307"/>
        <v/>
      </c>
      <c r="BX166" s="1663" t="str">
        <f t="shared" si="287"/>
        <v/>
      </c>
      <c r="BY166" s="1663" t="str">
        <f t="shared" si="308"/>
        <v/>
      </c>
      <c r="BZ166" s="1664" t="str">
        <f t="shared" si="289"/>
        <v/>
      </c>
      <c r="CA166" s="1655" t="str">
        <f t="shared" si="294"/>
        <v/>
      </c>
    </row>
    <row r="167" spans="47:79" ht="24.95" hidden="1" customHeight="1">
      <c r="AU167" s="1657" t="str">
        <f t="shared" si="309"/>
        <v/>
      </c>
      <c r="AV167" s="1657" t="str">
        <f t="shared" si="295"/>
        <v/>
      </c>
      <c r="AW167" s="1657"/>
      <c r="AX167" s="1665"/>
      <c r="AY167" s="1645" t="str">
        <f t="shared" si="296"/>
        <v/>
      </c>
      <c r="AZ167" s="1666"/>
      <c r="BA167" s="1618" t="str">
        <f t="shared" si="297"/>
        <v/>
      </c>
      <c r="BB167" s="1618" t="str">
        <f t="shared" si="298"/>
        <v/>
      </c>
      <c r="BC167" s="1648" t="str">
        <f t="shared" si="299"/>
        <v/>
      </c>
      <c r="BD167" s="1667" t="str">
        <f t="shared" si="276"/>
        <v/>
      </c>
      <c r="BE167" s="1668" t="str">
        <f t="shared" si="300"/>
        <v/>
      </c>
      <c r="BF167" s="1669" t="str">
        <f t="shared" si="291"/>
        <v/>
      </c>
      <c r="BG167" s="1668" t="str">
        <f t="shared" si="301"/>
        <v/>
      </c>
      <c r="BH167" s="1669" t="str">
        <f t="shared" si="279"/>
        <v/>
      </c>
      <c r="BI167" s="1653" t="str">
        <f t="shared" si="292"/>
        <v/>
      </c>
      <c r="BM167" s="1658" t="str">
        <f t="shared" si="310"/>
        <v/>
      </c>
      <c r="BN167" s="1659" t="str">
        <f t="shared" si="302"/>
        <v/>
      </c>
      <c r="BO167" s="1659"/>
      <c r="BP167" s="1659"/>
      <c r="BQ167" s="1645" t="str">
        <f t="shared" si="303"/>
        <v/>
      </c>
      <c r="BR167" s="1620"/>
      <c r="BS167" s="1658" t="str">
        <f t="shared" si="304"/>
        <v/>
      </c>
      <c r="BT167" s="1658" t="str">
        <f t="shared" si="305"/>
        <v/>
      </c>
      <c r="BU167" s="1648" t="str">
        <f t="shared" si="306"/>
        <v/>
      </c>
      <c r="BV167" s="1660" t="str">
        <f t="shared" si="285"/>
        <v/>
      </c>
      <c r="BW167" s="1662" t="str">
        <f t="shared" si="307"/>
        <v/>
      </c>
      <c r="BX167" s="1663" t="str">
        <f t="shared" si="287"/>
        <v/>
      </c>
      <c r="BY167" s="1663" t="str">
        <f t="shared" si="308"/>
        <v/>
      </c>
      <c r="BZ167" s="1664" t="str">
        <f t="shared" si="289"/>
        <v/>
      </c>
      <c r="CA167" s="1655" t="str">
        <f t="shared" si="294"/>
        <v/>
      </c>
    </row>
    <row r="168" spans="47:79" ht="24.95" hidden="1" customHeight="1">
      <c r="AU168" s="1657" t="str">
        <f t="shared" si="309"/>
        <v/>
      </c>
      <c r="AV168" s="1657" t="str">
        <f t="shared" si="295"/>
        <v/>
      </c>
      <c r="AW168" s="1657"/>
      <c r="AX168" s="1665"/>
      <c r="AY168" s="1645" t="str">
        <f t="shared" si="296"/>
        <v/>
      </c>
      <c r="AZ168" s="1666"/>
      <c r="BA168" s="1618" t="str">
        <f t="shared" si="297"/>
        <v/>
      </c>
      <c r="BB168" s="1618" t="str">
        <f t="shared" si="298"/>
        <v/>
      </c>
      <c r="BC168" s="1648" t="str">
        <f t="shared" si="299"/>
        <v/>
      </c>
      <c r="BD168" s="1667" t="str">
        <f t="shared" si="276"/>
        <v/>
      </c>
      <c r="BE168" s="1668" t="str">
        <f t="shared" si="300"/>
        <v/>
      </c>
      <c r="BF168" s="1669" t="str">
        <f t="shared" si="291"/>
        <v/>
      </c>
      <c r="BG168" s="1668" t="str">
        <f t="shared" si="301"/>
        <v/>
      </c>
      <c r="BH168" s="1669" t="str">
        <f t="shared" si="279"/>
        <v/>
      </c>
      <c r="BI168" s="1653" t="str">
        <f t="shared" si="292"/>
        <v/>
      </c>
      <c r="BM168" s="1658" t="str">
        <f t="shared" si="310"/>
        <v/>
      </c>
      <c r="BN168" s="1659" t="str">
        <f t="shared" si="302"/>
        <v/>
      </c>
      <c r="BO168" s="1659"/>
      <c r="BP168" s="1659"/>
      <c r="BQ168" s="1645" t="str">
        <f t="shared" si="303"/>
        <v/>
      </c>
      <c r="BR168" s="1620"/>
      <c r="BS168" s="1658" t="str">
        <f t="shared" si="304"/>
        <v/>
      </c>
      <c r="BT168" s="1658" t="str">
        <f t="shared" si="305"/>
        <v/>
      </c>
      <c r="BU168" s="1648" t="str">
        <f t="shared" si="306"/>
        <v/>
      </c>
      <c r="BV168" s="1660" t="str">
        <f t="shared" si="285"/>
        <v/>
      </c>
      <c r="BW168" s="1662" t="str">
        <f t="shared" si="307"/>
        <v/>
      </c>
      <c r="BX168" s="1663" t="str">
        <f t="shared" si="287"/>
        <v/>
      </c>
      <c r="BY168" s="1663" t="str">
        <f t="shared" si="308"/>
        <v/>
      </c>
      <c r="BZ168" s="1664" t="str">
        <f t="shared" si="289"/>
        <v/>
      </c>
      <c r="CA168" s="1655" t="str">
        <f t="shared" si="294"/>
        <v/>
      </c>
    </row>
    <row r="169" spans="47:79" ht="24.95" hidden="1" customHeight="1">
      <c r="AU169" s="1657" t="str">
        <f t="shared" si="309"/>
        <v/>
      </c>
      <c r="AV169" s="1657" t="str">
        <f t="shared" si="295"/>
        <v/>
      </c>
      <c r="AW169" s="1657"/>
      <c r="AX169" s="1665"/>
      <c r="AY169" s="1645" t="str">
        <f t="shared" si="296"/>
        <v/>
      </c>
      <c r="AZ169" s="1666"/>
      <c r="BA169" s="1618" t="str">
        <f t="shared" si="297"/>
        <v/>
      </c>
      <c r="BB169" s="1618" t="str">
        <f t="shared" si="298"/>
        <v/>
      </c>
      <c r="BC169" s="1648" t="str">
        <f t="shared" si="299"/>
        <v/>
      </c>
      <c r="BD169" s="1667" t="str">
        <f t="shared" si="276"/>
        <v/>
      </c>
      <c r="BE169" s="1668" t="str">
        <f t="shared" si="300"/>
        <v/>
      </c>
      <c r="BF169" s="1669" t="str">
        <f t="shared" si="291"/>
        <v/>
      </c>
      <c r="BG169" s="1668" t="str">
        <f t="shared" si="301"/>
        <v/>
      </c>
      <c r="BH169" s="1669" t="str">
        <f t="shared" si="279"/>
        <v/>
      </c>
      <c r="BI169" s="1653" t="str">
        <f t="shared" si="292"/>
        <v/>
      </c>
      <c r="BM169" s="1658" t="str">
        <f t="shared" si="310"/>
        <v/>
      </c>
      <c r="BN169" s="1659" t="str">
        <f t="shared" si="302"/>
        <v/>
      </c>
      <c r="BO169" s="1659"/>
      <c r="BP169" s="1659"/>
      <c r="BQ169" s="1645" t="str">
        <f t="shared" si="303"/>
        <v/>
      </c>
      <c r="BR169" s="1620"/>
      <c r="BS169" s="1658" t="str">
        <f t="shared" si="304"/>
        <v/>
      </c>
      <c r="BT169" s="1658" t="str">
        <f t="shared" si="305"/>
        <v/>
      </c>
      <c r="BU169" s="1648" t="str">
        <f t="shared" si="306"/>
        <v/>
      </c>
      <c r="BV169" s="1660" t="str">
        <f t="shared" si="285"/>
        <v/>
      </c>
      <c r="BW169" s="1662" t="str">
        <f t="shared" si="307"/>
        <v/>
      </c>
      <c r="BX169" s="1663" t="str">
        <f t="shared" si="287"/>
        <v/>
      </c>
      <c r="BY169" s="1663" t="str">
        <f t="shared" si="308"/>
        <v/>
      </c>
      <c r="BZ169" s="1664" t="str">
        <f t="shared" si="289"/>
        <v/>
      </c>
      <c r="CA169" s="1655" t="str">
        <f t="shared" si="294"/>
        <v/>
      </c>
    </row>
    <row r="170" spans="47:79" ht="24.95" hidden="1" customHeight="1">
      <c r="AU170" s="1657" t="str">
        <f t="shared" si="309"/>
        <v/>
      </c>
      <c r="AV170" s="1657" t="str">
        <f t="shared" si="295"/>
        <v/>
      </c>
      <c r="AW170" s="1657"/>
      <c r="AX170" s="1665"/>
      <c r="AY170" s="1645" t="str">
        <f t="shared" si="296"/>
        <v/>
      </c>
      <c r="AZ170" s="1666"/>
      <c r="BA170" s="1618" t="str">
        <f t="shared" si="297"/>
        <v/>
      </c>
      <c r="BB170" s="1618" t="str">
        <f t="shared" si="298"/>
        <v/>
      </c>
      <c r="BC170" s="1648" t="str">
        <f t="shared" si="299"/>
        <v/>
      </c>
      <c r="BD170" s="1667" t="str">
        <f t="shared" si="276"/>
        <v/>
      </c>
      <c r="BE170" s="1668" t="str">
        <f t="shared" si="300"/>
        <v/>
      </c>
      <c r="BF170" s="1669" t="str">
        <f t="shared" si="291"/>
        <v/>
      </c>
      <c r="BG170" s="1668" t="str">
        <f t="shared" si="301"/>
        <v/>
      </c>
      <c r="BH170" s="1669" t="str">
        <f t="shared" si="279"/>
        <v/>
      </c>
      <c r="BI170" s="1653" t="str">
        <f t="shared" si="292"/>
        <v/>
      </c>
      <c r="BM170" s="1658" t="str">
        <f t="shared" si="310"/>
        <v/>
      </c>
      <c r="BN170" s="1659" t="str">
        <f t="shared" si="302"/>
        <v/>
      </c>
      <c r="BO170" s="1659"/>
      <c r="BP170" s="1659"/>
      <c r="BQ170" s="1645" t="str">
        <f t="shared" si="303"/>
        <v/>
      </c>
      <c r="BR170" s="1620"/>
      <c r="BS170" s="1658" t="str">
        <f t="shared" si="304"/>
        <v/>
      </c>
      <c r="BT170" s="1658" t="str">
        <f t="shared" si="305"/>
        <v/>
      </c>
      <c r="BU170" s="1648" t="str">
        <f t="shared" si="306"/>
        <v/>
      </c>
      <c r="BV170" s="1660" t="str">
        <f t="shared" si="285"/>
        <v/>
      </c>
      <c r="BW170" s="1662" t="str">
        <f t="shared" si="307"/>
        <v/>
      </c>
      <c r="BX170" s="1663" t="str">
        <f t="shared" si="287"/>
        <v/>
      </c>
      <c r="BY170" s="1663" t="str">
        <f t="shared" si="308"/>
        <v/>
      </c>
      <c r="BZ170" s="1664" t="str">
        <f t="shared" si="289"/>
        <v/>
      </c>
      <c r="CA170" s="1655" t="str">
        <f t="shared" si="294"/>
        <v/>
      </c>
    </row>
    <row r="171" spans="47:79" ht="24.95" hidden="1" customHeight="1">
      <c r="AU171" s="1657" t="str">
        <f t="shared" si="309"/>
        <v/>
      </c>
      <c r="AV171" s="1657" t="str">
        <f t="shared" si="295"/>
        <v/>
      </c>
      <c r="AW171" s="1657"/>
      <c r="AX171" s="1665"/>
      <c r="AY171" s="1645" t="str">
        <f t="shared" si="296"/>
        <v/>
      </c>
      <c r="AZ171" s="1666"/>
      <c r="BA171" s="1618" t="str">
        <f t="shared" si="297"/>
        <v/>
      </c>
      <c r="BB171" s="1618" t="str">
        <f t="shared" si="298"/>
        <v/>
      </c>
      <c r="BC171" s="1648" t="str">
        <f t="shared" si="299"/>
        <v/>
      </c>
      <c r="BD171" s="1667" t="str">
        <f t="shared" si="276"/>
        <v/>
      </c>
      <c r="BE171" s="1668" t="str">
        <f t="shared" si="300"/>
        <v/>
      </c>
      <c r="BF171" s="1669" t="str">
        <f t="shared" si="291"/>
        <v/>
      </c>
      <c r="BG171" s="1668" t="str">
        <f t="shared" si="301"/>
        <v/>
      </c>
      <c r="BH171" s="1669" t="str">
        <f t="shared" si="279"/>
        <v/>
      </c>
      <c r="BI171" s="1653" t="str">
        <f t="shared" si="292"/>
        <v/>
      </c>
      <c r="BM171" s="1658" t="str">
        <f t="shared" si="310"/>
        <v/>
      </c>
      <c r="BN171" s="1659" t="str">
        <f t="shared" si="302"/>
        <v/>
      </c>
      <c r="BO171" s="1659"/>
      <c r="BP171" s="1659"/>
      <c r="BQ171" s="1645" t="str">
        <f t="shared" si="303"/>
        <v/>
      </c>
      <c r="BR171" s="1620"/>
      <c r="BS171" s="1658" t="str">
        <f t="shared" si="304"/>
        <v/>
      </c>
      <c r="BT171" s="1658" t="str">
        <f t="shared" si="305"/>
        <v/>
      </c>
      <c r="BU171" s="1648" t="str">
        <f t="shared" si="306"/>
        <v/>
      </c>
      <c r="BV171" s="1660" t="str">
        <f t="shared" si="285"/>
        <v/>
      </c>
      <c r="BW171" s="1662" t="str">
        <f t="shared" si="307"/>
        <v/>
      </c>
      <c r="BX171" s="1663" t="str">
        <f t="shared" si="287"/>
        <v/>
      </c>
      <c r="BY171" s="1663" t="str">
        <f t="shared" si="308"/>
        <v/>
      </c>
      <c r="BZ171" s="1664" t="str">
        <f t="shared" si="289"/>
        <v/>
      </c>
      <c r="CA171" s="1655" t="str">
        <f t="shared" si="294"/>
        <v/>
      </c>
    </row>
    <row r="172" spans="47:79" ht="24.95" hidden="1" customHeight="1">
      <c r="AU172" s="1657" t="str">
        <f t="shared" si="309"/>
        <v/>
      </c>
      <c r="AV172" s="1657" t="str">
        <f t="shared" si="295"/>
        <v/>
      </c>
      <c r="AW172" s="1657"/>
      <c r="AX172" s="1665"/>
      <c r="AY172" s="1645" t="str">
        <f t="shared" si="296"/>
        <v/>
      </c>
      <c r="AZ172" s="1666"/>
      <c r="BA172" s="1618" t="str">
        <f t="shared" si="297"/>
        <v/>
      </c>
      <c r="BB172" s="1618" t="str">
        <f t="shared" si="298"/>
        <v/>
      </c>
      <c r="BC172" s="1648" t="str">
        <f t="shared" si="299"/>
        <v/>
      </c>
      <c r="BD172" s="1667" t="str">
        <f t="shared" si="276"/>
        <v/>
      </c>
      <c r="BE172" s="1668" t="str">
        <f t="shared" si="300"/>
        <v/>
      </c>
      <c r="BF172" s="1669" t="str">
        <f t="shared" si="291"/>
        <v/>
      </c>
      <c r="BG172" s="1668" t="str">
        <f t="shared" si="301"/>
        <v/>
      </c>
      <c r="BH172" s="1669" t="str">
        <f t="shared" si="279"/>
        <v/>
      </c>
      <c r="BI172" s="1653" t="str">
        <f t="shared" si="292"/>
        <v/>
      </c>
      <c r="BM172" s="1658" t="str">
        <f t="shared" si="310"/>
        <v/>
      </c>
      <c r="BN172" s="1659" t="str">
        <f t="shared" si="302"/>
        <v/>
      </c>
      <c r="BO172" s="1659"/>
      <c r="BP172" s="1659"/>
      <c r="BQ172" s="1645" t="str">
        <f t="shared" si="303"/>
        <v/>
      </c>
      <c r="BR172" s="1620"/>
      <c r="BS172" s="1658" t="str">
        <f t="shared" si="304"/>
        <v/>
      </c>
      <c r="BT172" s="1658" t="str">
        <f t="shared" si="305"/>
        <v/>
      </c>
      <c r="BU172" s="1648" t="str">
        <f t="shared" si="306"/>
        <v/>
      </c>
      <c r="BV172" s="1660" t="str">
        <f t="shared" si="285"/>
        <v/>
      </c>
      <c r="BW172" s="1662" t="str">
        <f t="shared" si="307"/>
        <v/>
      </c>
      <c r="BX172" s="1663" t="str">
        <f t="shared" si="287"/>
        <v/>
      </c>
      <c r="BY172" s="1663" t="str">
        <f t="shared" si="308"/>
        <v/>
      </c>
      <c r="BZ172" s="1664" t="str">
        <f t="shared" si="289"/>
        <v/>
      </c>
      <c r="CA172" s="1655" t="str">
        <f t="shared" si="294"/>
        <v/>
      </c>
    </row>
    <row r="173" spans="47:79" ht="24.95" hidden="1" customHeight="1">
      <c r="AU173" s="1657" t="str">
        <f t="shared" si="309"/>
        <v/>
      </c>
      <c r="AV173" s="1657" t="str">
        <f t="shared" si="295"/>
        <v/>
      </c>
      <c r="AW173" s="1657"/>
      <c r="AX173" s="1665"/>
      <c r="AY173" s="1645" t="str">
        <f t="shared" si="296"/>
        <v/>
      </c>
      <c r="AZ173" s="1666"/>
      <c r="BA173" s="1618" t="str">
        <f t="shared" si="297"/>
        <v/>
      </c>
      <c r="BB173" s="1618" t="str">
        <f t="shared" si="298"/>
        <v/>
      </c>
      <c r="BC173" s="1648" t="str">
        <f t="shared" si="299"/>
        <v/>
      </c>
      <c r="BD173" s="1667" t="str">
        <f t="shared" si="276"/>
        <v/>
      </c>
      <c r="BE173" s="1668" t="str">
        <f t="shared" si="300"/>
        <v/>
      </c>
      <c r="BF173" s="1669" t="str">
        <f t="shared" si="291"/>
        <v/>
      </c>
      <c r="BG173" s="1668" t="str">
        <f t="shared" si="301"/>
        <v/>
      </c>
      <c r="BH173" s="1669" t="str">
        <f t="shared" si="279"/>
        <v/>
      </c>
      <c r="BI173" s="1653" t="str">
        <f t="shared" si="292"/>
        <v/>
      </c>
      <c r="BM173" s="1658" t="str">
        <f t="shared" si="310"/>
        <v/>
      </c>
      <c r="BN173" s="1659" t="str">
        <f t="shared" si="302"/>
        <v/>
      </c>
      <c r="BO173" s="1659"/>
      <c r="BP173" s="1659"/>
      <c r="BQ173" s="1645" t="str">
        <f t="shared" si="303"/>
        <v/>
      </c>
      <c r="BR173" s="1620"/>
      <c r="BS173" s="1658" t="str">
        <f t="shared" si="304"/>
        <v/>
      </c>
      <c r="BT173" s="1658" t="str">
        <f t="shared" si="305"/>
        <v/>
      </c>
      <c r="BU173" s="1648" t="str">
        <f t="shared" si="306"/>
        <v/>
      </c>
      <c r="BV173" s="1660" t="str">
        <f t="shared" si="285"/>
        <v/>
      </c>
      <c r="BW173" s="1662" t="str">
        <f t="shared" si="307"/>
        <v/>
      </c>
      <c r="BX173" s="1663" t="str">
        <f t="shared" si="287"/>
        <v/>
      </c>
      <c r="BY173" s="1663" t="str">
        <f t="shared" si="308"/>
        <v/>
      </c>
      <c r="BZ173" s="1664" t="str">
        <f t="shared" si="289"/>
        <v/>
      </c>
      <c r="CA173" s="1655" t="str">
        <f t="shared" si="294"/>
        <v/>
      </c>
    </row>
    <row r="174" spans="47:79" ht="24.95" hidden="1" customHeight="1">
      <c r="AU174" s="1657" t="str">
        <f t="shared" si="309"/>
        <v/>
      </c>
      <c r="AV174" s="1657" t="str">
        <f t="shared" si="295"/>
        <v/>
      </c>
      <c r="AW174" s="1657"/>
      <c r="AX174" s="1665"/>
      <c r="AY174" s="1645" t="str">
        <f t="shared" si="296"/>
        <v/>
      </c>
      <c r="AZ174" s="1666"/>
      <c r="BA174" s="1618" t="str">
        <f t="shared" si="297"/>
        <v/>
      </c>
      <c r="BB174" s="1618" t="str">
        <f t="shared" si="298"/>
        <v/>
      </c>
      <c r="BC174" s="1648" t="str">
        <f t="shared" si="299"/>
        <v/>
      </c>
      <c r="BD174" s="1667" t="str">
        <f t="shared" si="276"/>
        <v/>
      </c>
      <c r="BE174" s="1668" t="str">
        <f t="shared" si="300"/>
        <v/>
      </c>
      <c r="BF174" s="1669" t="str">
        <f t="shared" si="291"/>
        <v/>
      </c>
      <c r="BG174" s="1668" t="str">
        <f t="shared" si="301"/>
        <v/>
      </c>
      <c r="BH174" s="1669" t="str">
        <f t="shared" si="279"/>
        <v/>
      </c>
      <c r="BI174" s="1653" t="str">
        <f t="shared" si="292"/>
        <v/>
      </c>
      <c r="BM174" s="1658" t="str">
        <f t="shared" si="310"/>
        <v/>
      </c>
      <c r="BN174" s="1659" t="str">
        <f t="shared" si="302"/>
        <v/>
      </c>
      <c r="BO174" s="1659"/>
      <c r="BP174" s="1659"/>
      <c r="BQ174" s="1645" t="str">
        <f t="shared" si="303"/>
        <v/>
      </c>
      <c r="BR174" s="1620"/>
      <c r="BS174" s="1658" t="str">
        <f t="shared" si="304"/>
        <v/>
      </c>
      <c r="BT174" s="1658" t="str">
        <f t="shared" si="305"/>
        <v/>
      </c>
      <c r="BU174" s="1648" t="str">
        <f t="shared" si="306"/>
        <v/>
      </c>
      <c r="BV174" s="1660" t="str">
        <f t="shared" si="285"/>
        <v/>
      </c>
      <c r="BW174" s="1662" t="str">
        <f t="shared" si="307"/>
        <v/>
      </c>
      <c r="BX174" s="1663" t="str">
        <f t="shared" si="287"/>
        <v/>
      </c>
      <c r="BY174" s="1663" t="str">
        <f t="shared" si="308"/>
        <v/>
      </c>
      <c r="BZ174" s="1664" t="str">
        <f t="shared" si="289"/>
        <v/>
      </c>
      <c r="CA174" s="1655" t="str">
        <f t="shared" si="294"/>
        <v/>
      </c>
    </row>
    <row r="175" spans="47:79" ht="24.95" hidden="1" customHeight="1">
      <c r="AU175" s="1657" t="str">
        <f t="shared" si="309"/>
        <v/>
      </c>
      <c r="AV175" s="1657" t="str">
        <f t="shared" si="295"/>
        <v/>
      </c>
      <c r="AW175" s="1657"/>
      <c r="AX175" s="1665"/>
      <c r="AY175" s="1645" t="str">
        <f t="shared" si="296"/>
        <v/>
      </c>
      <c r="AZ175" s="1666"/>
      <c r="BA175" s="1618" t="str">
        <f t="shared" si="297"/>
        <v/>
      </c>
      <c r="BB175" s="1618" t="str">
        <f t="shared" si="298"/>
        <v/>
      </c>
      <c r="BC175" s="1648" t="str">
        <f t="shared" si="299"/>
        <v/>
      </c>
      <c r="BD175" s="1667" t="str">
        <f t="shared" si="276"/>
        <v/>
      </c>
      <c r="BE175" s="1668" t="str">
        <f t="shared" si="300"/>
        <v/>
      </c>
      <c r="BF175" s="1669" t="str">
        <f t="shared" si="291"/>
        <v/>
      </c>
      <c r="BG175" s="1668" t="str">
        <f t="shared" si="301"/>
        <v/>
      </c>
      <c r="BH175" s="1669" t="str">
        <f t="shared" si="279"/>
        <v/>
      </c>
      <c r="BI175" s="1653" t="str">
        <f t="shared" si="292"/>
        <v/>
      </c>
      <c r="BM175" s="1658" t="str">
        <f t="shared" si="310"/>
        <v/>
      </c>
      <c r="BN175" s="1659" t="str">
        <f t="shared" si="302"/>
        <v/>
      </c>
      <c r="BO175" s="1659"/>
      <c r="BP175" s="1659"/>
      <c r="BQ175" s="1645" t="str">
        <f t="shared" si="303"/>
        <v/>
      </c>
      <c r="BR175" s="1620"/>
      <c r="BS175" s="1658" t="str">
        <f t="shared" si="304"/>
        <v/>
      </c>
      <c r="BT175" s="1658" t="str">
        <f t="shared" si="305"/>
        <v/>
      </c>
      <c r="BU175" s="1648" t="str">
        <f t="shared" si="306"/>
        <v/>
      </c>
      <c r="BV175" s="1660" t="str">
        <f t="shared" si="285"/>
        <v/>
      </c>
      <c r="BW175" s="1662" t="str">
        <f t="shared" si="307"/>
        <v/>
      </c>
      <c r="BX175" s="1663" t="str">
        <f t="shared" si="287"/>
        <v/>
      </c>
      <c r="BY175" s="1663" t="str">
        <f t="shared" si="308"/>
        <v/>
      </c>
      <c r="BZ175" s="1664" t="str">
        <f t="shared" si="289"/>
        <v/>
      </c>
      <c r="CA175" s="1655" t="str">
        <f t="shared" si="294"/>
        <v/>
      </c>
    </row>
    <row r="176" spans="47:79" ht="24.95" hidden="1" customHeight="1">
      <c r="AU176" s="1657" t="str">
        <f t="shared" si="309"/>
        <v/>
      </c>
      <c r="AV176" s="1657" t="str">
        <f t="shared" si="295"/>
        <v/>
      </c>
      <c r="AW176" s="1657"/>
      <c r="AX176" s="1665"/>
      <c r="AY176" s="1645" t="str">
        <f t="shared" si="296"/>
        <v/>
      </c>
      <c r="AZ176" s="1666"/>
      <c r="BA176" s="1618" t="str">
        <f t="shared" si="297"/>
        <v/>
      </c>
      <c r="BB176" s="1618" t="str">
        <f t="shared" si="298"/>
        <v/>
      </c>
      <c r="BC176" s="1648" t="str">
        <f t="shared" si="299"/>
        <v/>
      </c>
      <c r="BD176" s="1667" t="str">
        <f t="shared" si="276"/>
        <v/>
      </c>
      <c r="BE176" s="1668" t="str">
        <f t="shared" si="300"/>
        <v/>
      </c>
      <c r="BF176" s="1669" t="str">
        <f t="shared" si="291"/>
        <v/>
      </c>
      <c r="BG176" s="1668" t="str">
        <f t="shared" si="301"/>
        <v/>
      </c>
      <c r="BH176" s="1669" t="str">
        <f t="shared" si="279"/>
        <v/>
      </c>
      <c r="BI176" s="1653" t="str">
        <f t="shared" si="292"/>
        <v/>
      </c>
      <c r="BM176" s="1658" t="str">
        <f t="shared" si="310"/>
        <v/>
      </c>
      <c r="BN176" s="1659" t="str">
        <f t="shared" si="302"/>
        <v/>
      </c>
      <c r="BO176" s="1659"/>
      <c r="BP176" s="1659"/>
      <c r="BQ176" s="1645" t="str">
        <f t="shared" si="303"/>
        <v/>
      </c>
      <c r="BR176" s="1620"/>
      <c r="BS176" s="1658" t="str">
        <f t="shared" si="304"/>
        <v/>
      </c>
      <c r="BT176" s="1658" t="str">
        <f t="shared" si="305"/>
        <v/>
      </c>
      <c r="BU176" s="1648" t="str">
        <f t="shared" si="306"/>
        <v/>
      </c>
      <c r="BV176" s="1660" t="str">
        <f t="shared" si="285"/>
        <v/>
      </c>
      <c r="BW176" s="1662" t="str">
        <f t="shared" si="307"/>
        <v/>
      </c>
      <c r="BX176" s="1663" t="str">
        <f t="shared" si="287"/>
        <v/>
      </c>
      <c r="BY176" s="1663" t="str">
        <f t="shared" si="308"/>
        <v/>
      </c>
      <c r="BZ176" s="1664" t="str">
        <f t="shared" si="289"/>
        <v/>
      </c>
      <c r="CA176" s="1655" t="str">
        <f t="shared" si="294"/>
        <v/>
      </c>
    </row>
    <row r="177" spans="47:79" ht="24.95" hidden="1" customHeight="1">
      <c r="AU177" s="1657" t="str">
        <f t="shared" si="309"/>
        <v/>
      </c>
      <c r="AV177" s="1657" t="str">
        <f t="shared" si="295"/>
        <v/>
      </c>
      <c r="AW177" s="1657"/>
      <c r="AX177" s="1665"/>
      <c r="AY177" s="1645" t="str">
        <f t="shared" si="296"/>
        <v/>
      </c>
      <c r="AZ177" s="1666"/>
      <c r="BA177" s="1618" t="str">
        <f t="shared" si="297"/>
        <v/>
      </c>
      <c r="BB177" s="1618" t="str">
        <f t="shared" si="298"/>
        <v/>
      </c>
      <c r="BC177" s="1648" t="str">
        <f t="shared" si="299"/>
        <v/>
      </c>
      <c r="BD177" s="1667" t="str">
        <f t="shared" si="276"/>
        <v/>
      </c>
      <c r="BE177" s="1668" t="str">
        <f t="shared" si="300"/>
        <v/>
      </c>
      <c r="BF177" s="1669" t="str">
        <f t="shared" si="291"/>
        <v/>
      </c>
      <c r="BG177" s="1668" t="str">
        <f t="shared" si="301"/>
        <v/>
      </c>
      <c r="BH177" s="1669" t="str">
        <f t="shared" si="279"/>
        <v/>
      </c>
      <c r="BI177" s="1653" t="str">
        <f t="shared" si="292"/>
        <v/>
      </c>
      <c r="BM177" s="1658" t="str">
        <f t="shared" si="310"/>
        <v/>
      </c>
      <c r="BN177" s="1659" t="str">
        <f t="shared" si="302"/>
        <v/>
      </c>
      <c r="BO177" s="1659"/>
      <c r="BP177" s="1659"/>
      <c r="BQ177" s="1645" t="str">
        <f t="shared" si="303"/>
        <v/>
      </c>
      <c r="BR177" s="1620"/>
      <c r="BS177" s="1658" t="str">
        <f t="shared" si="304"/>
        <v/>
      </c>
      <c r="BT177" s="1658" t="str">
        <f t="shared" si="305"/>
        <v/>
      </c>
      <c r="BU177" s="1648" t="str">
        <f t="shared" si="306"/>
        <v/>
      </c>
      <c r="BV177" s="1660" t="str">
        <f t="shared" si="285"/>
        <v/>
      </c>
      <c r="BW177" s="1662" t="str">
        <f t="shared" si="307"/>
        <v/>
      </c>
      <c r="BX177" s="1663" t="str">
        <f t="shared" si="287"/>
        <v/>
      </c>
      <c r="BY177" s="1663" t="str">
        <f t="shared" si="308"/>
        <v/>
      </c>
      <c r="BZ177" s="1664" t="str">
        <f t="shared" si="289"/>
        <v/>
      </c>
      <c r="CA177" s="1655" t="str">
        <f t="shared" si="294"/>
        <v/>
      </c>
    </row>
    <row r="178" spans="47:79" ht="24.95" hidden="1" customHeight="1">
      <c r="AU178" s="1657" t="str">
        <f t="shared" si="309"/>
        <v/>
      </c>
      <c r="AV178" s="1657" t="str">
        <f t="shared" si="295"/>
        <v/>
      </c>
      <c r="AW178" s="1657"/>
      <c r="AX178" s="1665"/>
      <c r="AY178" s="1645" t="str">
        <f t="shared" si="296"/>
        <v/>
      </c>
      <c r="AZ178" s="1666"/>
      <c r="BA178" s="1618" t="str">
        <f t="shared" si="297"/>
        <v/>
      </c>
      <c r="BB178" s="1618" t="str">
        <f t="shared" si="298"/>
        <v/>
      </c>
      <c r="BC178" s="1648" t="str">
        <f t="shared" si="299"/>
        <v/>
      </c>
      <c r="BD178" s="1667" t="str">
        <f t="shared" si="276"/>
        <v/>
      </c>
      <c r="BE178" s="1668" t="str">
        <f t="shared" si="300"/>
        <v/>
      </c>
      <c r="BF178" s="1669" t="str">
        <f t="shared" si="291"/>
        <v/>
      </c>
      <c r="BG178" s="1668" t="str">
        <f t="shared" si="301"/>
        <v/>
      </c>
      <c r="BH178" s="1669" t="str">
        <f t="shared" si="279"/>
        <v/>
      </c>
      <c r="BI178" s="1653" t="str">
        <f t="shared" si="292"/>
        <v/>
      </c>
      <c r="BM178" s="1658" t="str">
        <f t="shared" si="310"/>
        <v/>
      </c>
      <c r="BN178" s="1659" t="str">
        <f t="shared" si="302"/>
        <v/>
      </c>
      <c r="BO178" s="1659"/>
      <c r="BP178" s="1659"/>
      <c r="BQ178" s="1645" t="str">
        <f t="shared" si="303"/>
        <v/>
      </c>
      <c r="BR178" s="1620"/>
      <c r="BS178" s="1658" t="str">
        <f t="shared" si="304"/>
        <v/>
      </c>
      <c r="BT178" s="1658" t="str">
        <f t="shared" si="305"/>
        <v/>
      </c>
      <c r="BU178" s="1648" t="str">
        <f t="shared" si="306"/>
        <v/>
      </c>
      <c r="BV178" s="1660" t="str">
        <f t="shared" si="285"/>
        <v/>
      </c>
      <c r="BW178" s="1662" t="str">
        <f t="shared" si="307"/>
        <v/>
      </c>
      <c r="BX178" s="1663" t="str">
        <f t="shared" si="287"/>
        <v/>
      </c>
      <c r="BY178" s="1663" t="str">
        <f t="shared" si="308"/>
        <v/>
      </c>
      <c r="BZ178" s="1664" t="str">
        <f t="shared" si="289"/>
        <v/>
      </c>
      <c r="CA178" s="1655" t="str">
        <f t="shared" si="294"/>
        <v/>
      </c>
    </row>
    <row r="179" spans="47:79" ht="24.95" hidden="1" customHeight="1">
      <c r="AU179" s="1657" t="str">
        <f t="shared" si="309"/>
        <v/>
      </c>
      <c r="AV179" s="1657" t="str">
        <f t="shared" si="295"/>
        <v/>
      </c>
      <c r="AW179" s="1657"/>
      <c r="AX179" s="1665"/>
      <c r="AY179" s="1645" t="str">
        <f t="shared" si="296"/>
        <v/>
      </c>
      <c r="AZ179" s="1666"/>
      <c r="BA179" s="1618" t="str">
        <f t="shared" si="297"/>
        <v/>
      </c>
      <c r="BB179" s="1618" t="str">
        <f t="shared" si="298"/>
        <v/>
      </c>
      <c r="BC179" s="1648" t="str">
        <f t="shared" si="299"/>
        <v/>
      </c>
      <c r="BD179" s="1667" t="str">
        <f t="shared" si="276"/>
        <v/>
      </c>
      <c r="BE179" s="1668" t="str">
        <f t="shared" si="300"/>
        <v/>
      </c>
      <c r="BF179" s="1669" t="str">
        <f t="shared" si="291"/>
        <v/>
      </c>
      <c r="BG179" s="1668" t="str">
        <f t="shared" si="301"/>
        <v/>
      </c>
      <c r="BH179" s="1669" t="str">
        <f t="shared" si="279"/>
        <v/>
      </c>
      <c r="BI179" s="1653" t="str">
        <f t="shared" si="292"/>
        <v/>
      </c>
      <c r="BM179" s="1658" t="str">
        <f t="shared" si="310"/>
        <v/>
      </c>
      <c r="BN179" s="1659" t="str">
        <f t="shared" si="302"/>
        <v/>
      </c>
      <c r="BO179" s="1659"/>
      <c r="BP179" s="1659"/>
      <c r="BQ179" s="1645" t="str">
        <f t="shared" si="303"/>
        <v/>
      </c>
      <c r="BR179" s="1620"/>
      <c r="BS179" s="1658" t="str">
        <f t="shared" si="304"/>
        <v/>
      </c>
      <c r="BT179" s="1658" t="str">
        <f t="shared" si="305"/>
        <v/>
      </c>
      <c r="BU179" s="1648" t="str">
        <f t="shared" si="306"/>
        <v/>
      </c>
      <c r="BV179" s="1660" t="str">
        <f t="shared" si="285"/>
        <v/>
      </c>
      <c r="BW179" s="1662" t="str">
        <f t="shared" si="307"/>
        <v/>
      </c>
      <c r="BX179" s="1663" t="str">
        <f t="shared" si="287"/>
        <v/>
      </c>
      <c r="BY179" s="1663" t="str">
        <f t="shared" si="308"/>
        <v/>
      </c>
      <c r="BZ179" s="1664" t="str">
        <f t="shared" si="289"/>
        <v/>
      </c>
      <c r="CA179" s="1655" t="str">
        <f t="shared" si="294"/>
        <v/>
      </c>
    </row>
    <row r="180" spans="47:79" ht="24.95" hidden="1" customHeight="1">
      <c r="AU180" s="1657" t="str">
        <f t="shared" si="309"/>
        <v/>
      </c>
      <c r="AV180" s="1657" t="str">
        <f t="shared" si="295"/>
        <v/>
      </c>
      <c r="AW180" s="1657"/>
      <c r="AX180" s="1665"/>
      <c r="AY180" s="1645" t="str">
        <f t="shared" si="296"/>
        <v/>
      </c>
      <c r="AZ180" s="1666"/>
      <c r="BA180" s="1618" t="str">
        <f t="shared" si="297"/>
        <v/>
      </c>
      <c r="BB180" s="1618" t="str">
        <f t="shared" si="298"/>
        <v/>
      </c>
      <c r="BC180" s="1648" t="str">
        <f t="shared" si="299"/>
        <v/>
      </c>
      <c r="BD180" s="1667" t="str">
        <f t="shared" si="276"/>
        <v/>
      </c>
      <c r="BE180" s="1668" t="str">
        <f t="shared" si="300"/>
        <v/>
      </c>
      <c r="BF180" s="1669" t="str">
        <f t="shared" si="291"/>
        <v/>
      </c>
      <c r="BG180" s="1668" t="str">
        <f t="shared" si="301"/>
        <v/>
      </c>
      <c r="BH180" s="1669" t="str">
        <f t="shared" si="279"/>
        <v/>
      </c>
      <c r="BI180" s="1653" t="str">
        <f t="shared" si="292"/>
        <v/>
      </c>
      <c r="BM180" s="1658" t="str">
        <f t="shared" si="310"/>
        <v/>
      </c>
      <c r="BN180" s="1659" t="str">
        <f t="shared" si="302"/>
        <v/>
      </c>
      <c r="BO180" s="1659"/>
      <c r="BP180" s="1659"/>
      <c r="BQ180" s="1645" t="str">
        <f t="shared" si="303"/>
        <v/>
      </c>
      <c r="BR180" s="1620"/>
      <c r="BS180" s="1658" t="str">
        <f t="shared" si="304"/>
        <v/>
      </c>
      <c r="BT180" s="1658" t="str">
        <f t="shared" si="305"/>
        <v/>
      </c>
      <c r="BU180" s="1648" t="str">
        <f t="shared" si="306"/>
        <v/>
      </c>
      <c r="BV180" s="1660" t="str">
        <f t="shared" si="285"/>
        <v/>
      </c>
      <c r="BW180" s="1662" t="str">
        <f t="shared" si="307"/>
        <v/>
      </c>
      <c r="BX180" s="1663" t="str">
        <f t="shared" si="287"/>
        <v/>
      </c>
      <c r="BY180" s="1663" t="str">
        <f t="shared" si="308"/>
        <v/>
      </c>
      <c r="BZ180" s="1664" t="str">
        <f t="shared" si="289"/>
        <v/>
      </c>
      <c r="CA180" s="1655" t="str">
        <f t="shared" si="294"/>
        <v/>
      </c>
    </row>
    <row r="181" spans="47:79" ht="24.95" hidden="1" customHeight="1">
      <c r="AU181" s="1657" t="str">
        <f t="shared" si="309"/>
        <v/>
      </c>
      <c r="AV181" s="1657" t="str">
        <f t="shared" si="295"/>
        <v/>
      </c>
      <c r="AW181" s="1657"/>
      <c r="AX181" s="1665"/>
      <c r="AY181" s="1645" t="str">
        <f t="shared" si="296"/>
        <v/>
      </c>
      <c r="AZ181" s="1666"/>
      <c r="BA181" s="1618" t="str">
        <f t="shared" si="297"/>
        <v/>
      </c>
      <c r="BB181" s="1618" t="str">
        <f t="shared" si="298"/>
        <v/>
      </c>
      <c r="BC181" s="1648" t="str">
        <f t="shared" si="299"/>
        <v/>
      </c>
      <c r="BD181" s="1667" t="str">
        <f t="shared" si="276"/>
        <v/>
      </c>
      <c r="BE181" s="1668" t="str">
        <f t="shared" si="300"/>
        <v/>
      </c>
      <c r="BF181" s="1669" t="str">
        <f t="shared" si="291"/>
        <v/>
      </c>
      <c r="BG181" s="1668" t="str">
        <f t="shared" si="301"/>
        <v/>
      </c>
      <c r="BH181" s="1669" t="str">
        <f t="shared" si="279"/>
        <v/>
      </c>
      <c r="BI181" s="1653" t="str">
        <f t="shared" si="292"/>
        <v/>
      </c>
      <c r="BM181" s="1658" t="str">
        <f t="shared" si="310"/>
        <v/>
      </c>
      <c r="BN181" s="1659" t="str">
        <f t="shared" si="302"/>
        <v/>
      </c>
      <c r="BO181" s="1659"/>
      <c r="BP181" s="1659"/>
      <c r="BQ181" s="1645" t="str">
        <f t="shared" si="303"/>
        <v/>
      </c>
      <c r="BR181" s="1620"/>
      <c r="BS181" s="1658" t="str">
        <f t="shared" si="304"/>
        <v/>
      </c>
      <c r="BT181" s="1658" t="str">
        <f t="shared" si="305"/>
        <v/>
      </c>
      <c r="BU181" s="1648" t="str">
        <f t="shared" si="306"/>
        <v/>
      </c>
      <c r="BV181" s="1660" t="str">
        <f t="shared" si="285"/>
        <v/>
      </c>
      <c r="BW181" s="1662" t="str">
        <f t="shared" si="307"/>
        <v/>
      </c>
      <c r="BX181" s="1663" t="str">
        <f t="shared" si="287"/>
        <v/>
      </c>
      <c r="BY181" s="1663" t="str">
        <f t="shared" si="308"/>
        <v/>
      </c>
      <c r="BZ181" s="1664" t="str">
        <f t="shared" si="289"/>
        <v/>
      </c>
      <c r="CA181" s="1655" t="str">
        <f t="shared" si="294"/>
        <v/>
      </c>
    </row>
    <row r="182" spans="47:79" ht="24.95" hidden="1" customHeight="1">
      <c r="AU182" s="1657" t="str">
        <f t="shared" si="309"/>
        <v/>
      </c>
      <c r="AV182" s="1657" t="str">
        <f t="shared" si="295"/>
        <v/>
      </c>
      <c r="AW182" s="1657"/>
      <c r="AX182" s="1665"/>
      <c r="AY182" s="1645" t="str">
        <f t="shared" si="296"/>
        <v/>
      </c>
      <c r="AZ182" s="1666"/>
      <c r="BA182" s="1618" t="str">
        <f t="shared" si="297"/>
        <v/>
      </c>
      <c r="BB182" s="1618" t="str">
        <f t="shared" si="298"/>
        <v/>
      </c>
      <c r="BC182" s="1648" t="str">
        <f t="shared" si="299"/>
        <v/>
      </c>
      <c r="BD182" s="1667" t="str">
        <f t="shared" si="276"/>
        <v/>
      </c>
      <c r="BE182" s="1668" t="str">
        <f t="shared" si="300"/>
        <v/>
      </c>
      <c r="BF182" s="1669" t="str">
        <f t="shared" si="291"/>
        <v/>
      </c>
      <c r="BG182" s="1668" t="str">
        <f t="shared" si="301"/>
        <v/>
      </c>
      <c r="BH182" s="1669" t="str">
        <f t="shared" si="279"/>
        <v/>
      </c>
      <c r="BI182" s="1653" t="str">
        <f t="shared" si="292"/>
        <v/>
      </c>
      <c r="BM182" s="1658" t="str">
        <f t="shared" si="310"/>
        <v/>
      </c>
      <c r="BN182" s="1659" t="str">
        <f t="shared" si="302"/>
        <v/>
      </c>
      <c r="BO182" s="1659"/>
      <c r="BP182" s="1659"/>
      <c r="BQ182" s="1645" t="str">
        <f t="shared" si="303"/>
        <v/>
      </c>
      <c r="BR182" s="1620"/>
      <c r="BS182" s="1658" t="str">
        <f t="shared" si="304"/>
        <v/>
      </c>
      <c r="BT182" s="1658" t="str">
        <f t="shared" si="305"/>
        <v/>
      </c>
      <c r="BU182" s="1648" t="str">
        <f t="shared" si="306"/>
        <v/>
      </c>
      <c r="BV182" s="1660" t="str">
        <f t="shared" si="285"/>
        <v/>
      </c>
      <c r="BW182" s="1662" t="str">
        <f t="shared" si="307"/>
        <v/>
      </c>
      <c r="BX182" s="1663" t="str">
        <f t="shared" si="287"/>
        <v/>
      </c>
      <c r="BY182" s="1663" t="str">
        <f t="shared" si="308"/>
        <v/>
      </c>
      <c r="BZ182" s="1664" t="str">
        <f t="shared" si="289"/>
        <v/>
      </c>
      <c r="CA182" s="1655" t="str">
        <f t="shared" si="294"/>
        <v/>
      </c>
    </row>
    <row r="183" spans="47:79" ht="24.95" hidden="1" customHeight="1">
      <c r="AU183" s="1657" t="str">
        <f t="shared" si="309"/>
        <v/>
      </c>
      <c r="AV183" s="1657" t="str">
        <f t="shared" si="295"/>
        <v/>
      </c>
      <c r="AW183" s="1657"/>
      <c r="AX183" s="1665"/>
      <c r="AY183" s="1645" t="str">
        <f t="shared" si="296"/>
        <v/>
      </c>
      <c r="AZ183" s="1666"/>
      <c r="BA183" s="1618" t="str">
        <f t="shared" si="297"/>
        <v/>
      </c>
      <c r="BB183" s="1618" t="str">
        <f t="shared" si="298"/>
        <v/>
      </c>
      <c r="BC183" s="1648" t="str">
        <f t="shared" si="299"/>
        <v/>
      </c>
      <c r="BD183" s="1667" t="str">
        <f t="shared" si="276"/>
        <v/>
      </c>
      <c r="BE183" s="1668" t="str">
        <f t="shared" si="300"/>
        <v/>
      </c>
      <c r="BF183" s="1669" t="str">
        <f t="shared" si="291"/>
        <v/>
      </c>
      <c r="BG183" s="1668" t="str">
        <f t="shared" si="301"/>
        <v/>
      </c>
      <c r="BH183" s="1669" t="str">
        <f t="shared" si="279"/>
        <v/>
      </c>
      <c r="BI183" s="1653" t="str">
        <f t="shared" si="292"/>
        <v/>
      </c>
      <c r="BM183" s="1658" t="str">
        <f t="shared" si="310"/>
        <v/>
      </c>
      <c r="BN183" s="1659" t="str">
        <f t="shared" si="302"/>
        <v/>
      </c>
      <c r="BO183" s="1659"/>
      <c r="BP183" s="1659"/>
      <c r="BQ183" s="1645" t="str">
        <f t="shared" si="303"/>
        <v/>
      </c>
      <c r="BR183" s="1620"/>
      <c r="BS183" s="1658" t="str">
        <f t="shared" si="304"/>
        <v/>
      </c>
      <c r="BT183" s="1658" t="str">
        <f t="shared" si="305"/>
        <v/>
      </c>
      <c r="BU183" s="1648" t="str">
        <f t="shared" si="306"/>
        <v/>
      </c>
      <c r="BV183" s="1660" t="str">
        <f t="shared" si="285"/>
        <v/>
      </c>
      <c r="BW183" s="1662" t="str">
        <f t="shared" si="307"/>
        <v/>
      </c>
      <c r="BX183" s="1663" t="str">
        <f t="shared" si="287"/>
        <v/>
      </c>
      <c r="BY183" s="1663" t="str">
        <f t="shared" si="308"/>
        <v/>
      </c>
      <c r="BZ183" s="1664" t="str">
        <f t="shared" si="289"/>
        <v/>
      </c>
      <c r="CA183" s="1655" t="str">
        <f t="shared" si="294"/>
        <v/>
      </c>
    </row>
    <row r="184" spans="47:79" ht="24.95" hidden="1" customHeight="1">
      <c r="AU184" s="1657" t="str">
        <f t="shared" si="309"/>
        <v/>
      </c>
      <c r="AV184" s="1657" t="str">
        <f t="shared" si="295"/>
        <v/>
      </c>
      <c r="AW184" s="1657"/>
      <c r="AX184" s="1665"/>
      <c r="AY184" s="1645" t="str">
        <f t="shared" si="296"/>
        <v/>
      </c>
      <c r="AZ184" s="1666"/>
      <c r="BA184" s="1618" t="str">
        <f t="shared" si="297"/>
        <v/>
      </c>
      <c r="BB184" s="1618" t="str">
        <f t="shared" si="298"/>
        <v/>
      </c>
      <c r="BC184" s="1648" t="str">
        <f t="shared" si="299"/>
        <v/>
      </c>
      <c r="BD184" s="1667" t="str">
        <f t="shared" si="276"/>
        <v/>
      </c>
      <c r="BE184" s="1668" t="str">
        <f t="shared" si="300"/>
        <v/>
      </c>
      <c r="BF184" s="1669" t="str">
        <f t="shared" si="291"/>
        <v/>
      </c>
      <c r="BG184" s="1668" t="str">
        <f t="shared" si="301"/>
        <v/>
      </c>
      <c r="BH184" s="1669" t="str">
        <f t="shared" si="279"/>
        <v/>
      </c>
      <c r="BI184" s="1653" t="str">
        <f t="shared" si="292"/>
        <v/>
      </c>
      <c r="BM184" s="1658" t="str">
        <f t="shared" si="310"/>
        <v/>
      </c>
      <c r="BN184" s="1659" t="str">
        <f t="shared" si="302"/>
        <v/>
      </c>
      <c r="BO184" s="1659"/>
      <c r="BP184" s="1659"/>
      <c r="BQ184" s="1645" t="str">
        <f t="shared" si="303"/>
        <v/>
      </c>
      <c r="BR184" s="1620"/>
      <c r="BS184" s="1658" t="str">
        <f t="shared" si="304"/>
        <v/>
      </c>
      <c r="BT184" s="1658" t="str">
        <f t="shared" si="305"/>
        <v/>
      </c>
      <c r="BU184" s="1648" t="str">
        <f t="shared" si="306"/>
        <v/>
      </c>
      <c r="BV184" s="1660" t="str">
        <f t="shared" si="285"/>
        <v/>
      </c>
      <c r="BW184" s="1662" t="str">
        <f t="shared" si="307"/>
        <v/>
      </c>
      <c r="BX184" s="1663" t="str">
        <f t="shared" si="287"/>
        <v/>
      </c>
      <c r="BY184" s="1663" t="str">
        <f t="shared" si="308"/>
        <v/>
      </c>
      <c r="BZ184" s="1664" t="str">
        <f t="shared" si="289"/>
        <v/>
      </c>
      <c r="CA184" s="1655" t="str">
        <f t="shared" si="294"/>
        <v/>
      </c>
    </row>
    <row r="185" spans="47:79" ht="24.95" hidden="1" customHeight="1">
      <c r="AU185" s="1657" t="str">
        <f t="shared" si="309"/>
        <v/>
      </c>
      <c r="AV185" s="1657" t="str">
        <f t="shared" si="295"/>
        <v/>
      </c>
      <c r="AW185" s="1657"/>
      <c r="AX185" s="1665"/>
      <c r="AY185" s="1645" t="str">
        <f t="shared" si="296"/>
        <v/>
      </c>
      <c r="AZ185" s="1666"/>
      <c r="BA185" s="1618" t="str">
        <f t="shared" si="297"/>
        <v/>
      </c>
      <c r="BB185" s="1618" t="str">
        <f t="shared" si="298"/>
        <v/>
      </c>
      <c r="BC185" s="1648" t="str">
        <f t="shared" si="299"/>
        <v/>
      </c>
      <c r="BD185" s="1667" t="str">
        <f t="shared" si="276"/>
        <v/>
      </c>
      <c r="BE185" s="1668" t="str">
        <f t="shared" si="300"/>
        <v/>
      </c>
      <c r="BF185" s="1669" t="str">
        <f t="shared" si="291"/>
        <v/>
      </c>
      <c r="BG185" s="1668" t="str">
        <f t="shared" si="301"/>
        <v/>
      </c>
      <c r="BH185" s="1669" t="str">
        <f t="shared" si="279"/>
        <v/>
      </c>
      <c r="BI185" s="1653" t="str">
        <f t="shared" si="292"/>
        <v/>
      </c>
      <c r="BM185" s="1658" t="str">
        <f t="shared" si="310"/>
        <v/>
      </c>
      <c r="BN185" s="1659" t="str">
        <f t="shared" si="302"/>
        <v/>
      </c>
      <c r="BO185" s="1659"/>
      <c r="BP185" s="1659"/>
      <c r="BQ185" s="1645" t="str">
        <f t="shared" si="303"/>
        <v/>
      </c>
      <c r="BR185" s="1620"/>
      <c r="BS185" s="1658" t="str">
        <f t="shared" si="304"/>
        <v/>
      </c>
      <c r="BT185" s="1658" t="str">
        <f t="shared" si="305"/>
        <v/>
      </c>
      <c r="BU185" s="1648" t="str">
        <f t="shared" si="306"/>
        <v/>
      </c>
      <c r="BV185" s="1660" t="str">
        <f t="shared" si="285"/>
        <v/>
      </c>
      <c r="BW185" s="1662" t="str">
        <f t="shared" si="307"/>
        <v/>
      </c>
      <c r="BX185" s="1663" t="str">
        <f t="shared" si="287"/>
        <v/>
      </c>
      <c r="BY185" s="1663" t="str">
        <f t="shared" si="308"/>
        <v/>
      </c>
      <c r="BZ185" s="1664" t="str">
        <f t="shared" si="289"/>
        <v/>
      </c>
      <c r="CA185" s="1655" t="str">
        <f t="shared" si="294"/>
        <v/>
      </c>
    </row>
    <row r="186" spans="47:79" ht="24.95" hidden="1" customHeight="1">
      <c r="AU186" s="1657" t="str">
        <f t="shared" si="309"/>
        <v/>
      </c>
      <c r="AV186" s="1657" t="str">
        <f t="shared" si="295"/>
        <v/>
      </c>
      <c r="AW186" s="1657"/>
      <c r="AX186" s="1665"/>
      <c r="AY186" s="1645" t="str">
        <f t="shared" si="296"/>
        <v/>
      </c>
      <c r="AZ186" s="1666"/>
      <c r="BA186" s="1618" t="str">
        <f t="shared" si="297"/>
        <v/>
      </c>
      <c r="BB186" s="1618" t="str">
        <f t="shared" si="298"/>
        <v/>
      </c>
      <c r="BC186" s="1648" t="str">
        <f t="shared" si="299"/>
        <v/>
      </c>
      <c r="BD186" s="1667" t="str">
        <f t="shared" si="276"/>
        <v/>
      </c>
      <c r="BE186" s="1668" t="str">
        <f t="shared" si="300"/>
        <v/>
      </c>
      <c r="BF186" s="1669" t="str">
        <f t="shared" si="291"/>
        <v/>
      </c>
      <c r="BG186" s="1668" t="str">
        <f t="shared" si="301"/>
        <v/>
      </c>
      <c r="BH186" s="1669" t="str">
        <f t="shared" si="279"/>
        <v/>
      </c>
      <c r="BI186" s="1653" t="str">
        <f t="shared" si="292"/>
        <v/>
      </c>
      <c r="BM186" s="1658" t="str">
        <f t="shared" si="310"/>
        <v/>
      </c>
      <c r="BN186" s="1659" t="str">
        <f t="shared" si="302"/>
        <v/>
      </c>
      <c r="BO186" s="1659"/>
      <c r="BP186" s="1659"/>
      <c r="BQ186" s="1645" t="str">
        <f t="shared" si="303"/>
        <v/>
      </c>
      <c r="BR186" s="1620"/>
      <c r="BS186" s="1658" t="str">
        <f t="shared" si="304"/>
        <v/>
      </c>
      <c r="BT186" s="1658" t="str">
        <f t="shared" si="305"/>
        <v/>
      </c>
      <c r="BU186" s="1648" t="str">
        <f t="shared" si="306"/>
        <v/>
      </c>
      <c r="BV186" s="1660" t="str">
        <f t="shared" si="285"/>
        <v/>
      </c>
      <c r="BW186" s="1662" t="str">
        <f t="shared" si="307"/>
        <v/>
      </c>
      <c r="BX186" s="1663" t="str">
        <f t="shared" si="287"/>
        <v/>
      </c>
      <c r="BY186" s="1663" t="str">
        <f t="shared" si="308"/>
        <v/>
      </c>
      <c r="BZ186" s="1664" t="str">
        <f t="shared" si="289"/>
        <v/>
      </c>
      <c r="CA186" s="1655" t="str">
        <f t="shared" si="294"/>
        <v/>
      </c>
    </row>
    <row r="187" spans="47:79" ht="24.95" hidden="1" customHeight="1">
      <c r="AU187" s="1657" t="str">
        <f t="shared" si="309"/>
        <v/>
      </c>
      <c r="AV187" s="1657" t="str">
        <f t="shared" si="295"/>
        <v/>
      </c>
      <c r="AW187" s="1657"/>
      <c r="AX187" s="1665"/>
      <c r="AY187" s="1645" t="str">
        <f t="shared" si="296"/>
        <v/>
      </c>
      <c r="AZ187" s="1666"/>
      <c r="BA187" s="1618" t="str">
        <f t="shared" si="297"/>
        <v/>
      </c>
      <c r="BB187" s="1618" t="str">
        <f t="shared" si="298"/>
        <v/>
      </c>
      <c r="BC187" s="1648" t="str">
        <f t="shared" si="299"/>
        <v/>
      </c>
      <c r="BD187" s="1667" t="str">
        <f t="shared" si="276"/>
        <v/>
      </c>
      <c r="BE187" s="1668" t="str">
        <f t="shared" si="300"/>
        <v/>
      </c>
      <c r="BF187" s="1669" t="str">
        <f t="shared" si="291"/>
        <v/>
      </c>
      <c r="BG187" s="1668" t="str">
        <f t="shared" si="301"/>
        <v/>
      </c>
      <c r="BH187" s="1669" t="str">
        <f t="shared" si="279"/>
        <v/>
      </c>
      <c r="BI187" s="1653" t="str">
        <f t="shared" si="292"/>
        <v/>
      </c>
      <c r="BM187" s="1658" t="str">
        <f t="shared" si="310"/>
        <v/>
      </c>
      <c r="BN187" s="1659" t="str">
        <f t="shared" si="302"/>
        <v/>
      </c>
      <c r="BO187" s="1659"/>
      <c r="BP187" s="1659"/>
      <c r="BQ187" s="1645" t="str">
        <f t="shared" si="303"/>
        <v/>
      </c>
      <c r="BR187" s="1620"/>
      <c r="BS187" s="1658" t="str">
        <f t="shared" si="304"/>
        <v/>
      </c>
      <c r="BT187" s="1658" t="str">
        <f t="shared" si="305"/>
        <v/>
      </c>
      <c r="BU187" s="1648" t="str">
        <f t="shared" si="306"/>
        <v/>
      </c>
      <c r="BV187" s="1660" t="str">
        <f t="shared" si="285"/>
        <v/>
      </c>
      <c r="BW187" s="1662" t="str">
        <f t="shared" si="307"/>
        <v/>
      </c>
      <c r="BX187" s="1663" t="str">
        <f t="shared" si="287"/>
        <v/>
      </c>
      <c r="BY187" s="1663" t="str">
        <f t="shared" si="308"/>
        <v/>
      </c>
      <c r="BZ187" s="1664" t="str">
        <f t="shared" si="289"/>
        <v/>
      </c>
      <c r="CA187" s="1655" t="str">
        <f t="shared" si="294"/>
        <v/>
      </c>
    </row>
    <row r="188" spans="47:79" ht="24.95" hidden="1" customHeight="1">
      <c r="AU188" s="1657" t="str">
        <f t="shared" si="309"/>
        <v/>
      </c>
      <c r="AV188" s="1657" t="str">
        <f t="shared" si="295"/>
        <v/>
      </c>
      <c r="AW188" s="1657"/>
      <c r="AX188" s="1665"/>
      <c r="AY188" s="1645" t="str">
        <f t="shared" si="296"/>
        <v/>
      </c>
      <c r="AZ188" s="1666"/>
      <c r="BA188" s="1618" t="str">
        <f t="shared" si="297"/>
        <v/>
      </c>
      <c r="BB188" s="1618" t="str">
        <f t="shared" si="298"/>
        <v/>
      </c>
      <c r="BC188" s="1648" t="str">
        <f t="shared" si="299"/>
        <v/>
      </c>
      <c r="BD188" s="1667" t="str">
        <f t="shared" si="276"/>
        <v/>
      </c>
      <c r="BE188" s="1668" t="str">
        <f t="shared" si="300"/>
        <v/>
      </c>
      <c r="BF188" s="1669" t="str">
        <f t="shared" si="291"/>
        <v/>
      </c>
      <c r="BG188" s="1668" t="str">
        <f t="shared" si="301"/>
        <v/>
      </c>
      <c r="BH188" s="1669" t="str">
        <f t="shared" si="279"/>
        <v/>
      </c>
      <c r="BI188" s="1653" t="str">
        <f t="shared" si="292"/>
        <v/>
      </c>
      <c r="BM188" s="1658" t="str">
        <f t="shared" si="310"/>
        <v/>
      </c>
      <c r="BN188" s="1659" t="str">
        <f t="shared" si="302"/>
        <v/>
      </c>
      <c r="BO188" s="1659"/>
      <c r="BP188" s="1659"/>
      <c r="BQ188" s="1645" t="str">
        <f t="shared" si="303"/>
        <v/>
      </c>
      <c r="BR188" s="1620"/>
      <c r="BS188" s="1658" t="str">
        <f t="shared" si="304"/>
        <v/>
      </c>
      <c r="BT188" s="1658" t="str">
        <f t="shared" si="305"/>
        <v/>
      </c>
      <c r="BU188" s="1648" t="str">
        <f t="shared" si="306"/>
        <v/>
      </c>
      <c r="BV188" s="1660" t="str">
        <f t="shared" si="285"/>
        <v/>
      </c>
      <c r="BW188" s="1662" t="str">
        <f t="shared" si="307"/>
        <v/>
      </c>
      <c r="BX188" s="1663" t="str">
        <f t="shared" si="287"/>
        <v/>
      </c>
      <c r="BY188" s="1663" t="str">
        <f t="shared" si="308"/>
        <v/>
      </c>
      <c r="BZ188" s="1664" t="str">
        <f t="shared" si="289"/>
        <v/>
      </c>
      <c r="CA188" s="1655" t="str">
        <f t="shared" si="294"/>
        <v/>
      </c>
    </row>
    <row r="189" spans="47:79" ht="24.95" hidden="1" customHeight="1">
      <c r="AU189" s="1657" t="str">
        <f t="shared" si="309"/>
        <v/>
      </c>
      <c r="AV189" s="1657" t="str">
        <f t="shared" ref="AV189:AV204" si="311">IF(K72&lt;&gt;"",K72,"")</f>
        <v/>
      </c>
      <c r="AW189" s="1657"/>
      <c r="AX189" s="1665"/>
      <c r="AY189" s="1645" t="str">
        <f t="shared" ref="AY189:AY200" si="312">IF(M72&lt;&gt;"",MID(M72,7,200),"")</f>
        <v/>
      </c>
      <c r="AZ189" s="1666"/>
      <c r="BA189" s="1618" t="str">
        <f t="shared" ref="BA189:BA204" si="313">IF(N72&gt;0,N72,"")</f>
        <v/>
      </c>
      <c r="BB189" s="1618" t="str">
        <f t="shared" ref="BB189:BB204" si="314">IF(O72&lt;&gt;"",O72,"")</f>
        <v/>
      </c>
      <c r="BC189" s="1648" t="str">
        <f t="shared" ref="BC189:BC200" si="315">IF(M72&lt;&gt;"",MID(P72,5,100),"")</f>
        <v/>
      </c>
      <c r="BD189" s="1667" t="str">
        <f t="shared" ref="BD189:BD204" si="316">IF(AY189="","",quote_currency_symbol)</f>
        <v/>
      </c>
      <c r="BE189" s="1668" t="str">
        <f t="shared" ref="BE189:BE204" si="317">IF(M72&lt;&gt;"",U72,"")</f>
        <v/>
      </c>
      <c r="BF189" s="1669" t="str">
        <f t="shared" si="291"/>
        <v/>
      </c>
      <c r="BG189" s="1668" t="str">
        <f t="shared" ref="BG189:BG204" si="318">IF(M72&lt;&gt;"",W72,"")</f>
        <v/>
      </c>
      <c r="BH189" s="1669" t="str">
        <f t="shared" ref="BH189:BH204" si="319">IF(AY189="","",quote_currency_symbol)</f>
        <v/>
      </c>
      <c r="BI189" s="1653" t="str">
        <f t="shared" si="292"/>
        <v/>
      </c>
      <c r="BM189" s="1658" t="str">
        <f t="shared" si="310"/>
        <v/>
      </c>
      <c r="BN189" s="1659" t="str">
        <f t="shared" ref="BN189:BN204" si="320">IF(M72&lt;&gt;"",K72,"")</f>
        <v/>
      </c>
      <c r="BO189" s="1659"/>
      <c r="BP189" s="1659"/>
      <c r="BQ189" s="1645" t="str">
        <f t="shared" ref="BQ189:BQ204" si="321">IF(M72&lt;&gt;"",MID(M72,7,200),"")</f>
        <v/>
      </c>
      <c r="BR189" s="1620"/>
      <c r="BS189" s="1658" t="str">
        <f t="shared" ref="BS189:BS204" si="322">IF(N72&gt;0,N72,"")</f>
        <v/>
      </c>
      <c r="BT189" s="1658" t="str">
        <f t="shared" ref="BT189:BT204" si="323">IF(O72&lt;&gt;"",O72,"")</f>
        <v/>
      </c>
      <c r="BU189" s="1648" t="str">
        <f t="shared" ref="BU189:BU204" si="324">IF(M72&lt;&gt;"",MID(P72,5,100),"")</f>
        <v/>
      </c>
      <c r="BV189" s="1660" t="str">
        <f t="shared" ref="BV189:BV204" si="325">IF(BQ189="","",quote_currency_symbol)</f>
        <v/>
      </c>
      <c r="BW189" s="1662" t="str">
        <f t="shared" ref="BW189:BW204" si="326">IF(M72&lt;&gt;"",U72,"")</f>
        <v/>
      </c>
      <c r="BX189" s="1663" t="str">
        <f t="shared" ref="BX189:BX204" si="327">IF(BQ189="","",quote_currency_symbol)</f>
        <v/>
      </c>
      <c r="BY189" s="1663" t="str">
        <f t="shared" ref="BY189:BY204" si="328">IF(M72&lt;&gt;"",W72,"")</f>
        <v/>
      </c>
      <c r="BZ189" s="1664" t="str">
        <f t="shared" ref="BZ189:BZ204" si="329">IF(BQ189="","",quote_currency_symbol)</f>
        <v/>
      </c>
      <c r="CA189" s="1655" t="str">
        <f t="shared" si="294"/>
        <v/>
      </c>
    </row>
    <row r="190" spans="47:79" ht="24.95" hidden="1" customHeight="1">
      <c r="AU190" s="1657" t="str">
        <f t="shared" ref="AU190:AU204" si="330">IF(M73="","",AU189+1)</f>
        <v/>
      </c>
      <c r="AV190" s="1657" t="str">
        <f t="shared" si="311"/>
        <v/>
      </c>
      <c r="AW190" s="1657"/>
      <c r="AX190" s="1665"/>
      <c r="AY190" s="1645" t="str">
        <f t="shared" si="312"/>
        <v/>
      </c>
      <c r="AZ190" s="1666"/>
      <c r="BA190" s="1618" t="str">
        <f t="shared" si="313"/>
        <v/>
      </c>
      <c r="BB190" s="1618" t="str">
        <f t="shared" si="314"/>
        <v/>
      </c>
      <c r="BC190" s="1648" t="str">
        <f t="shared" si="315"/>
        <v/>
      </c>
      <c r="BD190" s="1667" t="str">
        <f t="shared" si="316"/>
        <v/>
      </c>
      <c r="BE190" s="1668" t="str">
        <f t="shared" si="317"/>
        <v/>
      </c>
      <c r="BF190" s="1669" t="str">
        <f t="shared" ref="BF190:BF204" si="331">IF(AY190="","",quote_currency_symbol)</f>
        <v/>
      </c>
      <c r="BG190" s="1668" t="str">
        <f t="shared" si="318"/>
        <v/>
      </c>
      <c r="BH190" s="1669" t="str">
        <f t="shared" si="319"/>
        <v/>
      </c>
      <c r="BI190" s="1653" t="str">
        <f t="shared" ref="BI190:BI204" si="332">IF(AND(AY190&lt;&gt;"",BA190&gt;0),(N(BA190))*BE190-BG190,"")</f>
        <v/>
      </c>
      <c r="BM190" s="1658" t="str">
        <f t="shared" ref="BM190:BM204" si="333">IF(M73="","",BM189+1)</f>
        <v/>
      </c>
      <c r="BN190" s="1659" t="str">
        <f t="shared" si="320"/>
        <v/>
      </c>
      <c r="BO190" s="1659"/>
      <c r="BP190" s="1659"/>
      <c r="BQ190" s="1645" t="str">
        <f t="shared" si="321"/>
        <v/>
      </c>
      <c r="BR190" s="1620"/>
      <c r="BS190" s="1658" t="str">
        <f t="shared" si="322"/>
        <v/>
      </c>
      <c r="BT190" s="1658" t="str">
        <f t="shared" si="323"/>
        <v/>
      </c>
      <c r="BU190" s="1648" t="str">
        <f t="shared" si="324"/>
        <v/>
      </c>
      <c r="BV190" s="1660" t="str">
        <f t="shared" si="325"/>
        <v/>
      </c>
      <c r="BW190" s="1662" t="str">
        <f t="shared" si="326"/>
        <v/>
      </c>
      <c r="BX190" s="1663" t="str">
        <f t="shared" si="327"/>
        <v/>
      </c>
      <c r="BY190" s="1663" t="str">
        <f t="shared" si="328"/>
        <v/>
      </c>
      <c r="BZ190" s="1664" t="str">
        <f t="shared" si="329"/>
        <v/>
      </c>
      <c r="CA190" s="1655" t="str">
        <f t="shared" ref="CA190:CA204" si="334">IF(AND(BQ190&lt;&gt;"",BS190&gt;0),(N(BS190))*BW190-BY190,"")</f>
        <v/>
      </c>
    </row>
    <row r="191" spans="47:79" ht="24.95" hidden="1" customHeight="1">
      <c r="AU191" s="1657" t="str">
        <f t="shared" si="330"/>
        <v/>
      </c>
      <c r="AV191" s="1657" t="str">
        <f t="shared" si="311"/>
        <v/>
      </c>
      <c r="AW191" s="1657"/>
      <c r="AX191" s="1665"/>
      <c r="AY191" s="1645" t="str">
        <f t="shared" si="312"/>
        <v/>
      </c>
      <c r="AZ191" s="1666"/>
      <c r="BA191" s="1618" t="str">
        <f t="shared" si="313"/>
        <v/>
      </c>
      <c r="BB191" s="1618" t="str">
        <f t="shared" si="314"/>
        <v/>
      </c>
      <c r="BC191" s="1648" t="str">
        <f t="shared" si="315"/>
        <v/>
      </c>
      <c r="BD191" s="1667" t="str">
        <f t="shared" si="316"/>
        <v/>
      </c>
      <c r="BE191" s="1668" t="str">
        <f t="shared" si="317"/>
        <v/>
      </c>
      <c r="BF191" s="1669" t="str">
        <f t="shared" si="331"/>
        <v/>
      </c>
      <c r="BG191" s="1668" t="str">
        <f t="shared" si="318"/>
        <v/>
      </c>
      <c r="BH191" s="1669" t="str">
        <f t="shared" si="319"/>
        <v/>
      </c>
      <c r="BI191" s="1653" t="str">
        <f t="shared" si="332"/>
        <v/>
      </c>
      <c r="BM191" s="1658" t="str">
        <f t="shared" si="333"/>
        <v/>
      </c>
      <c r="BN191" s="1659" t="str">
        <f t="shared" si="320"/>
        <v/>
      </c>
      <c r="BO191" s="1659"/>
      <c r="BP191" s="1659"/>
      <c r="BQ191" s="1645" t="str">
        <f t="shared" si="321"/>
        <v/>
      </c>
      <c r="BR191" s="1620"/>
      <c r="BS191" s="1658" t="str">
        <f t="shared" si="322"/>
        <v/>
      </c>
      <c r="BT191" s="1658" t="str">
        <f t="shared" si="323"/>
        <v/>
      </c>
      <c r="BU191" s="1648" t="str">
        <f t="shared" si="324"/>
        <v/>
      </c>
      <c r="BV191" s="1660" t="str">
        <f t="shared" si="325"/>
        <v/>
      </c>
      <c r="BW191" s="1662" t="str">
        <f t="shared" si="326"/>
        <v/>
      </c>
      <c r="BX191" s="1663" t="str">
        <f t="shared" si="327"/>
        <v/>
      </c>
      <c r="BY191" s="1663" t="str">
        <f t="shared" si="328"/>
        <v/>
      </c>
      <c r="BZ191" s="1664" t="str">
        <f t="shared" si="329"/>
        <v/>
      </c>
      <c r="CA191" s="1655" t="str">
        <f t="shared" si="334"/>
        <v/>
      </c>
    </row>
    <row r="192" spans="47:79" ht="24.95" hidden="1" customHeight="1">
      <c r="AU192" s="1657" t="str">
        <f t="shared" si="330"/>
        <v/>
      </c>
      <c r="AV192" s="1657" t="str">
        <f t="shared" si="311"/>
        <v/>
      </c>
      <c r="AW192" s="1657"/>
      <c r="AX192" s="1665"/>
      <c r="AY192" s="1645" t="str">
        <f t="shared" si="312"/>
        <v/>
      </c>
      <c r="AZ192" s="1666"/>
      <c r="BA192" s="1618" t="str">
        <f t="shared" si="313"/>
        <v/>
      </c>
      <c r="BB192" s="1618" t="str">
        <f t="shared" si="314"/>
        <v/>
      </c>
      <c r="BC192" s="1648" t="str">
        <f t="shared" si="315"/>
        <v/>
      </c>
      <c r="BD192" s="1667" t="str">
        <f t="shared" si="316"/>
        <v/>
      </c>
      <c r="BE192" s="1668" t="str">
        <f t="shared" si="317"/>
        <v/>
      </c>
      <c r="BF192" s="1669" t="str">
        <f t="shared" si="331"/>
        <v/>
      </c>
      <c r="BG192" s="1668" t="str">
        <f t="shared" si="318"/>
        <v/>
      </c>
      <c r="BH192" s="1669" t="str">
        <f t="shared" si="319"/>
        <v/>
      </c>
      <c r="BI192" s="1653" t="str">
        <f t="shared" si="332"/>
        <v/>
      </c>
      <c r="BM192" s="1658" t="str">
        <f t="shared" si="333"/>
        <v/>
      </c>
      <c r="BN192" s="1659" t="str">
        <f t="shared" si="320"/>
        <v/>
      </c>
      <c r="BO192" s="1659"/>
      <c r="BP192" s="1659"/>
      <c r="BQ192" s="1645" t="str">
        <f t="shared" si="321"/>
        <v/>
      </c>
      <c r="BR192" s="1620"/>
      <c r="BS192" s="1658" t="str">
        <f t="shared" si="322"/>
        <v/>
      </c>
      <c r="BT192" s="1658" t="str">
        <f t="shared" si="323"/>
        <v/>
      </c>
      <c r="BU192" s="1648" t="str">
        <f t="shared" si="324"/>
        <v/>
      </c>
      <c r="BV192" s="1660" t="str">
        <f t="shared" si="325"/>
        <v/>
      </c>
      <c r="BW192" s="1662" t="str">
        <f t="shared" si="326"/>
        <v/>
      </c>
      <c r="BX192" s="1663" t="str">
        <f t="shared" si="327"/>
        <v/>
      </c>
      <c r="BY192" s="1663" t="str">
        <f t="shared" si="328"/>
        <v/>
      </c>
      <c r="BZ192" s="1664" t="str">
        <f t="shared" si="329"/>
        <v/>
      </c>
      <c r="CA192" s="1655" t="str">
        <f t="shared" si="334"/>
        <v/>
      </c>
    </row>
    <row r="193" spans="47:79" ht="24.95" hidden="1" customHeight="1">
      <c r="AU193" s="1657" t="str">
        <f t="shared" si="330"/>
        <v/>
      </c>
      <c r="AV193" s="1657" t="str">
        <f t="shared" si="311"/>
        <v/>
      </c>
      <c r="AW193" s="1657"/>
      <c r="AX193" s="1665"/>
      <c r="AY193" s="1645" t="str">
        <f t="shared" si="312"/>
        <v/>
      </c>
      <c r="AZ193" s="1666"/>
      <c r="BA193" s="1618" t="str">
        <f t="shared" si="313"/>
        <v/>
      </c>
      <c r="BB193" s="1618" t="str">
        <f t="shared" si="314"/>
        <v/>
      </c>
      <c r="BC193" s="1648" t="str">
        <f t="shared" si="315"/>
        <v/>
      </c>
      <c r="BD193" s="1667" t="str">
        <f t="shared" si="316"/>
        <v/>
      </c>
      <c r="BE193" s="1668" t="str">
        <f t="shared" si="317"/>
        <v/>
      </c>
      <c r="BF193" s="1669" t="str">
        <f t="shared" si="331"/>
        <v/>
      </c>
      <c r="BG193" s="1668" t="str">
        <f t="shared" si="318"/>
        <v/>
      </c>
      <c r="BH193" s="1669" t="str">
        <f t="shared" si="319"/>
        <v/>
      </c>
      <c r="BI193" s="1653" t="str">
        <f t="shared" si="332"/>
        <v/>
      </c>
      <c r="BM193" s="1658" t="str">
        <f t="shared" si="333"/>
        <v/>
      </c>
      <c r="BN193" s="1659" t="str">
        <f t="shared" si="320"/>
        <v/>
      </c>
      <c r="BO193" s="1659"/>
      <c r="BP193" s="1659"/>
      <c r="BQ193" s="1645" t="str">
        <f t="shared" si="321"/>
        <v/>
      </c>
      <c r="BR193" s="1620"/>
      <c r="BS193" s="1658" t="str">
        <f t="shared" si="322"/>
        <v/>
      </c>
      <c r="BT193" s="1658" t="str">
        <f t="shared" si="323"/>
        <v/>
      </c>
      <c r="BU193" s="1648" t="str">
        <f t="shared" si="324"/>
        <v/>
      </c>
      <c r="BV193" s="1660" t="str">
        <f t="shared" si="325"/>
        <v/>
      </c>
      <c r="BW193" s="1662" t="str">
        <f t="shared" si="326"/>
        <v/>
      </c>
      <c r="BX193" s="1663" t="str">
        <f t="shared" si="327"/>
        <v/>
      </c>
      <c r="BY193" s="1663" t="str">
        <f t="shared" si="328"/>
        <v/>
      </c>
      <c r="BZ193" s="1664" t="str">
        <f t="shared" si="329"/>
        <v/>
      </c>
      <c r="CA193" s="1655" t="str">
        <f t="shared" si="334"/>
        <v/>
      </c>
    </row>
    <row r="194" spans="47:79" ht="24.95" hidden="1" customHeight="1">
      <c r="AU194" s="1657" t="str">
        <f t="shared" si="330"/>
        <v/>
      </c>
      <c r="AV194" s="1657" t="str">
        <f t="shared" si="311"/>
        <v/>
      </c>
      <c r="AW194" s="1657"/>
      <c r="AX194" s="1665"/>
      <c r="AY194" s="1645" t="str">
        <f t="shared" si="312"/>
        <v/>
      </c>
      <c r="AZ194" s="1666"/>
      <c r="BA194" s="1618" t="str">
        <f t="shared" si="313"/>
        <v/>
      </c>
      <c r="BB194" s="1618" t="str">
        <f t="shared" si="314"/>
        <v/>
      </c>
      <c r="BC194" s="1648" t="str">
        <f t="shared" si="315"/>
        <v/>
      </c>
      <c r="BD194" s="1667" t="str">
        <f t="shared" si="316"/>
        <v/>
      </c>
      <c r="BE194" s="1668" t="str">
        <f t="shared" si="317"/>
        <v/>
      </c>
      <c r="BF194" s="1669" t="str">
        <f t="shared" si="331"/>
        <v/>
      </c>
      <c r="BG194" s="1668" t="str">
        <f t="shared" si="318"/>
        <v/>
      </c>
      <c r="BH194" s="1669" t="str">
        <f t="shared" si="319"/>
        <v/>
      </c>
      <c r="BI194" s="1653" t="str">
        <f t="shared" si="332"/>
        <v/>
      </c>
      <c r="BM194" s="1658" t="str">
        <f t="shared" si="333"/>
        <v/>
      </c>
      <c r="BN194" s="1659" t="str">
        <f t="shared" si="320"/>
        <v/>
      </c>
      <c r="BO194" s="1659"/>
      <c r="BP194" s="1659"/>
      <c r="BQ194" s="1645" t="str">
        <f t="shared" si="321"/>
        <v/>
      </c>
      <c r="BR194" s="1620"/>
      <c r="BS194" s="1658" t="str">
        <f t="shared" si="322"/>
        <v/>
      </c>
      <c r="BT194" s="1658" t="str">
        <f t="shared" si="323"/>
        <v/>
      </c>
      <c r="BU194" s="1648" t="str">
        <f t="shared" si="324"/>
        <v/>
      </c>
      <c r="BV194" s="1660" t="str">
        <f t="shared" si="325"/>
        <v/>
      </c>
      <c r="BW194" s="1662" t="str">
        <f t="shared" si="326"/>
        <v/>
      </c>
      <c r="BX194" s="1663" t="str">
        <f t="shared" si="327"/>
        <v/>
      </c>
      <c r="BY194" s="1663" t="str">
        <f t="shared" si="328"/>
        <v/>
      </c>
      <c r="BZ194" s="1664" t="str">
        <f t="shared" si="329"/>
        <v/>
      </c>
      <c r="CA194" s="1655" t="str">
        <f t="shared" si="334"/>
        <v/>
      </c>
    </row>
    <row r="195" spans="47:79" ht="24.95" hidden="1" customHeight="1">
      <c r="AU195" s="1657" t="str">
        <f t="shared" si="330"/>
        <v/>
      </c>
      <c r="AV195" s="1657" t="str">
        <f t="shared" si="311"/>
        <v/>
      </c>
      <c r="AW195" s="1657"/>
      <c r="AX195" s="1665"/>
      <c r="AY195" s="1645" t="str">
        <f t="shared" si="312"/>
        <v/>
      </c>
      <c r="AZ195" s="1666"/>
      <c r="BA195" s="1618" t="str">
        <f t="shared" si="313"/>
        <v/>
      </c>
      <c r="BB195" s="1618" t="str">
        <f t="shared" si="314"/>
        <v/>
      </c>
      <c r="BC195" s="1648" t="str">
        <f t="shared" si="315"/>
        <v/>
      </c>
      <c r="BD195" s="1667" t="str">
        <f t="shared" si="316"/>
        <v/>
      </c>
      <c r="BE195" s="1668" t="str">
        <f t="shared" si="317"/>
        <v/>
      </c>
      <c r="BF195" s="1669" t="str">
        <f t="shared" si="331"/>
        <v/>
      </c>
      <c r="BG195" s="1668" t="str">
        <f t="shared" si="318"/>
        <v/>
      </c>
      <c r="BH195" s="1669" t="str">
        <f t="shared" si="319"/>
        <v/>
      </c>
      <c r="BI195" s="1653" t="str">
        <f t="shared" si="332"/>
        <v/>
      </c>
      <c r="BM195" s="1658" t="str">
        <f t="shared" si="333"/>
        <v/>
      </c>
      <c r="BN195" s="1659" t="str">
        <f t="shared" si="320"/>
        <v/>
      </c>
      <c r="BO195" s="1659"/>
      <c r="BP195" s="1659"/>
      <c r="BQ195" s="1645" t="str">
        <f t="shared" si="321"/>
        <v/>
      </c>
      <c r="BR195" s="1620"/>
      <c r="BS195" s="1658" t="str">
        <f t="shared" si="322"/>
        <v/>
      </c>
      <c r="BT195" s="1658" t="str">
        <f t="shared" si="323"/>
        <v/>
      </c>
      <c r="BU195" s="1648" t="str">
        <f t="shared" si="324"/>
        <v/>
      </c>
      <c r="BV195" s="1660" t="str">
        <f t="shared" si="325"/>
        <v/>
      </c>
      <c r="BW195" s="1662" t="str">
        <f t="shared" si="326"/>
        <v/>
      </c>
      <c r="BX195" s="1663" t="str">
        <f t="shared" si="327"/>
        <v/>
      </c>
      <c r="BY195" s="1663" t="str">
        <f t="shared" si="328"/>
        <v/>
      </c>
      <c r="BZ195" s="1664" t="str">
        <f t="shared" si="329"/>
        <v/>
      </c>
      <c r="CA195" s="1655" t="str">
        <f t="shared" si="334"/>
        <v/>
      </c>
    </row>
    <row r="196" spans="47:79" ht="24.95" hidden="1" customHeight="1">
      <c r="AU196" s="1657" t="str">
        <f t="shared" si="330"/>
        <v/>
      </c>
      <c r="AV196" s="1657" t="str">
        <f t="shared" si="311"/>
        <v/>
      </c>
      <c r="AW196" s="1657"/>
      <c r="AX196" s="1665"/>
      <c r="AY196" s="1645" t="str">
        <f t="shared" si="312"/>
        <v/>
      </c>
      <c r="AZ196" s="1666"/>
      <c r="BA196" s="1618" t="str">
        <f t="shared" si="313"/>
        <v/>
      </c>
      <c r="BB196" s="1618" t="str">
        <f t="shared" si="314"/>
        <v/>
      </c>
      <c r="BC196" s="1648" t="str">
        <f t="shared" si="315"/>
        <v/>
      </c>
      <c r="BD196" s="1667" t="str">
        <f t="shared" si="316"/>
        <v/>
      </c>
      <c r="BE196" s="1668" t="str">
        <f t="shared" si="317"/>
        <v/>
      </c>
      <c r="BF196" s="1669" t="str">
        <f t="shared" si="331"/>
        <v/>
      </c>
      <c r="BG196" s="1668" t="str">
        <f t="shared" si="318"/>
        <v/>
      </c>
      <c r="BH196" s="1669" t="str">
        <f t="shared" si="319"/>
        <v/>
      </c>
      <c r="BI196" s="1653" t="str">
        <f t="shared" si="332"/>
        <v/>
      </c>
      <c r="BM196" s="1658" t="str">
        <f t="shared" si="333"/>
        <v/>
      </c>
      <c r="BN196" s="1659" t="str">
        <f t="shared" si="320"/>
        <v/>
      </c>
      <c r="BO196" s="1659"/>
      <c r="BP196" s="1659"/>
      <c r="BQ196" s="1645" t="str">
        <f t="shared" si="321"/>
        <v/>
      </c>
      <c r="BR196" s="1620"/>
      <c r="BS196" s="1658" t="str">
        <f t="shared" si="322"/>
        <v/>
      </c>
      <c r="BT196" s="1658" t="str">
        <f t="shared" si="323"/>
        <v/>
      </c>
      <c r="BU196" s="1648" t="str">
        <f t="shared" si="324"/>
        <v/>
      </c>
      <c r="BV196" s="1660" t="str">
        <f t="shared" si="325"/>
        <v/>
      </c>
      <c r="BW196" s="1662" t="str">
        <f t="shared" si="326"/>
        <v/>
      </c>
      <c r="BX196" s="1663" t="str">
        <f t="shared" si="327"/>
        <v/>
      </c>
      <c r="BY196" s="1663" t="str">
        <f t="shared" si="328"/>
        <v/>
      </c>
      <c r="BZ196" s="1664" t="str">
        <f t="shared" si="329"/>
        <v/>
      </c>
      <c r="CA196" s="1655" t="str">
        <f t="shared" si="334"/>
        <v/>
      </c>
    </row>
    <row r="197" spans="47:79" ht="24.95" hidden="1" customHeight="1">
      <c r="AU197" s="1657" t="str">
        <f t="shared" si="330"/>
        <v/>
      </c>
      <c r="AV197" s="1657" t="str">
        <f t="shared" si="311"/>
        <v/>
      </c>
      <c r="AW197" s="1657"/>
      <c r="AX197" s="1665"/>
      <c r="AY197" s="1645" t="str">
        <f t="shared" si="312"/>
        <v/>
      </c>
      <c r="AZ197" s="1666"/>
      <c r="BA197" s="1618" t="str">
        <f t="shared" si="313"/>
        <v/>
      </c>
      <c r="BB197" s="1618" t="str">
        <f t="shared" si="314"/>
        <v/>
      </c>
      <c r="BC197" s="1648" t="str">
        <f t="shared" si="315"/>
        <v/>
      </c>
      <c r="BD197" s="1667" t="str">
        <f t="shared" si="316"/>
        <v/>
      </c>
      <c r="BE197" s="1668" t="str">
        <f t="shared" si="317"/>
        <v/>
      </c>
      <c r="BF197" s="1669" t="str">
        <f t="shared" si="331"/>
        <v/>
      </c>
      <c r="BG197" s="1668" t="str">
        <f t="shared" si="318"/>
        <v/>
      </c>
      <c r="BH197" s="1669" t="str">
        <f t="shared" si="319"/>
        <v/>
      </c>
      <c r="BI197" s="1653" t="str">
        <f t="shared" si="332"/>
        <v/>
      </c>
      <c r="BM197" s="1658" t="str">
        <f t="shared" si="333"/>
        <v/>
      </c>
      <c r="BN197" s="1659" t="str">
        <f t="shared" si="320"/>
        <v/>
      </c>
      <c r="BO197" s="1659"/>
      <c r="BP197" s="1659"/>
      <c r="BQ197" s="1645" t="str">
        <f t="shared" si="321"/>
        <v/>
      </c>
      <c r="BR197" s="1620"/>
      <c r="BS197" s="1658" t="str">
        <f t="shared" si="322"/>
        <v/>
      </c>
      <c r="BT197" s="1658" t="str">
        <f t="shared" si="323"/>
        <v/>
      </c>
      <c r="BU197" s="1648" t="str">
        <f t="shared" si="324"/>
        <v/>
      </c>
      <c r="BV197" s="1660" t="str">
        <f t="shared" si="325"/>
        <v/>
      </c>
      <c r="BW197" s="1662" t="str">
        <f t="shared" si="326"/>
        <v/>
      </c>
      <c r="BX197" s="1663" t="str">
        <f t="shared" si="327"/>
        <v/>
      </c>
      <c r="BY197" s="1663" t="str">
        <f t="shared" si="328"/>
        <v/>
      </c>
      <c r="BZ197" s="1664" t="str">
        <f t="shared" si="329"/>
        <v/>
      </c>
      <c r="CA197" s="1655" t="str">
        <f t="shared" si="334"/>
        <v/>
      </c>
    </row>
    <row r="198" spans="47:79" ht="24.95" hidden="1" customHeight="1">
      <c r="AU198" s="1657" t="str">
        <f t="shared" si="330"/>
        <v/>
      </c>
      <c r="AV198" s="1657" t="str">
        <f t="shared" si="311"/>
        <v/>
      </c>
      <c r="AW198" s="1657"/>
      <c r="AX198" s="1665"/>
      <c r="AY198" s="1645" t="str">
        <f t="shared" si="312"/>
        <v/>
      </c>
      <c r="AZ198" s="1666"/>
      <c r="BA198" s="1618" t="str">
        <f t="shared" si="313"/>
        <v/>
      </c>
      <c r="BB198" s="1618" t="str">
        <f t="shared" si="314"/>
        <v/>
      </c>
      <c r="BC198" s="1648" t="str">
        <f t="shared" si="315"/>
        <v/>
      </c>
      <c r="BD198" s="1667" t="str">
        <f t="shared" si="316"/>
        <v/>
      </c>
      <c r="BE198" s="1668" t="str">
        <f t="shared" si="317"/>
        <v/>
      </c>
      <c r="BF198" s="1669" t="str">
        <f t="shared" si="331"/>
        <v/>
      </c>
      <c r="BG198" s="1668" t="str">
        <f t="shared" si="318"/>
        <v/>
      </c>
      <c r="BH198" s="1669" t="str">
        <f t="shared" si="319"/>
        <v/>
      </c>
      <c r="BI198" s="1653" t="str">
        <f t="shared" si="332"/>
        <v/>
      </c>
      <c r="BM198" s="1658" t="str">
        <f t="shared" si="333"/>
        <v/>
      </c>
      <c r="BN198" s="1659" t="str">
        <f t="shared" si="320"/>
        <v/>
      </c>
      <c r="BO198" s="1659"/>
      <c r="BP198" s="1659"/>
      <c r="BQ198" s="1645" t="str">
        <f t="shared" si="321"/>
        <v/>
      </c>
      <c r="BR198" s="1620"/>
      <c r="BS198" s="1658" t="str">
        <f t="shared" si="322"/>
        <v/>
      </c>
      <c r="BT198" s="1658" t="str">
        <f t="shared" si="323"/>
        <v/>
      </c>
      <c r="BU198" s="1648" t="str">
        <f t="shared" si="324"/>
        <v/>
      </c>
      <c r="BV198" s="1660" t="str">
        <f t="shared" si="325"/>
        <v/>
      </c>
      <c r="BW198" s="1662" t="str">
        <f t="shared" si="326"/>
        <v/>
      </c>
      <c r="BX198" s="1663" t="str">
        <f t="shared" si="327"/>
        <v/>
      </c>
      <c r="BY198" s="1663" t="str">
        <f t="shared" si="328"/>
        <v/>
      </c>
      <c r="BZ198" s="1664" t="str">
        <f t="shared" si="329"/>
        <v/>
      </c>
      <c r="CA198" s="1655" t="str">
        <f t="shared" si="334"/>
        <v/>
      </c>
    </row>
    <row r="199" spans="47:79" ht="24.95" hidden="1" customHeight="1">
      <c r="AU199" s="1657" t="str">
        <f t="shared" si="330"/>
        <v/>
      </c>
      <c r="AV199" s="1657" t="str">
        <f t="shared" si="311"/>
        <v/>
      </c>
      <c r="AW199" s="1657"/>
      <c r="AX199" s="1665"/>
      <c r="AY199" s="1645" t="str">
        <f t="shared" si="312"/>
        <v/>
      </c>
      <c r="AZ199" s="1666"/>
      <c r="BA199" s="1618" t="str">
        <f t="shared" si="313"/>
        <v/>
      </c>
      <c r="BB199" s="1618" t="str">
        <f t="shared" si="314"/>
        <v/>
      </c>
      <c r="BC199" s="1648" t="str">
        <f t="shared" si="315"/>
        <v/>
      </c>
      <c r="BD199" s="1667" t="str">
        <f t="shared" si="316"/>
        <v/>
      </c>
      <c r="BE199" s="1668" t="str">
        <f t="shared" si="317"/>
        <v/>
      </c>
      <c r="BF199" s="1669" t="str">
        <f t="shared" si="331"/>
        <v/>
      </c>
      <c r="BG199" s="1668" t="str">
        <f t="shared" si="318"/>
        <v/>
      </c>
      <c r="BH199" s="1669" t="str">
        <f t="shared" si="319"/>
        <v/>
      </c>
      <c r="BI199" s="1653" t="str">
        <f t="shared" si="332"/>
        <v/>
      </c>
      <c r="BM199" s="1658" t="str">
        <f t="shared" si="333"/>
        <v/>
      </c>
      <c r="BN199" s="1659" t="str">
        <f t="shared" si="320"/>
        <v/>
      </c>
      <c r="BO199" s="1659"/>
      <c r="BP199" s="1659"/>
      <c r="BQ199" s="1645" t="str">
        <f t="shared" si="321"/>
        <v/>
      </c>
      <c r="BR199" s="1620"/>
      <c r="BS199" s="1658" t="str">
        <f t="shared" si="322"/>
        <v/>
      </c>
      <c r="BT199" s="1658" t="str">
        <f t="shared" si="323"/>
        <v/>
      </c>
      <c r="BU199" s="1648" t="str">
        <f t="shared" si="324"/>
        <v/>
      </c>
      <c r="BV199" s="1660" t="str">
        <f t="shared" si="325"/>
        <v/>
      </c>
      <c r="BW199" s="1662" t="str">
        <f t="shared" si="326"/>
        <v/>
      </c>
      <c r="BX199" s="1663" t="str">
        <f t="shared" si="327"/>
        <v/>
      </c>
      <c r="BY199" s="1663" t="str">
        <f t="shared" si="328"/>
        <v/>
      </c>
      <c r="BZ199" s="1664" t="str">
        <f t="shared" si="329"/>
        <v/>
      </c>
      <c r="CA199" s="1655" t="str">
        <f t="shared" si="334"/>
        <v/>
      </c>
    </row>
    <row r="200" spans="47:79" ht="24.95" hidden="1" customHeight="1">
      <c r="AU200" s="1657" t="str">
        <f t="shared" si="330"/>
        <v/>
      </c>
      <c r="AV200" s="1657" t="str">
        <f t="shared" si="311"/>
        <v/>
      </c>
      <c r="AW200" s="1657"/>
      <c r="AX200" s="1665"/>
      <c r="AY200" s="1645" t="str">
        <f t="shared" si="312"/>
        <v/>
      </c>
      <c r="AZ200" s="1666"/>
      <c r="BA200" s="1618" t="str">
        <f t="shared" si="313"/>
        <v/>
      </c>
      <c r="BB200" s="1618" t="str">
        <f t="shared" si="314"/>
        <v/>
      </c>
      <c r="BC200" s="1648" t="str">
        <f t="shared" si="315"/>
        <v/>
      </c>
      <c r="BD200" s="1667" t="str">
        <f t="shared" si="316"/>
        <v/>
      </c>
      <c r="BE200" s="1668" t="str">
        <f t="shared" si="317"/>
        <v/>
      </c>
      <c r="BF200" s="1669" t="str">
        <f t="shared" si="331"/>
        <v/>
      </c>
      <c r="BG200" s="1668" t="str">
        <f t="shared" si="318"/>
        <v/>
      </c>
      <c r="BH200" s="1669" t="str">
        <f t="shared" si="319"/>
        <v/>
      </c>
      <c r="BI200" s="1653" t="str">
        <f t="shared" si="332"/>
        <v/>
      </c>
      <c r="BM200" s="1658" t="str">
        <f t="shared" si="333"/>
        <v/>
      </c>
      <c r="BN200" s="1659" t="str">
        <f t="shared" si="320"/>
        <v/>
      </c>
      <c r="BO200" s="1659"/>
      <c r="BP200" s="1659"/>
      <c r="BQ200" s="1645" t="str">
        <f t="shared" si="321"/>
        <v/>
      </c>
      <c r="BR200" s="1620"/>
      <c r="BS200" s="1658" t="str">
        <f t="shared" si="322"/>
        <v/>
      </c>
      <c r="BT200" s="1658" t="str">
        <f t="shared" si="323"/>
        <v/>
      </c>
      <c r="BU200" s="1648" t="str">
        <f t="shared" si="324"/>
        <v/>
      </c>
      <c r="BV200" s="1660" t="str">
        <f t="shared" si="325"/>
        <v/>
      </c>
      <c r="BW200" s="1662" t="str">
        <f t="shared" si="326"/>
        <v/>
      </c>
      <c r="BX200" s="1663" t="str">
        <f t="shared" si="327"/>
        <v/>
      </c>
      <c r="BY200" s="1663" t="str">
        <f t="shared" si="328"/>
        <v/>
      </c>
      <c r="BZ200" s="1664" t="str">
        <f t="shared" si="329"/>
        <v/>
      </c>
      <c r="CA200" s="1655" t="str">
        <f t="shared" si="334"/>
        <v/>
      </c>
    </row>
    <row r="201" spans="47:79" ht="24.95" hidden="1" customHeight="1">
      <c r="AU201" s="1657" t="str">
        <f t="shared" si="330"/>
        <v/>
      </c>
      <c r="AV201" s="1657" t="str">
        <f t="shared" si="311"/>
        <v/>
      </c>
      <c r="AW201" s="1657"/>
      <c r="AX201" s="1665"/>
      <c r="AY201" s="1670" t="str">
        <f t="shared" ref="AY201:AY202" si="335">IF(M84&lt;&gt;"",MID(M84,4,100),"")</f>
        <v/>
      </c>
      <c r="AZ201" s="1666"/>
      <c r="BA201" s="1618" t="str">
        <f t="shared" si="313"/>
        <v/>
      </c>
      <c r="BB201" s="1618" t="str">
        <f t="shared" si="314"/>
        <v/>
      </c>
      <c r="BC201" s="1671" t="str">
        <f t="shared" ref="BC201:BC204" si="336">IF(M84&lt;&gt;"",MID(P84,4,100),"")</f>
        <v/>
      </c>
      <c r="BD201" s="1667" t="str">
        <f t="shared" si="316"/>
        <v/>
      </c>
      <c r="BE201" s="1668" t="str">
        <f t="shared" si="317"/>
        <v/>
      </c>
      <c r="BF201" s="1669" t="str">
        <f t="shared" si="331"/>
        <v/>
      </c>
      <c r="BG201" s="1668" t="str">
        <f t="shared" si="318"/>
        <v/>
      </c>
      <c r="BH201" s="1669" t="str">
        <f t="shared" si="319"/>
        <v/>
      </c>
      <c r="BI201" s="1653" t="str">
        <f t="shared" si="332"/>
        <v/>
      </c>
      <c r="BM201" s="1658" t="str">
        <f t="shared" si="333"/>
        <v/>
      </c>
      <c r="BN201" s="1659" t="str">
        <f t="shared" si="320"/>
        <v/>
      </c>
      <c r="BO201" s="1659"/>
      <c r="BP201" s="1659"/>
      <c r="BQ201" s="1645" t="str">
        <f t="shared" si="321"/>
        <v/>
      </c>
      <c r="BR201" s="1620"/>
      <c r="BS201" s="1658" t="str">
        <f t="shared" si="322"/>
        <v/>
      </c>
      <c r="BT201" s="1658" t="str">
        <f t="shared" si="323"/>
        <v/>
      </c>
      <c r="BU201" s="1648" t="str">
        <f t="shared" si="324"/>
        <v/>
      </c>
      <c r="BV201" s="1660" t="str">
        <f t="shared" si="325"/>
        <v/>
      </c>
      <c r="BW201" s="1662" t="str">
        <f t="shared" si="326"/>
        <v/>
      </c>
      <c r="BX201" s="1663" t="str">
        <f t="shared" si="327"/>
        <v/>
      </c>
      <c r="BY201" s="1663" t="str">
        <f t="shared" si="328"/>
        <v/>
      </c>
      <c r="BZ201" s="1664" t="str">
        <f t="shared" si="329"/>
        <v/>
      </c>
      <c r="CA201" s="1655" t="str">
        <f t="shared" si="334"/>
        <v/>
      </c>
    </row>
    <row r="202" spans="47:79" ht="24.95" hidden="1" customHeight="1">
      <c r="AU202" s="1657" t="str">
        <f t="shared" si="330"/>
        <v/>
      </c>
      <c r="AV202" s="1657" t="str">
        <f t="shared" si="311"/>
        <v/>
      </c>
      <c r="AW202" s="1657"/>
      <c r="AX202" s="1665"/>
      <c r="AY202" s="1670" t="str">
        <f t="shared" si="335"/>
        <v/>
      </c>
      <c r="AZ202" s="1666"/>
      <c r="BA202" s="1618" t="str">
        <f t="shared" si="313"/>
        <v/>
      </c>
      <c r="BB202" s="1618" t="str">
        <f t="shared" si="314"/>
        <v/>
      </c>
      <c r="BC202" s="1671" t="str">
        <f t="shared" si="336"/>
        <v/>
      </c>
      <c r="BD202" s="1667" t="str">
        <f t="shared" si="316"/>
        <v/>
      </c>
      <c r="BE202" s="1668" t="str">
        <f t="shared" si="317"/>
        <v/>
      </c>
      <c r="BF202" s="1669" t="str">
        <f t="shared" si="331"/>
        <v/>
      </c>
      <c r="BG202" s="1668" t="str">
        <f t="shared" si="318"/>
        <v/>
      </c>
      <c r="BH202" s="1669" t="str">
        <f t="shared" si="319"/>
        <v/>
      </c>
      <c r="BI202" s="1653" t="str">
        <f t="shared" si="332"/>
        <v/>
      </c>
      <c r="BM202" s="1658" t="str">
        <f t="shared" si="333"/>
        <v/>
      </c>
      <c r="BN202" s="1659" t="str">
        <f t="shared" si="320"/>
        <v/>
      </c>
      <c r="BO202" s="1659"/>
      <c r="BP202" s="1659"/>
      <c r="BQ202" s="1645" t="str">
        <f t="shared" si="321"/>
        <v/>
      </c>
      <c r="BR202" s="1620"/>
      <c r="BS202" s="1658" t="str">
        <f t="shared" si="322"/>
        <v/>
      </c>
      <c r="BT202" s="1658" t="str">
        <f t="shared" si="323"/>
        <v/>
      </c>
      <c r="BU202" s="1648" t="str">
        <f t="shared" si="324"/>
        <v/>
      </c>
      <c r="BV202" s="1660" t="str">
        <f t="shared" si="325"/>
        <v/>
      </c>
      <c r="BW202" s="1662" t="str">
        <f t="shared" si="326"/>
        <v/>
      </c>
      <c r="BX202" s="1663" t="str">
        <f t="shared" si="327"/>
        <v/>
      </c>
      <c r="BY202" s="1663" t="str">
        <f t="shared" si="328"/>
        <v/>
      </c>
      <c r="BZ202" s="1664" t="str">
        <f t="shared" si="329"/>
        <v/>
      </c>
      <c r="CA202" s="1655" t="str">
        <f t="shared" si="334"/>
        <v/>
      </c>
    </row>
    <row r="203" spans="47:79" ht="24.95" hidden="1" customHeight="1">
      <c r="AU203" s="1657" t="str">
        <f t="shared" si="330"/>
        <v/>
      </c>
      <c r="AV203" s="1657" t="str">
        <f t="shared" si="311"/>
        <v/>
      </c>
      <c r="AW203" s="1657"/>
      <c r="AX203" s="1665"/>
      <c r="AY203" s="1670" t="str">
        <f>IF(M86&lt;&gt;"",MID(M86,4,100),"")</f>
        <v/>
      </c>
      <c r="AZ203" s="1666"/>
      <c r="BA203" s="1618" t="str">
        <f t="shared" si="313"/>
        <v/>
      </c>
      <c r="BB203" s="1618" t="str">
        <f t="shared" si="314"/>
        <v/>
      </c>
      <c r="BC203" s="1671" t="str">
        <f t="shared" si="336"/>
        <v/>
      </c>
      <c r="BD203" s="1667" t="str">
        <f t="shared" si="316"/>
        <v/>
      </c>
      <c r="BE203" s="1668" t="str">
        <f t="shared" si="317"/>
        <v/>
      </c>
      <c r="BF203" s="1669" t="str">
        <f t="shared" si="331"/>
        <v/>
      </c>
      <c r="BG203" s="1668" t="str">
        <f t="shared" si="318"/>
        <v/>
      </c>
      <c r="BH203" s="1669" t="str">
        <f t="shared" si="319"/>
        <v/>
      </c>
      <c r="BI203" s="1653" t="str">
        <f t="shared" si="332"/>
        <v/>
      </c>
      <c r="BM203" s="1658" t="str">
        <f t="shared" si="333"/>
        <v/>
      </c>
      <c r="BN203" s="1659" t="str">
        <f t="shared" si="320"/>
        <v/>
      </c>
      <c r="BO203" s="1659"/>
      <c r="BP203" s="1659"/>
      <c r="BQ203" s="1645" t="str">
        <f t="shared" si="321"/>
        <v/>
      </c>
      <c r="BR203" s="1620"/>
      <c r="BS203" s="1658" t="str">
        <f t="shared" si="322"/>
        <v/>
      </c>
      <c r="BT203" s="1658" t="str">
        <f t="shared" si="323"/>
        <v/>
      </c>
      <c r="BU203" s="1648" t="str">
        <f t="shared" si="324"/>
        <v/>
      </c>
      <c r="BV203" s="1660" t="str">
        <f t="shared" si="325"/>
        <v/>
      </c>
      <c r="BW203" s="1662" t="str">
        <f t="shared" si="326"/>
        <v/>
      </c>
      <c r="BX203" s="1663" t="str">
        <f t="shared" si="327"/>
        <v/>
      </c>
      <c r="BY203" s="1663" t="str">
        <f t="shared" si="328"/>
        <v/>
      </c>
      <c r="BZ203" s="1664" t="str">
        <f t="shared" si="329"/>
        <v/>
      </c>
      <c r="CA203" s="1655" t="str">
        <f t="shared" si="334"/>
        <v/>
      </c>
    </row>
    <row r="204" spans="47:79" ht="24.95" hidden="1" customHeight="1">
      <c r="AU204" s="1657" t="str">
        <f t="shared" si="330"/>
        <v/>
      </c>
      <c r="AV204" s="1657" t="str">
        <f t="shared" si="311"/>
        <v/>
      </c>
      <c r="AW204" s="1657"/>
      <c r="AX204" s="1665"/>
      <c r="AY204" s="1670" t="str">
        <f>IF(M87&lt;&gt;"",MID(M87,4,100),"")</f>
        <v/>
      </c>
      <c r="AZ204" s="1666"/>
      <c r="BA204" s="1618" t="str">
        <f t="shared" si="313"/>
        <v/>
      </c>
      <c r="BB204" s="1618" t="str">
        <f t="shared" si="314"/>
        <v/>
      </c>
      <c r="BC204" s="1671" t="str">
        <f t="shared" si="336"/>
        <v/>
      </c>
      <c r="BD204" s="1667" t="str">
        <f t="shared" si="316"/>
        <v/>
      </c>
      <c r="BE204" s="1668" t="str">
        <f t="shared" si="317"/>
        <v/>
      </c>
      <c r="BF204" s="1669" t="str">
        <f t="shared" si="331"/>
        <v/>
      </c>
      <c r="BG204" s="1668" t="str">
        <f t="shared" si="318"/>
        <v/>
      </c>
      <c r="BH204" s="1669" t="str">
        <f t="shared" si="319"/>
        <v/>
      </c>
      <c r="BI204" s="1653" t="str">
        <f t="shared" si="332"/>
        <v/>
      </c>
      <c r="BM204" s="1658" t="str">
        <f t="shared" si="333"/>
        <v/>
      </c>
      <c r="BN204" s="1659" t="str">
        <f t="shared" si="320"/>
        <v/>
      </c>
      <c r="BO204" s="1659"/>
      <c r="BP204" s="1659"/>
      <c r="BQ204" s="1645" t="str">
        <f t="shared" si="321"/>
        <v/>
      </c>
      <c r="BR204" s="1620"/>
      <c r="BS204" s="1658" t="str">
        <f t="shared" si="322"/>
        <v/>
      </c>
      <c r="BT204" s="1658" t="str">
        <f t="shared" si="323"/>
        <v/>
      </c>
      <c r="BU204" s="1648" t="str">
        <f t="shared" si="324"/>
        <v/>
      </c>
      <c r="BV204" s="1660" t="str">
        <f t="shared" si="325"/>
        <v/>
      </c>
      <c r="BW204" s="1662" t="str">
        <f t="shared" si="326"/>
        <v/>
      </c>
      <c r="BX204" s="1663" t="str">
        <f t="shared" si="327"/>
        <v/>
      </c>
      <c r="BY204" s="1663" t="str">
        <f t="shared" si="328"/>
        <v/>
      </c>
      <c r="BZ204" s="1664" t="str">
        <f t="shared" si="329"/>
        <v/>
      </c>
      <c r="CA204" s="1655" t="str">
        <f t="shared" si="334"/>
        <v/>
      </c>
    </row>
    <row r="205" spans="47:79" ht="24.95" customHeight="1">
      <c r="AU205" s="1497"/>
      <c r="BG205" s="1672" t="s">
        <v>1605</v>
      </c>
      <c r="BH205" s="1673" t="e">
        <f>quote_currency_symbol</f>
        <v>#NAME?</v>
      </c>
      <c r="BI205" s="1674">
        <f>SUM(BI125:BI204)</f>
        <v>0</v>
      </c>
      <c r="BM205" s="1496"/>
      <c r="BY205" s="1672" t="s">
        <v>1605</v>
      </c>
      <c r="BZ205" s="1672" t="e">
        <f>quote_currency_symbol</f>
        <v>#NAME?</v>
      </c>
      <c r="CA205" s="1675">
        <f>SUM(CA125:CA204)</f>
        <v>0</v>
      </c>
    </row>
    <row r="206" spans="47:79" ht="24.95" customHeight="1">
      <c r="AU206" s="1676" t="s">
        <v>1607</v>
      </c>
      <c r="BG206" s="1677" t="s">
        <v>742</v>
      </c>
      <c r="BH206" s="1673" t="e">
        <f>quote_currency_symbol</f>
        <v>#NAME?</v>
      </c>
      <c r="BI206" s="1678">
        <f>Y89</f>
        <v>0</v>
      </c>
      <c r="BM206" s="1679" t="s">
        <v>1607</v>
      </c>
      <c r="BY206" s="1677" t="s">
        <v>742</v>
      </c>
      <c r="BZ206" s="1672" t="e">
        <f>quote_currency_symbol</f>
        <v>#NAME?</v>
      </c>
      <c r="CA206" s="1663">
        <f>Y89</f>
        <v>0</v>
      </c>
    </row>
    <row r="207" spans="47:79" ht="24.95" customHeight="1">
      <c r="BG207" s="1677" t="s">
        <v>743</v>
      </c>
      <c r="BH207" s="1673" t="e">
        <f>quote_currency_symbol</f>
        <v>#NAME?</v>
      </c>
      <c r="BI207" s="1678">
        <f>Y90</f>
        <v>0</v>
      </c>
      <c r="BY207" s="1677" t="s">
        <v>743</v>
      </c>
      <c r="BZ207" s="1672" t="e">
        <f>quote_currency_symbol</f>
        <v>#NAME?</v>
      </c>
      <c r="CA207" s="1663">
        <f>Y90</f>
        <v>0</v>
      </c>
    </row>
    <row r="208" spans="47:79" ht="24.95" customHeight="1">
      <c r="BG208" s="1677" t="s">
        <v>1606</v>
      </c>
      <c r="BH208" s="1673" t="e">
        <f>quote_currency_symbol</f>
        <v>#NAME?</v>
      </c>
      <c r="BI208" s="1678">
        <f>BI205-BI206-BI207</f>
        <v>0</v>
      </c>
      <c r="BY208" s="1677" t="s">
        <v>1606</v>
      </c>
      <c r="BZ208" s="1672" t="e">
        <f>quote_currency_symbol</f>
        <v>#NAME?</v>
      </c>
      <c r="CA208" s="1663">
        <f>CA205-CA206-CA207</f>
        <v>0</v>
      </c>
    </row>
  </sheetData>
  <sheetProtection algorithmName="SHA-512" hashValue="IRRZWtX0RbHRzlLe8tUtMMco6HblcOBEIUKhV/14Cv9ogrf/9v0T5jxCb8/0g9UbY9yE9E9M+C6XHfT4JZqZ8Q==" saltValue="dCA7d/Nvkk2pBg0n6CDaVw==" spinCount="100000" sheet="1" objects="1" scenarios="1"/>
  <mergeCells count="40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AU119:AV119"/>
    <mergeCell ref="BM119:BN119"/>
    <mergeCell ref="V7:W7"/>
    <mergeCell ref="X7:Y7"/>
    <mergeCell ref="BM115:BQ116"/>
    <mergeCell ref="BC116:BG118"/>
    <mergeCell ref="BI116:BI118"/>
    <mergeCell ref="S2:V2"/>
    <mergeCell ref="X6:Y6"/>
    <mergeCell ref="C22:E24"/>
    <mergeCell ref="S4:V4"/>
    <mergeCell ref="K6:L6"/>
    <mergeCell ref="V6:W6"/>
    <mergeCell ref="J4:M4"/>
  </mergeCells>
  <phoneticPr fontId="37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A1A1-61EC-495F-B71A-6B29309F4824}">
  <sheetPr codeName="Sheet47"/>
  <dimension ref="A1:BB204"/>
  <sheetViews>
    <sheetView showGridLines="0" zoomScale="80" zoomScaleNormal="80" zoomScaleSheetLayoutView="80" workbookViewId="0">
      <pane ySplit="7" topLeftCell="A8" activePane="bottomLeft" state="frozen"/>
      <selection pane="bottomLeft" activeCell="Q18" sqref="Q18"/>
    </sheetView>
  </sheetViews>
  <sheetFormatPr defaultRowHeight="24.95" customHeight="1"/>
  <cols>
    <col min="1" max="1" width="1.5703125" style="372" customWidth="1"/>
    <col min="2" max="2" width="4" style="372" customWidth="1"/>
    <col min="3" max="3" width="32" style="372" customWidth="1"/>
    <col min="4" max="4" width="8.7109375" style="372" customWidth="1"/>
    <col min="5" max="5" width="31.42578125" style="372" customWidth="1"/>
    <col min="6" max="6" width="3.42578125" style="935" customWidth="1"/>
    <col min="7" max="7" width="2.140625" style="215" hidden="1" customWidth="1"/>
    <col min="8" max="8" width="3.140625" style="215" hidden="1" customWidth="1"/>
    <col min="9" max="9" width="2.7109375" style="378" customWidth="1"/>
    <col min="10" max="10" width="8" style="143" customWidth="1"/>
    <col min="11" max="11" width="6.28515625" style="143" customWidth="1"/>
    <col min="12" max="12" width="12.42578125" style="579" customWidth="1"/>
    <col min="13" max="13" width="47.42578125" style="306" customWidth="1"/>
    <col min="14" max="14" width="11.28515625" style="580" customWidth="1"/>
    <col min="15" max="15" width="15" style="143" customWidth="1"/>
    <col min="16" max="18" width="20.7109375" style="143" customWidth="1"/>
    <col min="19" max="19" width="3" style="280" customWidth="1"/>
    <col min="20" max="20" width="18.28515625" style="280" customWidth="1"/>
    <col min="21" max="21" width="17.85546875" style="665" customWidth="1"/>
    <col min="22" max="22" width="3.28515625" style="673" customWidth="1"/>
    <col min="23" max="23" width="18.7109375" style="665" customWidth="1"/>
    <col min="24" max="24" width="2.85546875" style="4" customWidth="1"/>
    <col min="25" max="26" width="20.7109375" style="665" customWidth="1"/>
    <col min="27" max="27" width="17.42578125" style="372" customWidth="1"/>
    <col min="28" max="28" width="20.85546875" style="372" customWidth="1"/>
    <col min="29" max="29" width="18.140625" style="372" customWidth="1"/>
    <col min="30" max="30" width="20.5703125" style="143" customWidth="1"/>
    <col min="31" max="32" width="17.42578125" style="372" customWidth="1"/>
    <col min="33" max="33" width="11.28515625" style="143" customWidth="1"/>
    <col min="34" max="34" width="18.42578125" style="372" customWidth="1"/>
    <col min="35" max="35" width="21.42578125" style="372" customWidth="1"/>
    <col min="36" max="36" width="17.42578125" style="372" customWidth="1"/>
    <col min="37" max="37" width="21.42578125" style="372" customWidth="1"/>
    <col min="38" max="39" width="17.42578125" style="372" customWidth="1"/>
    <col min="40" max="41" width="19.85546875" style="353" customWidth="1"/>
    <col min="42" max="45" width="19.85546875" style="126" customWidth="1"/>
    <col min="46" max="46" width="13.85546875" style="126" customWidth="1"/>
    <col min="47" max="47" width="19.140625" style="126" customWidth="1"/>
    <col min="48" max="48" width="21.5703125" style="126" customWidth="1"/>
    <col min="49" max="49" width="21.5703125" style="143" customWidth="1"/>
    <col min="50" max="50" width="21.28515625" style="204" customWidth="1"/>
    <col min="51" max="51" width="38.5703125" style="204" bestFit="1" customWidth="1"/>
    <col min="52" max="52" width="22.140625" style="204" customWidth="1"/>
    <col min="53" max="54" width="17.7109375" style="372" customWidth="1"/>
    <col min="55" max="55" width="18.5703125" style="372" customWidth="1"/>
    <col min="56" max="56" width="17.85546875" style="372" customWidth="1"/>
    <col min="57" max="57" width="15.28515625" style="372" customWidth="1"/>
    <col min="58" max="60" width="9.140625" style="372"/>
    <col min="61" max="61" width="49.7109375" style="372" customWidth="1"/>
    <col min="62" max="16384" width="9.140625" style="372"/>
  </cols>
  <sheetData>
    <row r="1" spans="1:54" ht="8.25" customHeight="1" thickBot="1">
      <c r="B1" s="577"/>
      <c r="C1" s="578"/>
      <c r="D1" s="578"/>
      <c r="E1" s="578"/>
      <c r="F1" s="937"/>
      <c r="R1" s="379"/>
    </row>
    <row r="2" spans="1:54" ht="38.25">
      <c r="B2" s="942"/>
      <c r="C2" s="943"/>
      <c r="D2" s="943"/>
      <c r="E2" s="943"/>
      <c r="F2" s="959"/>
      <c r="G2" s="624"/>
      <c r="H2" s="624"/>
      <c r="I2" s="818"/>
      <c r="J2" s="649" t="s">
        <v>1892</v>
      </c>
      <c r="K2" s="581"/>
      <c r="L2" s="581"/>
      <c r="M2" s="581"/>
      <c r="N2" s="581"/>
      <c r="O2" s="581"/>
      <c r="P2" s="649"/>
      <c r="Q2" s="649"/>
      <c r="R2" s="887"/>
      <c r="S2" s="671"/>
      <c r="T2" s="671"/>
      <c r="U2" s="666"/>
      <c r="V2" s="671"/>
      <c r="W2" s="666"/>
      <c r="X2" s="671"/>
      <c r="Y2" s="666"/>
      <c r="Z2" s="666"/>
    </row>
    <row r="3" spans="1:54" ht="8.25" customHeight="1">
      <c r="B3" s="944"/>
      <c r="C3" s="630"/>
      <c r="D3" s="630"/>
      <c r="E3" s="630"/>
      <c r="F3" s="960"/>
      <c r="G3" s="625"/>
      <c r="H3" s="625"/>
      <c r="I3" s="819"/>
      <c r="J3" s="582"/>
      <c r="K3" s="582"/>
      <c r="L3" s="582"/>
      <c r="M3" s="582"/>
      <c r="N3" s="582"/>
      <c r="O3" s="582"/>
      <c r="P3" s="582"/>
      <c r="Q3" s="582"/>
      <c r="R3" s="828"/>
      <c r="S3" s="672"/>
      <c r="T3" s="672"/>
      <c r="U3" s="667"/>
      <c r="V3" s="672"/>
      <c r="W3" s="667"/>
      <c r="X3" s="672"/>
      <c r="Y3" s="667"/>
      <c r="Z3" s="667"/>
    </row>
    <row r="4" spans="1:54" ht="35.1" customHeight="1">
      <c r="A4" s="583"/>
      <c r="B4" s="945"/>
      <c r="C4" s="631"/>
      <c r="D4" s="631"/>
      <c r="E4" s="631"/>
      <c r="F4" s="961"/>
      <c r="J4" s="697" t="s">
        <v>1997</v>
      </c>
      <c r="K4" s="768"/>
      <c r="L4" s="1907" t="s">
        <v>20</v>
      </c>
      <c r="M4" s="1908"/>
      <c r="N4" s="971">
        <f>IF(invoice_price_type="","",MID(invoice_price_type,1,2)*1)</f>
        <v>1</v>
      </c>
      <c r="O4" s="970" t="s">
        <v>2066</v>
      </c>
      <c r="P4" s="972"/>
      <c r="Q4" s="973"/>
      <c r="R4" s="973">
        <v>4001</v>
      </c>
      <c r="T4" s="822"/>
      <c r="U4" s="822"/>
      <c r="V4" s="822"/>
    </row>
    <row r="5" spans="1:54" s="143" customFormat="1" ht="9" customHeight="1">
      <c r="A5" s="584"/>
      <c r="B5" s="946"/>
      <c r="C5" s="632"/>
      <c r="D5" s="632"/>
      <c r="E5" s="632"/>
      <c r="F5" s="962"/>
      <c r="G5" s="623"/>
      <c r="H5" s="623"/>
      <c r="I5" s="378"/>
      <c r="L5" s="579"/>
      <c r="M5" s="306"/>
      <c r="N5" s="580"/>
      <c r="R5" s="379"/>
      <c r="S5" s="280"/>
      <c r="T5" s="280"/>
      <c r="U5" s="668"/>
      <c r="V5" s="674"/>
      <c r="W5" s="668"/>
      <c r="X5" s="280"/>
      <c r="Y5" s="668"/>
      <c r="Z5" s="668"/>
      <c r="AN5" s="126"/>
      <c r="AO5" s="126"/>
      <c r="AP5" s="126"/>
      <c r="AQ5" s="126"/>
      <c r="AR5" s="126"/>
      <c r="AS5" s="126"/>
      <c r="AT5" s="126"/>
      <c r="AU5" s="126"/>
      <c r="AV5" s="126"/>
      <c r="AX5" s="204"/>
      <c r="AY5" s="204"/>
      <c r="AZ5" s="204"/>
    </row>
    <row r="6" spans="1:54" s="126" customFormat="1" ht="28.5" customHeight="1">
      <c r="A6" s="587"/>
      <c r="B6" s="947"/>
      <c r="C6" s="894" t="s">
        <v>1679</v>
      </c>
      <c r="D6" s="894">
        <v>1</v>
      </c>
      <c r="E6" s="894" t="str">
        <f>IF(invoice_status=-1,"Edit",IF(invoice_status=1,"Issue",IF(invoice_status=2,"Fullfilied",IF(invoice_status=3,"Partial",1))))</f>
        <v>Issue</v>
      </c>
      <c r="F6" s="961"/>
      <c r="G6" s="626"/>
      <c r="H6" s="626"/>
      <c r="I6" s="820"/>
      <c r="J6" s="926" t="s">
        <v>47</v>
      </c>
      <c r="K6" s="927" t="s">
        <v>741</v>
      </c>
      <c r="L6" s="927"/>
      <c r="M6" s="926" t="s">
        <v>105</v>
      </c>
      <c r="N6" s="926" t="s">
        <v>152</v>
      </c>
      <c r="O6" s="926" t="s">
        <v>1681</v>
      </c>
      <c r="P6" s="926" t="s">
        <v>1989</v>
      </c>
      <c r="Q6" s="926" t="s">
        <v>2065</v>
      </c>
      <c r="R6" s="926" t="s">
        <v>735</v>
      </c>
      <c r="S6" s="928" t="str">
        <f>"តម្លៃឯកតា"&amp;IF(invoice_branch="",""," ("&amp;invoice_currency_symbol&amp;")")</f>
        <v>តម្លៃឯកតា ($)</v>
      </c>
      <c r="T6" s="928"/>
      <c r="U6" s="928"/>
      <c r="V6" s="927" t="str">
        <f>"បញ្ចុះតម្លៃ"&amp;IF(invoice_branch="",""," ("&amp;invoice_currency_symbol&amp;")")</f>
        <v>បញ្ចុះតម្លៃ ($)</v>
      </c>
      <c r="W6" s="927"/>
      <c r="X6" s="927" t="str">
        <f>"សរុបតម្លៃ"&amp;IF(invoice_branch="",""," ("&amp;invoice_currency_symbol&amp;")")</f>
        <v>សរុបតម្លៃ ($)</v>
      </c>
      <c r="Y6" s="927"/>
      <c r="Z6" s="926" t="s">
        <v>71</v>
      </c>
      <c r="AA6" s="926" t="s">
        <v>1612</v>
      </c>
      <c r="AB6" s="926" t="s">
        <v>1911</v>
      </c>
      <c r="AC6" s="926" t="s">
        <v>46</v>
      </c>
      <c r="AD6" s="926" t="s">
        <v>63</v>
      </c>
      <c r="AE6" s="926" t="s">
        <v>1924</v>
      </c>
      <c r="AF6" s="926" t="s">
        <v>280</v>
      </c>
      <c r="AG6" s="926" t="s">
        <v>278</v>
      </c>
      <c r="AH6" s="926" t="s">
        <v>2060</v>
      </c>
      <c r="AI6" s="926" t="s">
        <v>1913</v>
      </c>
      <c r="AJ6" s="926" t="s">
        <v>2059</v>
      </c>
      <c r="AK6" s="926" t="s">
        <v>2059</v>
      </c>
      <c r="AL6" s="926" t="s">
        <v>2056</v>
      </c>
      <c r="AM6" s="926" t="s">
        <v>1988</v>
      </c>
      <c r="AN6" s="926" t="s">
        <v>1914</v>
      </c>
      <c r="AO6" s="926" t="s">
        <v>1915</v>
      </c>
      <c r="AP6" s="926" t="s">
        <v>1916</v>
      </c>
      <c r="AQ6" s="926" t="s">
        <v>1917</v>
      </c>
      <c r="AR6" s="926" t="s">
        <v>1919</v>
      </c>
      <c r="AS6" s="926" t="s">
        <v>2084</v>
      </c>
      <c r="AT6" s="926"/>
      <c r="AU6" s="926"/>
      <c r="AV6" s="926"/>
      <c r="AW6" s="926"/>
      <c r="AX6" s="926" t="s">
        <v>2110</v>
      </c>
      <c r="AY6" s="926" t="s">
        <v>2112</v>
      </c>
      <c r="AZ6" s="926" t="s">
        <v>2109</v>
      </c>
      <c r="BA6" s="926"/>
      <c r="BB6" s="926"/>
    </row>
    <row r="7" spans="1:54" ht="19.5" customHeight="1">
      <c r="A7" s="583"/>
      <c r="B7" s="948"/>
      <c r="C7" s="633"/>
      <c r="D7" s="633"/>
      <c r="E7" s="633"/>
      <c r="F7" s="963"/>
      <c r="G7" s="212"/>
      <c r="I7" s="378" t="s">
        <v>1903</v>
      </c>
      <c r="J7" s="889" t="s">
        <v>9</v>
      </c>
      <c r="K7" s="909" t="s">
        <v>111</v>
      </c>
      <c r="L7" s="909"/>
      <c r="M7" s="889" t="s">
        <v>103</v>
      </c>
      <c r="N7" s="889" t="s">
        <v>76</v>
      </c>
      <c r="O7" s="889" t="s">
        <v>732</v>
      </c>
      <c r="P7" s="889" t="s">
        <v>1990</v>
      </c>
      <c r="Q7" s="889" t="s">
        <v>2064</v>
      </c>
      <c r="R7" s="889" t="s">
        <v>473</v>
      </c>
      <c r="S7" s="909" t="s">
        <v>2057</v>
      </c>
      <c r="T7" s="909"/>
      <c r="U7" s="889" t="s">
        <v>2063</v>
      </c>
      <c r="V7" s="909" t="s">
        <v>95</v>
      </c>
      <c r="W7" s="909"/>
      <c r="X7" s="917" t="s">
        <v>94</v>
      </c>
      <c r="Y7" s="917"/>
      <c r="Z7" s="889" t="s">
        <v>87</v>
      </c>
      <c r="AA7" s="921" t="s">
        <v>303</v>
      </c>
      <c r="AB7" s="889" t="s">
        <v>1920</v>
      </c>
      <c r="AC7" s="889" t="str">
        <f>"Dis Price"</f>
        <v>Dis Price</v>
      </c>
      <c r="AD7" s="889" t="s">
        <v>2062</v>
      </c>
      <c r="AE7" s="889" t="s">
        <v>77</v>
      </c>
      <c r="AF7" s="889" t="s">
        <v>29</v>
      </c>
      <c r="AG7" s="889" t="s">
        <v>718</v>
      </c>
      <c r="AH7" s="889" t="s">
        <v>737</v>
      </c>
      <c r="AI7" s="889" t="s">
        <v>738</v>
      </c>
      <c r="AJ7" s="889" t="s">
        <v>2058</v>
      </c>
      <c r="AK7" s="889" t="s">
        <v>2061</v>
      </c>
      <c r="AL7" s="889" t="s">
        <v>2055</v>
      </c>
      <c r="AM7" s="889" t="s">
        <v>1987</v>
      </c>
      <c r="AN7" s="889" t="s">
        <v>1626</v>
      </c>
      <c r="AO7" s="889" t="s">
        <v>1921</v>
      </c>
      <c r="AP7" s="889" t="s">
        <v>1922</v>
      </c>
      <c r="AQ7" s="889" t="s">
        <v>1923</v>
      </c>
      <c r="AR7" s="889" t="s">
        <v>1918</v>
      </c>
      <c r="AS7" s="889" t="s">
        <v>2083</v>
      </c>
      <c r="AT7" s="889" t="s">
        <v>2102</v>
      </c>
      <c r="AU7" s="889" t="s">
        <v>2103</v>
      </c>
      <c r="AV7" s="889" t="s">
        <v>737</v>
      </c>
      <c r="AW7" s="889" t="s">
        <v>2058</v>
      </c>
      <c r="AX7" s="889" t="s">
        <v>2111</v>
      </c>
      <c r="AY7" s="889"/>
      <c r="AZ7" s="889"/>
      <c r="BA7" s="889" t="s">
        <v>2283</v>
      </c>
      <c r="BB7" s="889" t="s">
        <v>2284</v>
      </c>
    </row>
    <row r="8" spans="1:54" ht="27" customHeight="1">
      <c r="A8" s="583"/>
      <c r="B8" s="949"/>
      <c r="C8" s="930" t="s">
        <v>2803</v>
      </c>
      <c r="D8" s="760"/>
      <c r="E8" s="931" t="s">
        <v>2798</v>
      </c>
      <c r="F8" s="964">
        <v>20</v>
      </c>
      <c r="G8" s="627"/>
      <c r="H8" s="627"/>
      <c r="I8" s="378">
        <f>IF(M8="","",MID(M8,1,5)*1)</f>
        <v>1</v>
      </c>
      <c r="J8" s="907">
        <f>IF(M8="","",1)</f>
        <v>1</v>
      </c>
      <c r="K8" s="910">
        <f t="shared" ref="K8:K71" si="0">IF(M8="","",VLOOKUP(I8,product_list,2,FALSE))</f>
        <v>0</v>
      </c>
      <c r="L8" s="911"/>
      <c r="M8" s="908" t="s">
        <v>2092</v>
      </c>
      <c r="N8" s="906">
        <v>2</v>
      </c>
      <c r="O8" s="906"/>
      <c r="P8" s="905" t="s">
        <v>2789</v>
      </c>
      <c r="Q8" s="904"/>
      <c r="R8" s="912"/>
      <c r="S8" s="890" t="str">
        <f t="shared" ref="S8" si="1">IF(M8="","",invoice_currency_symbol)</f>
        <v>$</v>
      </c>
      <c r="T8" s="914"/>
      <c r="U8" s="915">
        <f>IF(M8="","",ROUND(IF(AS8&gt;0,AS8,IF(P8=AN8,AF8,IF(P8=AO8,ROUND(AF8/AA8,9),IF(P8=AP8,ROUND(AF8/AB8,9))))),2))</f>
        <v>0</v>
      </c>
      <c r="V8" s="918" t="str">
        <f t="shared" ref="V8" si="2">IF(W8=0,"",invoice_currency_symbol)</f>
        <v/>
      </c>
      <c r="W8" s="919"/>
      <c r="X8" s="920" t="str">
        <f t="shared" ref="X8" si="3">IF(M8="","",invoice_currency_symbol)</f>
        <v>$</v>
      </c>
      <c r="Y8" s="913">
        <f>IF(M8="","",ROUND(IF(T8&gt;0,N8*T8-W8,N8*U8-W8),2))</f>
        <v>0</v>
      </c>
      <c r="Z8" s="916"/>
      <c r="AA8" s="271" cm="1">
        <f t="array" ref="AA8">IF(M8="","",IF(P8=AN8,1,Slookup(MID(AN8,1,3)*1,UomConversion!$D$8:$J$500,5,UomConversion!$E$8:$E$500,MID(P8,1,3)*1,UomConversion!$J$8:$J$500,1)))</f>
        <v>0</v>
      </c>
      <c r="AB8" s="271">
        <f t="shared" ref="AB8:AB71" si="4">IF(AND(M8="",ISNA(VLOOKUP(I8,product_list,19,FALSE))),"",VLOOKUP(I8,product_list,19,FALSE))</f>
        <v>0</v>
      </c>
      <c r="AC8" s="271">
        <f>IF(M8="","",W8)</f>
        <v>0</v>
      </c>
      <c r="AD8" s="271" t="b">
        <f>IF(M8="","",IF(P8=AN8,AE8,IF(P8=AO8,ROUND(AE8/AA8,9),IF(P8=AP8,ROUND(AE8/AB8,9)))))</f>
        <v>0</v>
      </c>
      <c r="AE8" s="271" t="str">
        <f t="shared" ref="AE8:AE71" si="5">IF(M8="","",VLOOKUP(I8,product_list,12,FALSE))</f>
        <v>ផលិតផលប្រទេសកម្ពុជា</v>
      </c>
      <c r="AF8" s="271">
        <f t="shared" ref="AF8" si="6">IFERROR(IF(M8="","",IF(invoice_price_type_id=1,VLOOKUP(I8,product_list,13,FALSE),IF(invoice_price_type_id=2,VLOOKUP(I8,product_list,14,FALSE),IF(invoice_price_type_id=3,VLOOKUP(I8,product_list,15,FALSE),IF(invoice_price_type_id=4,VLOOKUP(I8,product_list,16,FALSE),IF(invoice_price_type_id=5,VLOOKUP(I8,product_list,12,FALSE),"")))))),"")</f>
        <v>0</v>
      </c>
      <c r="AG8" s="271">
        <f t="shared" ref="AG8:AG71" si="7">IF(M8="","",VLOOKUP(I8,product_list,20,FALSE))</f>
        <v>1</v>
      </c>
      <c r="AH8" s="271">
        <v>1</v>
      </c>
      <c r="AI8" s="271">
        <v>0</v>
      </c>
      <c r="AJ8" s="271">
        <v>0</v>
      </c>
      <c r="AK8" s="271">
        <v>0</v>
      </c>
      <c r="AL8" s="271">
        <v>-3</v>
      </c>
      <c r="AM8" s="271">
        <v>18</v>
      </c>
      <c r="AN8" s="271" t="str">
        <f t="shared" ref="AN8:AN71" si="8">IF(M8="","",VLOOKUP(I8,product_list,11,FALSE))</f>
        <v>100 width:4m</v>
      </c>
      <c r="AO8" s="271" t="str">
        <f>IF(OR(ISNA(MATCH(MID(AN8,1,3)*1,UomConversion!$D$8:$D$500,0)),M8=""),"",IF(AT8="","",AT8))</f>
        <v/>
      </c>
      <c r="AP8" s="271" t="str">
        <f>IF(AND(AQ8&gt;0,COUNTIFS(UomConversion!$D$8:$D$500,MID(AN8,1,3)*1,UomConversion!$J$8:$J$500,1)&gt;1),TEXT(AQ8,"000")&amp;"."&amp;VLOOKUP(AQ8,uom_list,5,FALSE),"")</f>
        <v/>
      </c>
      <c r="AQ8" s="271" t="str">
        <f>IF(AND(AU8&gt;0,M8&lt;&gt;""),AU8,"")</f>
        <v/>
      </c>
      <c r="AR8" s="271" t="str">
        <f>IF(M8="","",IF(AA8&gt;0,AB8/AA8,""))</f>
        <v/>
      </c>
      <c r="AS8" s="271">
        <f>IF(M8="","",SUMIFS(ProductPrice!$N$28:$N$10020,ProductPrice!$D$28:$D$10020,I8,ProductPrice!$G$28:$G$10020,invoice_branch_id,ProductPrice!$H$28:$H$10020,invoice_price_type_id,ProductPrice!$I$28:$I$10020,MID(P8,1,3)*1,ProductPrice!$Q$28:$Q$10020,1))</f>
        <v>0</v>
      </c>
      <c r="AT8" s="271" t="str">
        <f t="shared" ref="AT8:AT71" si="9">IF(OR(ISNA(VLOOKUP(MID(AN8,1,3)*1,uom_converion_list,2,FALSE)),M8=""),"",TEXT(VLOOKUP(MID(AN8,1,3)*1,uom_converion_list,2,FALSE),"000")&amp;"."&amp;VLOOKUP(VLOOKUP(MID(AN8,1,3)*1,uom_converion_list,2,FALSE),uom_list,5,FALSE))</f>
        <v/>
      </c>
      <c r="AU8" s="271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271">
        <f t="shared" ref="AV8" si="10">IF(M8="","",IF(invoice_location_id=1,BA8,IF(invoice_location_id=2,BB8,0)))</f>
        <v>26</v>
      </c>
      <c r="AW8" s="271">
        <v>26</v>
      </c>
      <c r="AX8" s="271" t="e">
        <f>IF(M8="","",IF((N8+O8)*(AB8/AA8)&gt;0,(N8+O8)*(AB8/AA8),0))</f>
        <v>#DIV/0!</v>
      </c>
      <c r="AY8" s="271" t="e">
        <f>IF(M8="","",SUMIFS($AX$8:AX8,$I$8:I8,I8))</f>
        <v>#DIV/0!</v>
      </c>
      <c r="AZ8" s="271" t="e">
        <f>IF(M8="","",AL8-AY8)</f>
        <v>#DIV/0!</v>
      </c>
      <c r="BA8" s="271">
        <v>26</v>
      </c>
      <c r="BB8" s="271" t="e">
        <v>#VALUE!</v>
      </c>
    </row>
    <row r="9" spans="1:54" ht="27" customHeight="1">
      <c r="A9" s="583"/>
      <c r="B9" s="948"/>
      <c r="C9" s="893">
        <v>46190</v>
      </c>
      <c r="D9" s="932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895" t="str">
        <f>RIGHT(YEAR(C9),2)&amp;IF(invoice_type_id="","",VLOOKUP(invoice_type_id,invoice_type_list,3,FALSE))&amp;TEXT(invoice_no,"000000")</f>
        <v>26INV000021</v>
      </c>
      <c r="F9" s="965">
        <v>21</v>
      </c>
      <c r="G9" s="212"/>
      <c r="I9" s="378" t="str">
        <f t="shared" ref="I9:I72" si="11">IF(M9="","",MID(M9,1,5)*1)</f>
        <v/>
      </c>
      <c r="J9" s="907" t="str">
        <f>IF(M9="","",J8+1)</f>
        <v/>
      </c>
      <c r="K9" s="910" t="str">
        <f t="shared" si="0"/>
        <v/>
      </c>
      <c r="L9" s="911"/>
      <c r="M9" s="908"/>
      <c r="N9" s="906"/>
      <c r="O9" s="906"/>
      <c r="P9" s="905"/>
      <c r="Q9" s="904"/>
      <c r="R9" s="912"/>
      <c r="S9" s="890" t="str">
        <f t="shared" ref="S9" si="12">IF(M9="","",invoice_currency_symbol)</f>
        <v/>
      </c>
      <c r="T9" s="914"/>
      <c r="U9" s="915" t="str">
        <f t="shared" ref="U9:U72" si="13">IF(M9="","",ROUND(IF(AS9&gt;0,AS9,IF(P9=AN9,AF9,IF(P9=AO9,ROUND(AF9/AA9,9),IF(P9=AP9,ROUND(AF9/AB9,9))))),2))</f>
        <v/>
      </c>
      <c r="V9" s="918" t="str">
        <f t="shared" ref="V9" si="14">IF(W9=0,"",invoice_currency_symbol)</f>
        <v/>
      </c>
      <c r="W9" s="919"/>
      <c r="X9" s="920" t="str">
        <f t="shared" ref="X9" si="15">IF(M9="","",invoice_currency_symbol)</f>
        <v/>
      </c>
      <c r="Y9" s="913" t="str">
        <f t="shared" ref="Y9:Y72" si="16">IF(M9="","",ROUND(IF(T9&gt;0,N9*T9-W9,N9*U9-W9),2))</f>
        <v/>
      </c>
      <c r="Z9" s="916"/>
      <c r="AA9" s="271" t="str" cm="1">
        <f t="array" ref="AA9">IF(M9="","",IF(P9=AN9,1,Slookup(MID(AN9,1,3)*1,UomConversion!$D$8:$J$500,5,UomConversion!$E$8:$E$500,MID(P9,1,3)*1,UomConversion!$J$8:$J$500,1)))</f>
        <v/>
      </c>
      <c r="AB9" s="271" t="str">
        <f t="shared" si="4"/>
        <v/>
      </c>
      <c r="AC9" s="271" t="str">
        <f t="shared" ref="AC9:AC72" si="17">IF(M9="","",W9)</f>
        <v/>
      </c>
      <c r="AD9" s="271" t="str">
        <f t="shared" ref="AD9:AD72" si="18">IF(M9="","",IF(P9=AN9,AE9,IF(P9=AO9,ROUND(AE9/AA9,9),IF(P9=AP9,ROUND(AE9/AB9,9)))))</f>
        <v/>
      </c>
      <c r="AE9" s="271" t="str">
        <f t="shared" si="5"/>
        <v/>
      </c>
      <c r="AF9" s="271" t="str">
        <f t="shared" ref="AF9" si="19">IFERROR(IF(M9="","",IF(invoice_price_type_id=1,VLOOKUP(I9,product_list,13,FALSE),IF(invoice_price_type_id=2,VLOOKUP(I9,product_list,14,FALSE),IF(invoice_price_type_id=3,VLOOKUP(I9,product_list,15,FALSE),IF(invoice_price_type_id=4,VLOOKUP(I9,product_list,16,FALSE),IF(invoice_price_type_id=5,VLOOKUP(I9,product_list,12,FALSE),"")))))),"")</f>
        <v/>
      </c>
      <c r="AG9" s="271" t="str">
        <f t="shared" si="7"/>
        <v/>
      </c>
      <c r="AH9" s="271" t="s">
        <v>214</v>
      </c>
      <c r="AI9" s="271" t="s">
        <v>214</v>
      </c>
      <c r="AJ9" s="271" t="s">
        <v>214</v>
      </c>
      <c r="AK9" s="271" t="s">
        <v>214</v>
      </c>
      <c r="AL9" s="271" t="s">
        <v>214</v>
      </c>
      <c r="AM9" s="271" t="s">
        <v>214</v>
      </c>
      <c r="AN9" s="271" t="str">
        <f t="shared" si="8"/>
        <v/>
      </c>
      <c r="AO9" s="271" t="str">
        <f>IF(OR(ISNA(MATCH(MID(AN9,1,3)*1,UomConversion!$D$8:$D$500,0)),M9=""),"",IF(AT9="","",AT9))</f>
        <v/>
      </c>
      <c r="AP9" s="271" t="str">
        <f>IF(AND(AQ9&gt;0,COUNTIFS(UomConversion!$D$8:$D$500,MID(AN9,1,3)*1,UomConversion!$J$8:$J$500,1)&gt;1),TEXT(AQ9,"000")&amp;"."&amp;VLOOKUP(AQ9,uom_list,5,FALSE),"")</f>
        <v/>
      </c>
      <c r="AQ9" s="271" t="str">
        <f t="shared" ref="AQ9:AQ72" si="20">IF(AND(AU9&gt;0,M9&lt;&gt;""),AU9,"")</f>
        <v/>
      </c>
      <c r="AR9" s="271" t="str">
        <f t="shared" ref="AR9:AR72" si="21">IF(M9="","",IF(AA9&gt;0,AB9/AA9,""))</f>
        <v/>
      </c>
      <c r="AS9" s="271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1" t="str">
        <f t="shared" si="9"/>
        <v/>
      </c>
      <c r="AU9" s="271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1" t="str">
        <f t="shared" ref="AV9" si="22">IF(M9="","",IF(invoice_location_id=1,BA9,IF(invoice_location_id=2,BB9,0)))</f>
        <v/>
      </c>
      <c r="AW9" s="271" t="s">
        <v>214</v>
      </c>
      <c r="AX9" s="271" t="str">
        <f t="shared" ref="AX9:AX72" si="23">IF(M9="","",IF((N9+O9)*(AB9/AA9)&gt;0,(N9+O9)*(AB9/AA9),0))</f>
        <v/>
      </c>
      <c r="AY9" s="271" t="str">
        <f>IF(M9="","",SUMIFS($AX$8:AX9,$I$8:I9,I9))</f>
        <v/>
      </c>
      <c r="AZ9" s="271" t="str">
        <f t="shared" ref="AZ9:AZ72" si="24">IF(M9="","",AL9-AY9)</f>
        <v/>
      </c>
      <c r="BA9" s="271" t="s">
        <v>214</v>
      </c>
      <c r="BB9" s="271" t="s">
        <v>214</v>
      </c>
    </row>
    <row r="10" spans="1:54" ht="27" customHeight="1">
      <c r="A10" s="583"/>
      <c r="B10" s="948"/>
      <c r="C10" s="929" t="s">
        <v>2804</v>
      </c>
      <c r="D10" s="950"/>
      <c r="E10" s="951" t="str">
        <f>IF(ISNA(MATCH(invoice_no*1,#REF!,0)),"not exist","exist")</f>
        <v>exist</v>
      </c>
      <c r="F10" s="966"/>
      <c r="I10" s="378" t="str">
        <f t="shared" si="11"/>
        <v/>
      </c>
      <c r="J10" s="907" t="str">
        <f t="shared" ref="J10:J30" si="25">IF(M10="","",J9+1)</f>
        <v/>
      </c>
      <c r="K10" s="910" t="str">
        <f t="shared" si="0"/>
        <v/>
      </c>
      <c r="L10" s="911"/>
      <c r="M10" s="908"/>
      <c r="N10" s="906"/>
      <c r="O10" s="906"/>
      <c r="P10" s="905"/>
      <c r="Q10" s="904"/>
      <c r="R10" s="912"/>
      <c r="S10" s="890" t="str">
        <f t="shared" ref="S10" si="26">IF(M10="","",invoice_currency_symbol)</f>
        <v/>
      </c>
      <c r="T10" s="914"/>
      <c r="U10" s="915" t="str">
        <f t="shared" si="13"/>
        <v/>
      </c>
      <c r="V10" s="918" t="str">
        <f t="shared" ref="V10" si="27">IF(W10=0,"",invoice_currency_symbol)</f>
        <v/>
      </c>
      <c r="W10" s="919"/>
      <c r="X10" s="920" t="str">
        <f t="shared" ref="X10" si="28">IF(M10="","",invoice_currency_symbol)</f>
        <v/>
      </c>
      <c r="Y10" s="913" t="str">
        <f t="shared" si="16"/>
        <v/>
      </c>
      <c r="Z10" s="916"/>
      <c r="AA10" s="271" t="str" cm="1">
        <f t="array" ref="AA10">IF(M10="","",IF(P10=AN10,1,Slookup(MID(AN10,1,3)*1,UomConversion!$D$8:$J$500,5,UomConversion!$E$8:$E$500,MID(P10,1,3)*1,UomConversion!$J$8:$J$500,1)))</f>
        <v/>
      </c>
      <c r="AB10" s="271" t="str">
        <f t="shared" si="4"/>
        <v/>
      </c>
      <c r="AC10" s="271" t="str">
        <f t="shared" si="17"/>
        <v/>
      </c>
      <c r="AD10" s="271" t="str">
        <f t="shared" si="18"/>
        <v/>
      </c>
      <c r="AE10" s="271" t="str">
        <f t="shared" si="5"/>
        <v/>
      </c>
      <c r="AF10" s="271" t="str">
        <f t="shared" ref="AF10" si="29">IFERROR(IF(M10="","",IF(invoice_price_type_id=1,VLOOKUP(I10,product_list,13,FALSE),IF(invoice_price_type_id=2,VLOOKUP(I10,product_list,14,FALSE),IF(invoice_price_type_id=3,VLOOKUP(I10,product_list,15,FALSE),IF(invoice_price_type_id=4,VLOOKUP(I10,product_list,16,FALSE),IF(invoice_price_type_id=5,VLOOKUP(I10,product_list,12,FALSE),"")))))),"")</f>
        <v/>
      </c>
      <c r="AG10" s="271" t="str">
        <f t="shared" si="7"/>
        <v/>
      </c>
      <c r="AH10" s="271" t="s">
        <v>214</v>
      </c>
      <c r="AI10" s="271" t="s">
        <v>214</v>
      </c>
      <c r="AJ10" s="271" t="s">
        <v>214</v>
      </c>
      <c r="AK10" s="271" t="s">
        <v>214</v>
      </c>
      <c r="AL10" s="271" t="s">
        <v>214</v>
      </c>
      <c r="AM10" s="271" t="s">
        <v>214</v>
      </c>
      <c r="AN10" s="271" t="str">
        <f t="shared" si="8"/>
        <v/>
      </c>
      <c r="AO10" s="271" t="str">
        <f>IF(OR(ISNA(MATCH(MID(AN10,1,3)*1,UomConversion!$D$8:$D$500,0)),M10=""),"",IF(AT10="","",AT10))</f>
        <v/>
      </c>
      <c r="AP10" s="271" t="str">
        <f>IF(AND(AQ10&gt;0,COUNTIFS(UomConversion!$D$8:$D$500,MID(AN10,1,3)*1,UomConversion!$J$8:$J$500,1)&gt;1),TEXT(AQ10,"000")&amp;"."&amp;VLOOKUP(AQ10,uom_list,5,FALSE),"")</f>
        <v/>
      </c>
      <c r="AQ10" s="271" t="str">
        <f t="shared" si="20"/>
        <v/>
      </c>
      <c r="AR10" s="271" t="str">
        <f t="shared" si="21"/>
        <v/>
      </c>
      <c r="AS10" s="271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1" t="str">
        <f t="shared" si="9"/>
        <v/>
      </c>
      <c r="AU10" s="271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1" t="str">
        <f t="shared" ref="AV10" si="30">IF(M10="","",IF(invoice_location_id=1,BA10,IF(invoice_location_id=2,BB10,0)))</f>
        <v/>
      </c>
      <c r="AW10" s="271" t="s">
        <v>214</v>
      </c>
      <c r="AX10" s="271" t="str">
        <f t="shared" si="23"/>
        <v/>
      </c>
      <c r="AY10" s="271" t="str">
        <f>IF(M10="","",SUMIFS($AX$8:AX10,$I$8:I10,I10))</f>
        <v/>
      </c>
      <c r="AZ10" s="271" t="str">
        <f t="shared" si="24"/>
        <v/>
      </c>
      <c r="BA10" s="271" t="s">
        <v>214</v>
      </c>
      <c r="BB10" s="271" t="s">
        <v>214</v>
      </c>
    </row>
    <row r="11" spans="1:54" ht="27" customHeight="1">
      <c r="A11" s="583"/>
      <c r="B11" s="948"/>
      <c r="C11" s="1909" t="s">
        <v>1669</v>
      </c>
      <c r="D11" s="1910"/>
      <c r="E11" s="933">
        <f>MID(invoice_customer,1,4)*1</f>
        <v>1</v>
      </c>
      <c r="F11" s="967"/>
      <c r="G11" s="212"/>
      <c r="I11" s="378" t="str">
        <f t="shared" si="11"/>
        <v/>
      </c>
      <c r="J11" s="907" t="str">
        <f t="shared" si="25"/>
        <v/>
      </c>
      <c r="K11" s="910" t="str">
        <f t="shared" si="0"/>
        <v/>
      </c>
      <c r="L11" s="911"/>
      <c r="M11" s="908"/>
      <c r="N11" s="906"/>
      <c r="O11" s="906"/>
      <c r="P11" s="905"/>
      <c r="Q11" s="904"/>
      <c r="R11" s="912"/>
      <c r="S11" s="890" t="str">
        <f t="shared" ref="S11" si="31">IF(M11="","",invoice_currency_symbol)</f>
        <v/>
      </c>
      <c r="T11" s="914"/>
      <c r="U11" s="915" t="str">
        <f t="shared" si="13"/>
        <v/>
      </c>
      <c r="V11" s="918" t="str">
        <f t="shared" ref="V11" si="32">IF(W11=0,"",invoice_currency_symbol)</f>
        <v/>
      </c>
      <c r="W11" s="919"/>
      <c r="X11" s="920" t="str">
        <f t="shared" ref="X11" si="33">IF(M11="","",invoice_currency_symbol)</f>
        <v/>
      </c>
      <c r="Y11" s="913" t="str">
        <f t="shared" si="16"/>
        <v/>
      </c>
      <c r="Z11" s="916"/>
      <c r="AA11" s="271" t="str" cm="1">
        <f t="array" ref="AA11">IF(M11="","",IF(P11=AN11,1,Slookup(MID(AN11,1,3)*1,UomConversion!$D$8:$J$500,5,UomConversion!$E$8:$E$500,MID(P11,1,3)*1,UomConversion!$J$8:$J$500,1)))</f>
        <v/>
      </c>
      <c r="AB11" s="271" t="str">
        <f t="shared" si="4"/>
        <v/>
      </c>
      <c r="AC11" s="271" t="str">
        <f t="shared" si="17"/>
        <v/>
      </c>
      <c r="AD11" s="271" t="str">
        <f t="shared" si="18"/>
        <v/>
      </c>
      <c r="AE11" s="271" t="str">
        <f t="shared" si="5"/>
        <v/>
      </c>
      <c r="AF11" s="271" t="str">
        <f t="shared" ref="AF11" si="34">IFERROR(IF(M11="","",IF(invoice_price_type_id=1,VLOOKUP(I11,product_list,13,FALSE),IF(invoice_price_type_id=2,VLOOKUP(I11,product_list,14,FALSE),IF(invoice_price_type_id=3,VLOOKUP(I11,product_list,15,FALSE),IF(invoice_price_type_id=4,VLOOKUP(I11,product_list,16,FALSE),IF(invoice_price_type_id=5,VLOOKUP(I11,product_list,12,FALSE),"")))))),"")</f>
        <v/>
      </c>
      <c r="AG11" s="271" t="str">
        <f t="shared" si="7"/>
        <v/>
      </c>
      <c r="AH11" s="271" t="s">
        <v>214</v>
      </c>
      <c r="AI11" s="271" t="s">
        <v>214</v>
      </c>
      <c r="AJ11" s="271" t="s">
        <v>214</v>
      </c>
      <c r="AK11" s="271" t="s">
        <v>214</v>
      </c>
      <c r="AL11" s="271" t="s">
        <v>214</v>
      </c>
      <c r="AM11" s="271" t="s">
        <v>214</v>
      </c>
      <c r="AN11" s="271" t="str">
        <f t="shared" si="8"/>
        <v/>
      </c>
      <c r="AO11" s="271" t="str">
        <f>IF(OR(ISNA(MATCH(MID(AN11,1,3)*1,UomConversion!$D$8:$D$500,0)),M11=""),"",IF(AT11="","",AT11))</f>
        <v/>
      </c>
      <c r="AP11" s="271" t="str">
        <f>IF(AND(AQ11&gt;0,COUNTIFS(UomConversion!$D$8:$D$500,MID(AN11,1,3)*1,UomConversion!$J$8:$J$500,1)&gt;1),TEXT(AQ11,"000")&amp;"."&amp;VLOOKUP(AQ11,uom_list,5,FALSE),"")</f>
        <v/>
      </c>
      <c r="AQ11" s="271" t="str">
        <f t="shared" si="20"/>
        <v/>
      </c>
      <c r="AR11" s="271" t="str">
        <f t="shared" si="21"/>
        <v/>
      </c>
      <c r="AS11" s="271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1" t="str">
        <f t="shared" si="9"/>
        <v/>
      </c>
      <c r="AU11" s="271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1" t="str">
        <f t="shared" ref="AV11" si="35">IF(M11="","",IF(invoice_location_id=1,BA11,IF(invoice_location_id=2,BB11,0)))</f>
        <v/>
      </c>
      <c r="AW11" s="271" t="s">
        <v>214</v>
      </c>
      <c r="AX11" s="271" t="str">
        <f t="shared" si="23"/>
        <v/>
      </c>
      <c r="AY11" s="271" t="str">
        <f>IF(M11="","",SUMIFS($AX$8:AX11,$I$8:I11,I11))</f>
        <v/>
      </c>
      <c r="AZ11" s="271" t="str">
        <f t="shared" si="24"/>
        <v/>
      </c>
      <c r="BA11" s="271" t="s">
        <v>214</v>
      </c>
      <c r="BB11" s="271" t="s">
        <v>214</v>
      </c>
    </row>
    <row r="12" spans="1:54" ht="27" customHeight="1">
      <c r="A12" s="583"/>
      <c r="B12" s="948"/>
      <c r="C12" s="929" t="s">
        <v>2799</v>
      </c>
      <c r="D12" s="950"/>
      <c r="E12" s="929" t="s">
        <v>2805</v>
      </c>
      <c r="F12" s="966"/>
      <c r="G12" s="212"/>
      <c r="I12" s="378" t="str">
        <f t="shared" si="11"/>
        <v/>
      </c>
      <c r="J12" s="907" t="str">
        <f t="shared" si="25"/>
        <v/>
      </c>
      <c r="K12" s="910" t="str">
        <f t="shared" si="0"/>
        <v/>
      </c>
      <c r="L12" s="911"/>
      <c r="M12" s="908"/>
      <c r="N12" s="906"/>
      <c r="O12" s="906"/>
      <c r="P12" s="905"/>
      <c r="Q12" s="904"/>
      <c r="R12" s="912"/>
      <c r="S12" s="890" t="str">
        <f t="shared" ref="S12" si="36">IF(M12="","",invoice_currency_symbol)</f>
        <v/>
      </c>
      <c r="T12" s="914"/>
      <c r="U12" s="915" t="str">
        <f t="shared" si="13"/>
        <v/>
      </c>
      <c r="V12" s="918" t="str">
        <f t="shared" ref="V12" si="37">IF(W12=0,"",invoice_currency_symbol)</f>
        <v/>
      </c>
      <c r="W12" s="919"/>
      <c r="X12" s="920" t="str">
        <f t="shared" ref="X12" si="38">IF(M12="","",invoice_currency_symbol)</f>
        <v/>
      </c>
      <c r="Y12" s="913" t="str">
        <f t="shared" si="16"/>
        <v/>
      </c>
      <c r="Z12" s="916"/>
      <c r="AA12" s="271" t="str" cm="1">
        <f t="array" ref="AA12">IF(M12="","",IF(P12=AN12,1,Slookup(MID(AN12,1,3)*1,UomConversion!$D$8:$J$500,5,UomConversion!$E$8:$E$500,MID(P12,1,3)*1,UomConversion!$J$8:$J$500,1)))</f>
        <v/>
      </c>
      <c r="AB12" s="271" t="str">
        <f t="shared" si="4"/>
        <v/>
      </c>
      <c r="AC12" s="271" t="str">
        <f t="shared" si="17"/>
        <v/>
      </c>
      <c r="AD12" s="271" t="str">
        <f t="shared" si="18"/>
        <v/>
      </c>
      <c r="AE12" s="271" t="str">
        <f t="shared" si="5"/>
        <v/>
      </c>
      <c r="AF12" s="271" t="str">
        <f t="shared" ref="AF12" si="39">IFERROR(IF(M12="","",IF(invoice_price_type_id=1,VLOOKUP(I12,product_list,13,FALSE),IF(invoice_price_type_id=2,VLOOKUP(I12,product_list,14,FALSE),IF(invoice_price_type_id=3,VLOOKUP(I12,product_list,15,FALSE),IF(invoice_price_type_id=4,VLOOKUP(I12,product_list,16,FALSE),IF(invoice_price_type_id=5,VLOOKUP(I12,product_list,12,FALSE),"")))))),"")</f>
        <v/>
      </c>
      <c r="AG12" s="271" t="str">
        <f t="shared" si="7"/>
        <v/>
      </c>
      <c r="AH12" s="271" t="s">
        <v>214</v>
      </c>
      <c r="AI12" s="271" t="s">
        <v>214</v>
      </c>
      <c r="AJ12" s="271" t="s">
        <v>214</v>
      </c>
      <c r="AK12" s="271" t="s">
        <v>214</v>
      </c>
      <c r="AL12" s="271" t="s">
        <v>214</v>
      </c>
      <c r="AM12" s="271" t="s">
        <v>214</v>
      </c>
      <c r="AN12" s="271" t="str">
        <f t="shared" si="8"/>
        <v/>
      </c>
      <c r="AO12" s="271" t="str">
        <f>IF(OR(ISNA(MATCH(MID(AN12,1,3)*1,UomConversion!$D$8:$D$500,0)),M12=""),"",IF(AT12="","",AT12))</f>
        <v/>
      </c>
      <c r="AP12" s="271" t="str">
        <f>IF(AND(AQ12&gt;0,COUNTIFS(UomConversion!$D$8:$D$500,MID(AN12,1,3)*1,UomConversion!$J$8:$J$500,1)&gt;1),TEXT(AQ12,"000")&amp;"."&amp;VLOOKUP(AQ12,uom_list,5,FALSE),"")</f>
        <v/>
      </c>
      <c r="AQ12" s="271" t="str">
        <f t="shared" si="20"/>
        <v/>
      </c>
      <c r="AR12" s="271" t="str">
        <f t="shared" si="21"/>
        <v/>
      </c>
      <c r="AS12" s="271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1" t="str">
        <f t="shared" si="9"/>
        <v/>
      </c>
      <c r="AU12" s="271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1" t="str">
        <f t="shared" ref="AV12" si="40">IF(M12="","",IF(invoice_location_id=1,BA12,IF(invoice_location_id=2,BB12,0)))</f>
        <v/>
      </c>
      <c r="AW12" s="271" t="s">
        <v>214</v>
      </c>
      <c r="AX12" s="271" t="str">
        <f t="shared" si="23"/>
        <v/>
      </c>
      <c r="AY12" s="271" t="str">
        <f>IF(M12="","",SUMIFS($AX$8:AX12,$I$8:I12,I12))</f>
        <v/>
      </c>
      <c r="AZ12" s="271" t="str">
        <f t="shared" si="24"/>
        <v/>
      </c>
      <c r="BA12" s="271" t="s">
        <v>214</v>
      </c>
      <c r="BB12" s="271" t="s">
        <v>214</v>
      </c>
    </row>
    <row r="13" spans="1:54" ht="27" customHeight="1">
      <c r="A13" s="583"/>
      <c r="B13" s="948"/>
      <c r="C13" s="634" t="s">
        <v>1960</v>
      </c>
      <c r="D13" s="934">
        <f>MID(invoice_branch,1,2)*1</f>
        <v>1</v>
      </c>
      <c r="E13" s="897" t="s">
        <v>2068</v>
      </c>
      <c r="F13" s="968">
        <f>MID(E13,1,3)*1</f>
        <v>1</v>
      </c>
      <c r="G13" s="212"/>
      <c r="I13" s="378" t="str">
        <f t="shared" si="11"/>
        <v/>
      </c>
      <c r="J13" s="907" t="str">
        <f t="shared" si="25"/>
        <v/>
      </c>
      <c r="K13" s="910" t="str">
        <f t="shared" si="0"/>
        <v/>
      </c>
      <c r="L13" s="911"/>
      <c r="M13" s="908"/>
      <c r="N13" s="906"/>
      <c r="O13" s="906"/>
      <c r="P13" s="905"/>
      <c r="Q13" s="904"/>
      <c r="R13" s="912"/>
      <c r="S13" s="890" t="str">
        <f t="shared" ref="S13" si="41">IF(M13="","",invoice_currency_symbol)</f>
        <v/>
      </c>
      <c r="T13" s="914"/>
      <c r="U13" s="915" t="str">
        <f t="shared" si="13"/>
        <v/>
      </c>
      <c r="V13" s="918" t="str">
        <f t="shared" ref="V13" si="42">IF(W13=0,"",invoice_currency_symbol)</f>
        <v/>
      </c>
      <c r="W13" s="919"/>
      <c r="X13" s="920" t="str">
        <f t="shared" ref="X13" si="43">IF(M13="","",invoice_currency_symbol)</f>
        <v/>
      </c>
      <c r="Y13" s="913" t="str">
        <f t="shared" si="16"/>
        <v/>
      </c>
      <c r="Z13" s="916"/>
      <c r="AA13" s="271" t="str" cm="1">
        <f t="array" ref="AA13">IF(M13="","",IF(P13=AN13,1,Slookup(MID(AN13,1,3)*1,UomConversion!$D$8:$J$500,5,UomConversion!$E$8:$E$500,MID(P13,1,3)*1,UomConversion!$J$8:$J$500,1)))</f>
        <v/>
      </c>
      <c r="AB13" s="271" t="str">
        <f t="shared" si="4"/>
        <v/>
      </c>
      <c r="AC13" s="271" t="str">
        <f t="shared" si="17"/>
        <v/>
      </c>
      <c r="AD13" s="271" t="str">
        <f t="shared" si="18"/>
        <v/>
      </c>
      <c r="AE13" s="271" t="str">
        <f t="shared" si="5"/>
        <v/>
      </c>
      <c r="AF13" s="271" t="str">
        <f t="shared" ref="AF13" si="44">IFERROR(IF(M13="","",IF(invoice_price_type_id=1,VLOOKUP(I13,product_list,13,FALSE),IF(invoice_price_type_id=2,VLOOKUP(I13,product_list,14,FALSE),IF(invoice_price_type_id=3,VLOOKUP(I13,product_list,15,FALSE),IF(invoice_price_type_id=4,VLOOKUP(I13,product_list,16,FALSE),IF(invoice_price_type_id=5,VLOOKUP(I13,product_list,12,FALSE),"")))))),"")</f>
        <v/>
      </c>
      <c r="AG13" s="271" t="str">
        <f t="shared" si="7"/>
        <v/>
      </c>
      <c r="AH13" s="271" t="s">
        <v>214</v>
      </c>
      <c r="AI13" s="271" t="s">
        <v>214</v>
      </c>
      <c r="AJ13" s="271" t="s">
        <v>214</v>
      </c>
      <c r="AK13" s="271" t="s">
        <v>214</v>
      </c>
      <c r="AL13" s="271" t="s">
        <v>214</v>
      </c>
      <c r="AM13" s="271" t="s">
        <v>214</v>
      </c>
      <c r="AN13" s="271" t="str">
        <f t="shared" si="8"/>
        <v/>
      </c>
      <c r="AO13" s="271" t="str">
        <f>IF(OR(ISNA(MATCH(MID(AN13,1,3)*1,UomConversion!$D$8:$D$500,0)),M13=""),"",IF(AT13="","",AT13))</f>
        <v/>
      </c>
      <c r="AP13" s="271" t="str">
        <f>IF(AND(AQ13&gt;0,COUNTIFS(UomConversion!$D$8:$D$500,MID(AN13,1,3)*1,UomConversion!$J$8:$J$500,1)&gt;1),TEXT(AQ13,"000")&amp;"."&amp;VLOOKUP(AQ13,uom_list,5,FALSE),"")</f>
        <v/>
      </c>
      <c r="AQ13" s="271" t="str">
        <f t="shared" si="20"/>
        <v/>
      </c>
      <c r="AR13" s="271" t="str">
        <f t="shared" si="21"/>
        <v/>
      </c>
      <c r="AS13" s="271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1" t="str">
        <f t="shared" si="9"/>
        <v/>
      </c>
      <c r="AU13" s="271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1" t="str">
        <f t="shared" ref="AV13" si="45">IF(M13="","",IF(invoice_location_id=1,BA13,IF(invoice_location_id=2,BB13,0)))</f>
        <v/>
      </c>
      <c r="AW13" s="271" t="s">
        <v>214</v>
      </c>
      <c r="AX13" s="271" t="str">
        <f t="shared" si="23"/>
        <v/>
      </c>
      <c r="AY13" s="271" t="str">
        <f>IF(M13="","",SUMIFS($AX$8:AX13,$I$8:I13,I13))</f>
        <v/>
      </c>
      <c r="AZ13" s="271" t="str">
        <f t="shared" si="24"/>
        <v/>
      </c>
      <c r="BA13" s="271" t="s">
        <v>214</v>
      </c>
      <c r="BB13" s="271" t="s">
        <v>214</v>
      </c>
    </row>
    <row r="14" spans="1:54" ht="27" customHeight="1">
      <c r="A14" s="583"/>
      <c r="B14" s="945"/>
      <c r="C14" s="929" t="s">
        <v>2807</v>
      </c>
      <c r="D14" s="952"/>
      <c r="E14" s="929" t="s">
        <v>2806</v>
      </c>
      <c r="F14" s="966"/>
      <c r="I14" s="378" t="str">
        <f t="shared" si="11"/>
        <v/>
      </c>
      <c r="J14" s="907" t="str">
        <f t="shared" si="25"/>
        <v/>
      </c>
      <c r="K14" s="910" t="str">
        <f t="shared" si="0"/>
        <v/>
      </c>
      <c r="L14" s="911"/>
      <c r="M14" s="908"/>
      <c r="N14" s="906"/>
      <c r="O14" s="906"/>
      <c r="P14" s="905"/>
      <c r="Q14" s="904"/>
      <c r="R14" s="912"/>
      <c r="S14" s="890" t="str">
        <f t="shared" ref="S14" si="46">IF(M14="","",invoice_currency_symbol)</f>
        <v/>
      </c>
      <c r="T14" s="914"/>
      <c r="U14" s="915" t="str">
        <f t="shared" si="13"/>
        <v/>
      </c>
      <c r="V14" s="918" t="str">
        <f t="shared" ref="V14" si="47">IF(W14=0,"",invoice_currency_symbol)</f>
        <v/>
      </c>
      <c r="W14" s="919"/>
      <c r="X14" s="920" t="str">
        <f t="shared" ref="X14" si="48">IF(M14="","",invoice_currency_symbol)</f>
        <v/>
      </c>
      <c r="Y14" s="913" t="str">
        <f t="shared" si="16"/>
        <v/>
      </c>
      <c r="Z14" s="916"/>
      <c r="AA14" s="271" t="str" cm="1">
        <f t="array" ref="AA14">IF(M14="","",IF(P14=AN14,1,Slookup(MID(AN14,1,3)*1,UomConversion!$D$8:$J$500,5,UomConversion!$E$8:$E$500,MID(P14,1,3)*1,UomConversion!$J$8:$J$500,1)))</f>
        <v/>
      </c>
      <c r="AB14" s="271" t="str">
        <f t="shared" si="4"/>
        <v/>
      </c>
      <c r="AC14" s="271" t="str">
        <f t="shared" si="17"/>
        <v/>
      </c>
      <c r="AD14" s="271" t="str">
        <f t="shared" si="18"/>
        <v/>
      </c>
      <c r="AE14" s="271" t="str">
        <f t="shared" si="5"/>
        <v/>
      </c>
      <c r="AF14" s="271" t="str">
        <f t="shared" ref="AF14" si="49">IFERROR(IF(M14="","",IF(invoice_price_type_id=1,VLOOKUP(I14,product_list,13,FALSE),IF(invoice_price_type_id=2,VLOOKUP(I14,product_list,14,FALSE),IF(invoice_price_type_id=3,VLOOKUP(I14,product_list,15,FALSE),IF(invoice_price_type_id=4,VLOOKUP(I14,product_list,16,FALSE),IF(invoice_price_type_id=5,VLOOKUP(I14,product_list,12,FALSE),"")))))),"")</f>
        <v/>
      </c>
      <c r="AG14" s="271" t="str">
        <f t="shared" si="7"/>
        <v/>
      </c>
      <c r="AH14" s="271" t="s">
        <v>214</v>
      </c>
      <c r="AI14" s="271" t="s">
        <v>214</v>
      </c>
      <c r="AJ14" s="271" t="s">
        <v>214</v>
      </c>
      <c r="AK14" s="271" t="s">
        <v>214</v>
      </c>
      <c r="AL14" s="271" t="s">
        <v>214</v>
      </c>
      <c r="AM14" s="271" t="s">
        <v>214</v>
      </c>
      <c r="AN14" s="271" t="str">
        <f t="shared" si="8"/>
        <v/>
      </c>
      <c r="AO14" s="271" t="str">
        <f>IF(OR(ISNA(MATCH(MID(AN14,1,3)*1,UomConversion!$D$8:$D$500,0)),M14=""),"",IF(AT14="","",AT14))</f>
        <v/>
      </c>
      <c r="AP14" s="271" t="str">
        <f>IF(AND(AQ14&gt;0,COUNTIFS(UomConversion!$D$8:$D$500,MID(AN14,1,3)*1,UomConversion!$J$8:$J$500,1)&gt;1),TEXT(AQ14,"000")&amp;"."&amp;VLOOKUP(AQ14,uom_list,5,FALSE),"")</f>
        <v/>
      </c>
      <c r="AQ14" s="271" t="str">
        <f t="shared" si="20"/>
        <v/>
      </c>
      <c r="AR14" s="271" t="str">
        <f t="shared" si="21"/>
        <v/>
      </c>
      <c r="AS14" s="271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1" t="str">
        <f t="shared" si="9"/>
        <v/>
      </c>
      <c r="AU14" s="271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1" t="str">
        <f t="shared" ref="AV14" si="50">IF(M14="","",IF(invoice_location_id=1,BA14,IF(invoice_location_id=2,BB14,0)))</f>
        <v/>
      </c>
      <c r="AW14" s="271" t="s">
        <v>214</v>
      </c>
      <c r="AX14" s="271" t="str">
        <f t="shared" si="23"/>
        <v/>
      </c>
      <c r="AY14" s="271" t="str">
        <f>IF(M14="","",SUMIFS($AX$8:AX14,$I$8:I14,I14))</f>
        <v/>
      </c>
      <c r="AZ14" s="271" t="str">
        <f t="shared" si="24"/>
        <v/>
      </c>
      <c r="BA14" s="271" t="s">
        <v>214</v>
      </c>
      <c r="BB14" s="271" t="s">
        <v>214</v>
      </c>
    </row>
    <row r="15" spans="1:54" ht="27" customHeight="1">
      <c r="A15" s="583"/>
      <c r="B15" s="948"/>
      <c r="C15" s="896" t="s">
        <v>2108</v>
      </c>
      <c r="D15" s="953">
        <f>MID(invoice_seller,1,3)*1</f>
        <v>1</v>
      </c>
      <c r="E15" s="898" t="s">
        <v>2741</v>
      </c>
      <c r="F15" s="968">
        <f>MID(invoice_location,1,3)*1</f>
        <v>1</v>
      </c>
      <c r="G15" s="212"/>
      <c r="I15" s="378" t="str">
        <f t="shared" si="11"/>
        <v/>
      </c>
      <c r="J15" s="907" t="str">
        <f t="shared" si="25"/>
        <v/>
      </c>
      <c r="K15" s="910" t="str">
        <f t="shared" si="0"/>
        <v/>
      </c>
      <c r="L15" s="911"/>
      <c r="M15" s="908"/>
      <c r="N15" s="906"/>
      <c r="O15" s="906"/>
      <c r="P15" s="905"/>
      <c r="Q15" s="904"/>
      <c r="R15" s="912"/>
      <c r="S15" s="890" t="str">
        <f t="shared" ref="S15" si="51">IF(M15="","",invoice_currency_symbol)</f>
        <v/>
      </c>
      <c r="T15" s="914"/>
      <c r="U15" s="915" t="str">
        <f t="shared" si="13"/>
        <v/>
      </c>
      <c r="V15" s="918" t="str">
        <f t="shared" ref="V15" si="52">IF(W15=0,"",invoice_currency_symbol)</f>
        <v/>
      </c>
      <c r="W15" s="919"/>
      <c r="X15" s="920" t="str">
        <f t="shared" ref="X15" si="53">IF(M15="","",invoice_currency_symbol)</f>
        <v/>
      </c>
      <c r="Y15" s="913" t="str">
        <f t="shared" si="16"/>
        <v/>
      </c>
      <c r="Z15" s="916"/>
      <c r="AA15" s="271" t="str" cm="1">
        <f t="array" ref="AA15">IF(M15="","",IF(P15=AN15,1,Slookup(MID(AN15,1,3)*1,UomConversion!$D$8:$J$500,5,UomConversion!$E$8:$E$500,MID(P15,1,3)*1,UomConversion!$J$8:$J$500,1)))</f>
        <v/>
      </c>
      <c r="AB15" s="271" t="str">
        <f t="shared" si="4"/>
        <v/>
      </c>
      <c r="AC15" s="271" t="str">
        <f t="shared" si="17"/>
        <v/>
      </c>
      <c r="AD15" s="271" t="str">
        <f t="shared" si="18"/>
        <v/>
      </c>
      <c r="AE15" s="271" t="str">
        <f t="shared" si="5"/>
        <v/>
      </c>
      <c r="AF15" s="271" t="str">
        <f t="shared" ref="AF15" si="54">IFERROR(IF(M15="","",IF(invoice_price_type_id=1,VLOOKUP(I15,product_list,13,FALSE),IF(invoice_price_type_id=2,VLOOKUP(I15,product_list,14,FALSE),IF(invoice_price_type_id=3,VLOOKUP(I15,product_list,15,FALSE),IF(invoice_price_type_id=4,VLOOKUP(I15,product_list,16,FALSE),IF(invoice_price_type_id=5,VLOOKUP(I15,product_list,12,FALSE),"")))))),"")</f>
        <v/>
      </c>
      <c r="AG15" s="271" t="str">
        <f t="shared" si="7"/>
        <v/>
      </c>
      <c r="AH15" s="271" t="s">
        <v>214</v>
      </c>
      <c r="AI15" s="271" t="s">
        <v>214</v>
      </c>
      <c r="AJ15" s="271" t="s">
        <v>214</v>
      </c>
      <c r="AK15" s="271" t="s">
        <v>214</v>
      </c>
      <c r="AL15" s="271" t="s">
        <v>214</v>
      </c>
      <c r="AM15" s="271" t="s">
        <v>214</v>
      </c>
      <c r="AN15" s="271" t="str">
        <f t="shared" si="8"/>
        <v/>
      </c>
      <c r="AO15" s="271" t="str">
        <f>IF(OR(ISNA(MATCH(MID(AN15,1,3)*1,UomConversion!$D$8:$D$500,0)),M15=""),"",IF(AT15="","",AT15))</f>
        <v/>
      </c>
      <c r="AP15" s="271" t="str">
        <f>IF(AND(AQ15&gt;0,COUNTIFS(UomConversion!$D$8:$D$500,MID(AN15,1,3)*1,UomConversion!$J$8:$J$500,1)&gt;1),TEXT(AQ15,"000")&amp;"."&amp;VLOOKUP(AQ15,uom_list,5,FALSE),"")</f>
        <v/>
      </c>
      <c r="AQ15" s="271" t="str">
        <f t="shared" si="20"/>
        <v/>
      </c>
      <c r="AR15" s="271" t="str">
        <f t="shared" si="21"/>
        <v/>
      </c>
      <c r="AS15" s="271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1" t="str">
        <f t="shared" si="9"/>
        <v/>
      </c>
      <c r="AU15" s="271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1" t="str">
        <f t="shared" ref="AV15" si="55">IF(M15="","",IF(invoice_location_id=1,BA15,IF(invoice_location_id=2,BB15,0)))</f>
        <v/>
      </c>
      <c r="AW15" s="271" t="s">
        <v>214</v>
      </c>
      <c r="AX15" s="271" t="str">
        <f t="shared" si="23"/>
        <v/>
      </c>
      <c r="AY15" s="271" t="str">
        <f>IF(M15="","",SUMIFS($AX$8:AX15,$I$8:I15,I15))</f>
        <v/>
      </c>
      <c r="AZ15" s="271" t="str">
        <f t="shared" si="24"/>
        <v/>
      </c>
      <c r="BA15" s="271" t="s">
        <v>214</v>
      </c>
      <c r="BB15" s="271" t="s">
        <v>214</v>
      </c>
    </row>
    <row r="16" spans="1:54" ht="27" customHeight="1">
      <c r="A16" s="583"/>
      <c r="B16" s="945"/>
      <c r="C16" s="929" t="s">
        <v>1629</v>
      </c>
      <c r="D16" s="954"/>
      <c r="E16" s="929" t="s">
        <v>2802</v>
      </c>
      <c r="F16" s="966"/>
      <c r="I16" s="378" t="str">
        <f t="shared" si="11"/>
        <v/>
      </c>
      <c r="J16" s="907" t="str">
        <f t="shared" si="25"/>
        <v/>
      </c>
      <c r="K16" s="910" t="str">
        <f t="shared" si="0"/>
        <v/>
      </c>
      <c r="L16" s="911"/>
      <c r="M16" s="908"/>
      <c r="N16" s="906"/>
      <c r="O16" s="906"/>
      <c r="P16" s="905"/>
      <c r="Q16" s="904"/>
      <c r="R16" s="912"/>
      <c r="S16" s="890" t="str">
        <f t="shared" ref="S16" si="56">IF(M16="","",invoice_currency_symbol)</f>
        <v/>
      </c>
      <c r="T16" s="914"/>
      <c r="U16" s="915" t="str">
        <f t="shared" si="13"/>
        <v/>
      </c>
      <c r="V16" s="918" t="str">
        <f t="shared" ref="V16" si="57">IF(W16=0,"",invoice_currency_symbol)</f>
        <v/>
      </c>
      <c r="W16" s="919"/>
      <c r="X16" s="920" t="str">
        <f t="shared" ref="X16" si="58">IF(M16="","",invoice_currency_symbol)</f>
        <v/>
      </c>
      <c r="Y16" s="913" t="str">
        <f t="shared" si="16"/>
        <v/>
      </c>
      <c r="Z16" s="916"/>
      <c r="AA16" s="271" t="str" cm="1">
        <f t="array" ref="AA16">IF(M16="","",IF(P16=AN16,1,Slookup(MID(AN16,1,3)*1,UomConversion!$D$8:$J$500,5,UomConversion!$E$8:$E$500,MID(P16,1,3)*1,UomConversion!$J$8:$J$500,1)))</f>
        <v/>
      </c>
      <c r="AB16" s="271" t="str">
        <f t="shared" si="4"/>
        <v/>
      </c>
      <c r="AC16" s="271" t="str">
        <f t="shared" si="17"/>
        <v/>
      </c>
      <c r="AD16" s="271" t="str">
        <f t="shared" si="18"/>
        <v/>
      </c>
      <c r="AE16" s="271" t="str">
        <f t="shared" si="5"/>
        <v/>
      </c>
      <c r="AF16" s="271" t="str">
        <f t="shared" ref="AF16" si="59">IFERROR(IF(M16="","",IF(invoice_price_type_id=1,VLOOKUP(I16,product_list,13,FALSE),IF(invoice_price_type_id=2,VLOOKUP(I16,product_list,14,FALSE),IF(invoice_price_type_id=3,VLOOKUP(I16,product_list,15,FALSE),IF(invoice_price_type_id=4,VLOOKUP(I16,product_list,16,FALSE),IF(invoice_price_type_id=5,VLOOKUP(I16,product_list,12,FALSE),"")))))),"")</f>
        <v/>
      </c>
      <c r="AG16" s="271" t="str">
        <f t="shared" si="7"/>
        <v/>
      </c>
      <c r="AH16" s="271" t="s">
        <v>214</v>
      </c>
      <c r="AI16" s="271" t="s">
        <v>214</v>
      </c>
      <c r="AJ16" s="271" t="s">
        <v>214</v>
      </c>
      <c r="AK16" s="271" t="s">
        <v>214</v>
      </c>
      <c r="AL16" s="271" t="s">
        <v>214</v>
      </c>
      <c r="AM16" s="271" t="s">
        <v>214</v>
      </c>
      <c r="AN16" s="271" t="str">
        <f t="shared" si="8"/>
        <v/>
      </c>
      <c r="AO16" s="271" t="str">
        <f>IF(OR(ISNA(MATCH(MID(AN16,1,3)*1,UomConversion!$D$8:$D$500,0)),M16=""),"",IF(AT16="","",AT16))</f>
        <v/>
      </c>
      <c r="AP16" s="271" t="str">
        <f>IF(AND(AQ16&gt;0,COUNTIFS(UomConversion!$D$8:$D$500,MID(AN16,1,3)*1,UomConversion!$J$8:$J$500,1)&gt;1),TEXT(AQ16,"000")&amp;"."&amp;VLOOKUP(AQ16,uom_list,5,FALSE),"")</f>
        <v/>
      </c>
      <c r="AQ16" s="271" t="str">
        <f t="shared" si="20"/>
        <v/>
      </c>
      <c r="AR16" s="271" t="str">
        <f t="shared" si="21"/>
        <v/>
      </c>
      <c r="AS16" s="271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1" t="str">
        <f t="shared" si="9"/>
        <v/>
      </c>
      <c r="AU16" s="271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1" t="str">
        <f t="shared" ref="AV16" si="60">IF(M16="","",IF(invoice_location_id=1,BA16,IF(invoice_location_id=2,BB16,0)))</f>
        <v/>
      </c>
      <c r="AW16" s="271" t="s">
        <v>214</v>
      </c>
      <c r="AX16" s="271" t="str">
        <f t="shared" si="23"/>
        <v/>
      </c>
      <c r="AY16" s="271" t="str">
        <f>IF(M16="","",SUMIFS($AX$8:AX16,$I$8:I16,I16))</f>
        <v/>
      </c>
      <c r="AZ16" s="271" t="str">
        <f t="shared" si="24"/>
        <v/>
      </c>
      <c r="BA16" s="271" t="s">
        <v>214</v>
      </c>
      <c r="BB16" s="271" t="s">
        <v>214</v>
      </c>
    </row>
    <row r="17" spans="1:54" ht="27" customHeight="1">
      <c r="A17" s="583"/>
      <c r="B17" s="948"/>
      <c r="C17" s="899" t="str">
        <f>IF(invoice_currency_id="","",VLOOKUP(invoice_currency_id,currency_list,2,FALSE))</f>
        <v>USD - US Dollar</v>
      </c>
      <c r="D17" s="866" t="str">
        <f>IF(invoice_currency_id="","",VLOOKUP(invoice_currency_id,currency_list,3,FALSE))</f>
        <v>$</v>
      </c>
      <c r="E17" s="899" t="s">
        <v>2156</v>
      </c>
      <c r="F17" s="961">
        <f>MID(E17,1,1)*1</f>
        <v>2</v>
      </c>
      <c r="G17" s="212"/>
      <c r="I17" s="378" t="str">
        <f t="shared" si="11"/>
        <v/>
      </c>
      <c r="J17" s="907" t="str">
        <f t="shared" si="25"/>
        <v/>
      </c>
      <c r="K17" s="910" t="str">
        <f t="shared" si="0"/>
        <v/>
      </c>
      <c r="L17" s="911"/>
      <c r="M17" s="908"/>
      <c r="N17" s="906"/>
      <c r="O17" s="906"/>
      <c r="P17" s="905"/>
      <c r="Q17" s="904"/>
      <c r="R17" s="912"/>
      <c r="S17" s="890" t="str">
        <f t="shared" ref="S17" si="61">IF(M17="","",invoice_currency_symbol)</f>
        <v/>
      </c>
      <c r="T17" s="914"/>
      <c r="U17" s="915" t="str">
        <f t="shared" si="13"/>
        <v/>
      </c>
      <c r="V17" s="918" t="str">
        <f t="shared" ref="V17" si="62">IF(W17=0,"",invoice_currency_symbol)</f>
        <v/>
      </c>
      <c r="W17" s="919"/>
      <c r="X17" s="920" t="str">
        <f t="shared" ref="X17" si="63">IF(M17="","",invoice_currency_symbol)</f>
        <v/>
      </c>
      <c r="Y17" s="913" t="str">
        <f t="shared" si="16"/>
        <v/>
      </c>
      <c r="Z17" s="916"/>
      <c r="AA17" s="271" t="str" cm="1">
        <f t="array" ref="AA17">IF(M17="","",IF(P17=AN17,1,Slookup(MID(AN17,1,3)*1,UomConversion!$D$8:$J$500,5,UomConversion!$E$8:$E$500,MID(P17,1,3)*1,UomConversion!$J$8:$J$500,1)))</f>
        <v/>
      </c>
      <c r="AB17" s="271" t="str">
        <f t="shared" si="4"/>
        <v/>
      </c>
      <c r="AC17" s="271" t="str">
        <f t="shared" si="17"/>
        <v/>
      </c>
      <c r="AD17" s="271" t="str">
        <f t="shared" si="18"/>
        <v/>
      </c>
      <c r="AE17" s="271" t="str">
        <f t="shared" si="5"/>
        <v/>
      </c>
      <c r="AF17" s="271" t="str">
        <f t="shared" ref="AF17" si="64">IFERROR(IF(M17="","",IF(invoice_price_type_id=1,VLOOKUP(I17,product_list,13,FALSE),IF(invoice_price_type_id=2,VLOOKUP(I17,product_list,14,FALSE),IF(invoice_price_type_id=3,VLOOKUP(I17,product_list,15,FALSE),IF(invoice_price_type_id=4,VLOOKUP(I17,product_list,16,FALSE),IF(invoice_price_type_id=5,VLOOKUP(I17,product_list,12,FALSE),"")))))),"")</f>
        <v/>
      </c>
      <c r="AG17" s="271" t="str">
        <f t="shared" si="7"/>
        <v/>
      </c>
      <c r="AH17" s="271" t="s">
        <v>214</v>
      </c>
      <c r="AI17" s="271" t="s">
        <v>214</v>
      </c>
      <c r="AJ17" s="271" t="s">
        <v>214</v>
      </c>
      <c r="AK17" s="271" t="s">
        <v>214</v>
      </c>
      <c r="AL17" s="271" t="s">
        <v>214</v>
      </c>
      <c r="AM17" s="271" t="s">
        <v>214</v>
      </c>
      <c r="AN17" s="271" t="str">
        <f t="shared" si="8"/>
        <v/>
      </c>
      <c r="AO17" s="271" t="str">
        <f>IF(OR(ISNA(MATCH(MID(AN17,1,3)*1,UomConversion!$D$8:$D$500,0)),M17=""),"",IF(AT17="","",AT17))</f>
        <v/>
      </c>
      <c r="AP17" s="271" t="str">
        <f>IF(AND(AQ17&gt;0,COUNTIFS(UomConversion!$D$8:$D$500,MID(AN17,1,3)*1,UomConversion!$J$8:$J$500,1)&gt;1),TEXT(AQ17,"000")&amp;"."&amp;VLOOKUP(AQ17,uom_list,5,FALSE),"")</f>
        <v/>
      </c>
      <c r="AQ17" s="271" t="str">
        <f t="shared" si="20"/>
        <v/>
      </c>
      <c r="AR17" s="271" t="str">
        <f t="shared" si="21"/>
        <v/>
      </c>
      <c r="AS17" s="271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1" t="str">
        <f t="shared" si="9"/>
        <v/>
      </c>
      <c r="AU17" s="271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1" t="str">
        <f t="shared" ref="AV17" si="65">IF(M17="","",IF(invoice_location_id=1,BA17,IF(invoice_location_id=2,BB17,0)))</f>
        <v/>
      </c>
      <c r="AW17" s="271" t="s">
        <v>214</v>
      </c>
      <c r="AX17" s="271" t="str">
        <f t="shared" si="23"/>
        <v/>
      </c>
      <c r="AY17" s="271" t="str">
        <f>IF(M17="","",SUMIFS($AX$8:AX17,$I$8:I17,I17))</f>
        <v/>
      </c>
      <c r="AZ17" s="271" t="str">
        <f t="shared" si="24"/>
        <v/>
      </c>
      <c r="BA17" s="271" t="s">
        <v>214</v>
      </c>
      <c r="BB17" s="271" t="s">
        <v>214</v>
      </c>
    </row>
    <row r="18" spans="1:54" ht="27" customHeight="1">
      <c r="A18" s="583"/>
      <c r="B18" s="948"/>
      <c r="C18" s="932">
        <f>IF(invoice_branch="","",VLOOKUP(MID(invoice_branch,1,2)*1,branch_list,24,FALSE))</f>
        <v>1</v>
      </c>
      <c r="D18" s="935"/>
      <c r="E18" s="631"/>
      <c r="F18" s="963"/>
      <c r="G18" s="212"/>
      <c r="I18" s="378" t="str">
        <f t="shared" si="11"/>
        <v/>
      </c>
      <c r="J18" s="907" t="str">
        <f t="shared" si="25"/>
        <v/>
      </c>
      <c r="K18" s="910" t="str">
        <f t="shared" si="0"/>
        <v/>
      </c>
      <c r="L18" s="911"/>
      <c r="M18" s="908"/>
      <c r="N18" s="906"/>
      <c r="O18" s="906"/>
      <c r="P18" s="905"/>
      <c r="Q18" s="904"/>
      <c r="R18" s="912"/>
      <c r="S18" s="890" t="str">
        <f t="shared" ref="S18" si="66">IF(M18="","",invoice_currency_symbol)</f>
        <v/>
      </c>
      <c r="T18" s="914"/>
      <c r="U18" s="915" t="str">
        <f t="shared" si="13"/>
        <v/>
      </c>
      <c r="V18" s="918" t="str">
        <f t="shared" ref="V18" si="67">IF(W18=0,"",invoice_currency_symbol)</f>
        <v/>
      </c>
      <c r="W18" s="919"/>
      <c r="X18" s="920" t="str">
        <f t="shared" ref="X18" si="68">IF(M18="","",invoice_currency_symbol)</f>
        <v/>
      </c>
      <c r="Y18" s="913" t="str">
        <f t="shared" si="16"/>
        <v/>
      </c>
      <c r="Z18" s="916"/>
      <c r="AA18" s="271" t="str" cm="1">
        <f t="array" ref="AA18">IF(M18="","",IF(P18=AN18,1,Slookup(MID(AN18,1,3)*1,UomConversion!$D$8:$J$500,5,UomConversion!$E$8:$E$500,MID(P18,1,3)*1,UomConversion!$J$8:$J$500,1)))</f>
        <v/>
      </c>
      <c r="AB18" s="271" t="str">
        <f t="shared" si="4"/>
        <v/>
      </c>
      <c r="AC18" s="271" t="str">
        <f t="shared" si="17"/>
        <v/>
      </c>
      <c r="AD18" s="271" t="str">
        <f t="shared" si="18"/>
        <v/>
      </c>
      <c r="AE18" s="271" t="str">
        <f t="shared" si="5"/>
        <v/>
      </c>
      <c r="AF18" s="271" t="str">
        <f t="shared" ref="AF18" si="69">IFERROR(IF(M18="","",IF(invoice_price_type_id=1,VLOOKUP(I18,product_list,13,FALSE),IF(invoice_price_type_id=2,VLOOKUP(I18,product_list,14,FALSE),IF(invoice_price_type_id=3,VLOOKUP(I18,product_list,15,FALSE),IF(invoice_price_type_id=4,VLOOKUP(I18,product_list,16,FALSE),IF(invoice_price_type_id=5,VLOOKUP(I18,product_list,12,FALSE),"")))))),"")</f>
        <v/>
      </c>
      <c r="AG18" s="271" t="str">
        <f t="shared" si="7"/>
        <v/>
      </c>
      <c r="AH18" s="271" t="s">
        <v>214</v>
      </c>
      <c r="AI18" s="271" t="s">
        <v>214</v>
      </c>
      <c r="AJ18" s="271" t="s">
        <v>214</v>
      </c>
      <c r="AK18" s="271" t="s">
        <v>214</v>
      </c>
      <c r="AL18" s="271" t="s">
        <v>214</v>
      </c>
      <c r="AM18" s="271" t="s">
        <v>214</v>
      </c>
      <c r="AN18" s="271" t="str">
        <f t="shared" si="8"/>
        <v/>
      </c>
      <c r="AO18" s="271" t="str">
        <f>IF(OR(ISNA(MATCH(MID(AN18,1,3)*1,UomConversion!$D$8:$D$500,0)),M18=""),"",IF(AT18="","",AT18))</f>
        <v/>
      </c>
      <c r="AP18" s="271" t="str">
        <f>IF(AND(AQ18&gt;0,COUNTIFS(UomConversion!$D$8:$D$500,MID(AN18,1,3)*1,UomConversion!$J$8:$J$500,1)&gt;1),TEXT(AQ18,"000")&amp;"."&amp;VLOOKUP(AQ18,uom_list,5,FALSE),"")</f>
        <v/>
      </c>
      <c r="AQ18" s="271" t="str">
        <f t="shared" si="20"/>
        <v/>
      </c>
      <c r="AR18" s="271" t="str">
        <f t="shared" si="21"/>
        <v/>
      </c>
      <c r="AS18" s="271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1" t="str">
        <f t="shared" si="9"/>
        <v/>
      </c>
      <c r="AU18" s="271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1" t="str">
        <f t="shared" ref="AV18" si="70">IF(M18="","",IF(invoice_location_id=1,BA18,IF(invoice_location_id=2,BB18,0)))</f>
        <v/>
      </c>
      <c r="AW18" s="271" t="s">
        <v>214</v>
      </c>
      <c r="AX18" s="271" t="str">
        <f t="shared" si="23"/>
        <v/>
      </c>
      <c r="AY18" s="271" t="str">
        <f>IF(M18="","",SUMIFS($AX$8:AX18,$I$8:I18,I18))</f>
        <v/>
      </c>
      <c r="AZ18" s="271" t="str">
        <f t="shared" si="24"/>
        <v/>
      </c>
      <c r="BA18" s="271" t="s">
        <v>214</v>
      </c>
      <c r="BB18" s="271" t="s">
        <v>214</v>
      </c>
    </row>
    <row r="19" spans="1:54" ht="27" customHeight="1">
      <c r="A19" s="583"/>
      <c r="B19" s="948"/>
      <c r="C19" s="929" t="s">
        <v>1886</v>
      </c>
      <c r="D19" s="936">
        <f>VLOOKUP(13, chart_account_default_list, 5, FALSE)</f>
        <v>17</v>
      </c>
      <c r="E19" s="929" t="s">
        <v>1984</v>
      </c>
      <c r="F19" s="966"/>
      <c r="G19" s="212"/>
      <c r="I19" s="378" t="str">
        <f t="shared" si="11"/>
        <v/>
      </c>
      <c r="J19" s="907" t="str">
        <f t="shared" si="25"/>
        <v/>
      </c>
      <c r="K19" s="910" t="str">
        <f t="shared" si="0"/>
        <v/>
      </c>
      <c r="L19" s="911"/>
      <c r="M19" s="908"/>
      <c r="N19" s="906"/>
      <c r="O19" s="906"/>
      <c r="P19" s="905"/>
      <c r="Q19" s="904"/>
      <c r="R19" s="912"/>
      <c r="S19" s="890" t="str">
        <f t="shared" ref="S19" si="71">IF(M19="","",invoice_currency_symbol)</f>
        <v/>
      </c>
      <c r="T19" s="914"/>
      <c r="U19" s="915" t="str">
        <f t="shared" si="13"/>
        <v/>
      </c>
      <c r="V19" s="918" t="str">
        <f t="shared" ref="V19" si="72">IF(W19=0,"",invoice_currency_symbol)</f>
        <v/>
      </c>
      <c r="W19" s="919"/>
      <c r="X19" s="920" t="str">
        <f t="shared" ref="X19" si="73">IF(M19="","",invoice_currency_symbol)</f>
        <v/>
      </c>
      <c r="Y19" s="913" t="str">
        <f t="shared" si="16"/>
        <v/>
      </c>
      <c r="Z19" s="916"/>
      <c r="AA19" s="271" t="str" cm="1">
        <f t="array" ref="AA19">IF(M19="","",IF(P19=AN19,1,Slookup(MID(AN19,1,3)*1,UomConversion!$D$8:$J$500,5,UomConversion!$E$8:$E$500,MID(P19,1,3)*1,UomConversion!$J$8:$J$500,1)))</f>
        <v/>
      </c>
      <c r="AB19" s="271" t="str">
        <f t="shared" si="4"/>
        <v/>
      </c>
      <c r="AC19" s="271" t="str">
        <f t="shared" si="17"/>
        <v/>
      </c>
      <c r="AD19" s="271" t="str">
        <f t="shared" si="18"/>
        <v/>
      </c>
      <c r="AE19" s="271" t="str">
        <f t="shared" si="5"/>
        <v/>
      </c>
      <c r="AF19" s="271" t="str">
        <f t="shared" ref="AF19" si="74">IFERROR(IF(M19="","",IF(invoice_price_type_id=1,VLOOKUP(I19,product_list,13,FALSE),IF(invoice_price_type_id=2,VLOOKUP(I19,product_list,14,FALSE),IF(invoice_price_type_id=3,VLOOKUP(I19,product_list,15,FALSE),IF(invoice_price_type_id=4,VLOOKUP(I19,product_list,16,FALSE),IF(invoice_price_type_id=5,VLOOKUP(I19,product_list,12,FALSE),"")))))),"")</f>
        <v/>
      </c>
      <c r="AG19" s="271" t="str">
        <f t="shared" si="7"/>
        <v/>
      </c>
      <c r="AH19" s="271" t="s">
        <v>214</v>
      </c>
      <c r="AI19" s="271" t="s">
        <v>214</v>
      </c>
      <c r="AJ19" s="271" t="s">
        <v>214</v>
      </c>
      <c r="AK19" s="271" t="s">
        <v>214</v>
      </c>
      <c r="AL19" s="271" t="s">
        <v>214</v>
      </c>
      <c r="AM19" s="271" t="s">
        <v>214</v>
      </c>
      <c r="AN19" s="271" t="str">
        <f t="shared" si="8"/>
        <v/>
      </c>
      <c r="AO19" s="271" t="str">
        <f>IF(OR(ISNA(MATCH(MID(AN19,1,3)*1,UomConversion!$D$8:$D$500,0)),M19=""),"",IF(AT19="","",AT19))</f>
        <v/>
      </c>
      <c r="AP19" s="271" t="str">
        <f>IF(AND(AQ19&gt;0,COUNTIFS(UomConversion!$D$8:$D$500,MID(AN19,1,3)*1,UomConversion!$J$8:$J$500,1)&gt;1),TEXT(AQ19,"000")&amp;"."&amp;VLOOKUP(AQ19,uom_list,5,FALSE),"")</f>
        <v/>
      </c>
      <c r="AQ19" s="271" t="str">
        <f t="shared" si="20"/>
        <v/>
      </c>
      <c r="AR19" s="271" t="str">
        <f t="shared" si="21"/>
        <v/>
      </c>
      <c r="AS19" s="271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1" t="str">
        <f t="shared" si="9"/>
        <v/>
      </c>
      <c r="AU19" s="271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1" t="str">
        <f t="shared" ref="AV19" si="75">IF(M19="","",IF(invoice_location_id=1,BA19,IF(invoice_location_id=2,BB19,0)))</f>
        <v/>
      </c>
      <c r="AW19" s="271" t="s">
        <v>214</v>
      </c>
      <c r="AX19" s="271" t="str">
        <f t="shared" si="23"/>
        <v/>
      </c>
      <c r="AY19" s="271" t="str">
        <f>IF(M19="","",SUMIFS($AX$8:AX19,$I$8:I19,I19))</f>
        <v/>
      </c>
      <c r="AZ19" s="271" t="str">
        <f t="shared" si="24"/>
        <v/>
      </c>
      <c r="BA19" s="271" t="s">
        <v>214</v>
      </c>
      <c r="BB19" s="271" t="s">
        <v>214</v>
      </c>
    </row>
    <row r="20" spans="1:54" ht="27" customHeight="1">
      <c r="A20" s="583"/>
      <c r="B20" s="945"/>
      <c r="C20" s="899" t="s">
        <v>1891</v>
      </c>
      <c r="D20" s="936">
        <f>VLOOKUP(MID(C20,1,3)*1,chart_account_default_list,5,FALSE)</f>
        <v>18</v>
      </c>
      <c r="E20" s="899" t="s">
        <v>2002</v>
      </c>
      <c r="F20" s="961">
        <f>MID(E20,1,2)*1</f>
        <v>2</v>
      </c>
      <c r="I20" s="378" t="str">
        <f t="shared" si="11"/>
        <v/>
      </c>
      <c r="J20" s="907" t="str">
        <f t="shared" si="25"/>
        <v/>
      </c>
      <c r="K20" s="910" t="str">
        <f t="shared" si="0"/>
        <v/>
      </c>
      <c r="L20" s="911"/>
      <c r="M20" s="908"/>
      <c r="N20" s="906"/>
      <c r="O20" s="906"/>
      <c r="P20" s="905"/>
      <c r="Q20" s="904"/>
      <c r="R20" s="912"/>
      <c r="S20" s="890" t="str">
        <f t="shared" ref="S20" si="76">IF(M20="","",invoice_currency_symbol)</f>
        <v/>
      </c>
      <c r="T20" s="914"/>
      <c r="U20" s="915" t="str">
        <f t="shared" si="13"/>
        <v/>
      </c>
      <c r="V20" s="918" t="str">
        <f t="shared" ref="V20" si="77">IF(W20=0,"",invoice_currency_symbol)</f>
        <v/>
      </c>
      <c r="W20" s="919"/>
      <c r="X20" s="920" t="str">
        <f t="shared" ref="X20" si="78">IF(M20="","",invoice_currency_symbol)</f>
        <v/>
      </c>
      <c r="Y20" s="913" t="str">
        <f t="shared" si="16"/>
        <v/>
      </c>
      <c r="Z20" s="916"/>
      <c r="AA20" s="271" t="str" cm="1">
        <f t="array" ref="AA20">IF(M20="","",IF(P20=AN20,1,Slookup(MID(AN20,1,3)*1,UomConversion!$D$8:$J$500,5,UomConversion!$E$8:$E$500,MID(P20,1,3)*1,UomConversion!$J$8:$J$500,1)))</f>
        <v/>
      </c>
      <c r="AB20" s="271" t="str">
        <f t="shared" si="4"/>
        <v/>
      </c>
      <c r="AC20" s="271" t="str">
        <f t="shared" si="17"/>
        <v/>
      </c>
      <c r="AD20" s="271" t="str">
        <f t="shared" si="18"/>
        <v/>
      </c>
      <c r="AE20" s="271" t="str">
        <f t="shared" si="5"/>
        <v/>
      </c>
      <c r="AF20" s="271" t="str">
        <f t="shared" ref="AF20" si="79">IFERROR(IF(M20="","",IF(invoice_price_type_id=1,VLOOKUP(I20,product_list,13,FALSE),IF(invoice_price_type_id=2,VLOOKUP(I20,product_list,14,FALSE),IF(invoice_price_type_id=3,VLOOKUP(I20,product_list,15,FALSE),IF(invoice_price_type_id=4,VLOOKUP(I20,product_list,16,FALSE),IF(invoice_price_type_id=5,VLOOKUP(I20,product_list,12,FALSE),"")))))),"")</f>
        <v/>
      </c>
      <c r="AG20" s="271" t="str">
        <f t="shared" si="7"/>
        <v/>
      </c>
      <c r="AH20" s="271" t="s">
        <v>214</v>
      </c>
      <c r="AI20" s="271" t="s">
        <v>214</v>
      </c>
      <c r="AJ20" s="271" t="s">
        <v>214</v>
      </c>
      <c r="AK20" s="271" t="s">
        <v>214</v>
      </c>
      <c r="AL20" s="271" t="s">
        <v>214</v>
      </c>
      <c r="AM20" s="271" t="s">
        <v>214</v>
      </c>
      <c r="AN20" s="271" t="str">
        <f t="shared" si="8"/>
        <v/>
      </c>
      <c r="AO20" s="271" t="str">
        <f>IF(OR(ISNA(MATCH(MID(AN20,1,3)*1,UomConversion!$D$8:$D$500,0)),M20=""),"",IF(AT20="","",AT20))</f>
        <v/>
      </c>
      <c r="AP20" s="271" t="str">
        <f>IF(AND(AQ20&gt;0,COUNTIFS(UomConversion!$D$8:$D$500,MID(AN20,1,3)*1,UomConversion!$J$8:$J$500,1)&gt;1),TEXT(AQ20,"000")&amp;"."&amp;VLOOKUP(AQ20,uom_list,5,FALSE),"")</f>
        <v/>
      </c>
      <c r="AQ20" s="271" t="str">
        <f t="shared" si="20"/>
        <v/>
      </c>
      <c r="AR20" s="271" t="str">
        <f t="shared" si="21"/>
        <v/>
      </c>
      <c r="AS20" s="271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1" t="str">
        <f t="shared" si="9"/>
        <v/>
      </c>
      <c r="AU20" s="271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1" t="str">
        <f t="shared" ref="AV20" si="80">IF(M20="","",IF(invoice_location_id=1,BA20,IF(invoice_location_id=2,BB20,0)))</f>
        <v/>
      </c>
      <c r="AW20" s="271" t="s">
        <v>214</v>
      </c>
      <c r="AX20" s="271" t="str">
        <f t="shared" si="23"/>
        <v/>
      </c>
      <c r="AY20" s="271" t="str">
        <f>IF(M20="","",SUMIFS($AX$8:AX20,$I$8:I20,I20))</f>
        <v/>
      </c>
      <c r="AZ20" s="271" t="str">
        <f t="shared" si="24"/>
        <v/>
      </c>
      <c r="BA20" s="271" t="s">
        <v>214</v>
      </c>
      <c r="BB20" s="271" t="s">
        <v>214</v>
      </c>
    </row>
    <row r="21" spans="1:54" ht="27" customHeight="1">
      <c r="A21" s="583"/>
      <c r="B21" s="945"/>
      <c r="C21" s="929" t="s">
        <v>300</v>
      </c>
      <c r="D21" s="759"/>
      <c r="E21" s="648"/>
      <c r="F21" s="966"/>
      <c r="I21" s="378" t="str">
        <f t="shared" si="11"/>
        <v/>
      </c>
      <c r="J21" s="907" t="str">
        <f t="shared" si="25"/>
        <v/>
      </c>
      <c r="K21" s="910" t="str">
        <f t="shared" si="0"/>
        <v/>
      </c>
      <c r="L21" s="911"/>
      <c r="M21" s="908"/>
      <c r="N21" s="906"/>
      <c r="O21" s="906"/>
      <c r="P21" s="905"/>
      <c r="Q21" s="904"/>
      <c r="R21" s="912"/>
      <c r="S21" s="890" t="str">
        <f t="shared" ref="S21" si="81">IF(M21="","",invoice_currency_symbol)</f>
        <v/>
      </c>
      <c r="T21" s="914"/>
      <c r="U21" s="915" t="str">
        <f t="shared" si="13"/>
        <v/>
      </c>
      <c r="V21" s="918" t="str">
        <f t="shared" ref="V21" si="82">IF(W21=0,"",invoice_currency_symbol)</f>
        <v/>
      </c>
      <c r="W21" s="919"/>
      <c r="X21" s="920" t="str">
        <f t="shared" ref="X21" si="83">IF(M21="","",invoice_currency_symbol)</f>
        <v/>
      </c>
      <c r="Y21" s="913" t="str">
        <f t="shared" si="16"/>
        <v/>
      </c>
      <c r="Z21" s="916"/>
      <c r="AA21" s="271" t="str" cm="1">
        <f t="array" ref="AA21">IF(M21="","",IF(P21=AN21,1,Slookup(MID(AN21,1,3)*1,UomConversion!$D$8:$J$500,5,UomConversion!$E$8:$E$500,MID(P21,1,3)*1,UomConversion!$J$8:$J$500,1)))</f>
        <v/>
      </c>
      <c r="AB21" s="271" t="str">
        <f t="shared" si="4"/>
        <v/>
      </c>
      <c r="AC21" s="271" t="str">
        <f t="shared" si="17"/>
        <v/>
      </c>
      <c r="AD21" s="271" t="str">
        <f t="shared" si="18"/>
        <v/>
      </c>
      <c r="AE21" s="271" t="str">
        <f t="shared" si="5"/>
        <v/>
      </c>
      <c r="AF21" s="271" t="str">
        <f t="shared" ref="AF21" si="84">IFERROR(IF(M21="","",IF(invoice_price_type_id=1,VLOOKUP(I21,product_list,13,FALSE),IF(invoice_price_type_id=2,VLOOKUP(I21,product_list,14,FALSE),IF(invoice_price_type_id=3,VLOOKUP(I21,product_list,15,FALSE),IF(invoice_price_type_id=4,VLOOKUP(I21,product_list,16,FALSE),IF(invoice_price_type_id=5,VLOOKUP(I21,product_list,12,FALSE),"")))))),"")</f>
        <v/>
      </c>
      <c r="AG21" s="271" t="str">
        <f t="shared" si="7"/>
        <v/>
      </c>
      <c r="AH21" s="271" t="s">
        <v>214</v>
      </c>
      <c r="AI21" s="271" t="s">
        <v>214</v>
      </c>
      <c r="AJ21" s="271" t="s">
        <v>214</v>
      </c>
      <c r="AK21" s="271" t="s">
        <v>214</v>
      </c>
      <c r="AL21" s="271" t="s">
        <v>214</v>
      </c>
      <c r="AM21" s="271" t="s">
        <v>214</v>
      </c>
      <c r="AN21" s="271" t="str">
        <f t="shared" si="8"/>
        <v/>
      </c>
      <c r="AO21" s="271" t="str">
        <f>IF(OR(ISNA(MATCH(MID(AN21,1,3)*1,UomConversion!$D$8:$D$500,0)),M21=""),"",IF(AT21="","",AT21))</f>
        <v/>
      </c>
      <c r="AP21" s="271" t="str">
        <f>IF(AND(AQ21&gt;0,COUNTIFS(UomConversion!$D$8:$D$500,MID(AN21,1,3)*1,UomConversion!$J$8:$J$500,1)&gt;1),TEXT(AQ21,"000")&amp;"."&amp;VLOOKUP(AQ21,uom_list,5,FALSE),"")</f>
        <v/>
      </c>
      <c r="AQ21" s="271" t="str">
        <f t="shared" si="20"/>
        <v/>
      </c>
      <c r="AR21" s="271" t="str">
        <f t="shared" si="21"/>
        <v/>
      </c>
      <c r="AS21" s="271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1" t="str">
        <f t="shared" si="9"/>
        <v/>
      </c>
      <c r="AU21" s="271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1" t="str">
        <f t="shared" ref="AV21" si="85">IF(M21="","",IF(invoice_location_id=1,BA21,IF(invoice_location_id=2,BB21,0)))</f>
        <v/>
      </c>
      <c r="AW21" s="271" t="s">
        <v>214</v>
      </c>
      <c r="AX21" s="271" t="str">
        <f t="shared" si="23"/>
        <v/>
      </c>
      <c r="AY21" s="271" t="str">
        <f>IF(M21="","",SUMIFS($AX$8:AX21,$I$8:I21,I21))</f>
        <v/>
      </c>
      <c r="AZ21" s="271" t="str">
        <f t="shared" si="24"/>
        <v/>
      </c>
      <c r="BA21" s="271" t="s">
        <v>214</v>
      </c>
      <c r="BB21" s="271" t="s">
        <v>214</v>
      </c>
    </row>
    <row r="22" spans="1:54" ht="27" customHeight="1">
      <c r="A22" s="583"/>
      <c r="B22" s="945"/>
      <c r="C22" s="1911" t="s">
        <v>214</v>
      </c>
      <c r="D22" s="1912"/>
      <c r="E22" s="1913"/>
      <c r="F22" s="966"/>
      <c r="I22" s="378" t="str">
        <f t="shared" si="11"/>
        <v/>
      </c>
      <c r="J22" s="907" t="str">
        <f t="shared" si="25"/>
        <v/>
      </c>
      <c r="K22" s="910" t="str">
        <f t="shared" si="0"/>
        <v/>
      </c>
      <c r="L22" s="911"/>
      <c r="M22" s="908"/>
      <c r="N22" s="906"/>
      <c r="O22" s="906"/>
      <c r="P22" s="905"/>
      <c r="Q22" s="904"/>
      <c r="R22" s="912"/>
      <c r="S22" s="890" t="str">
        <f t="shared" ref="S22" si="86">IF(M22="","",invoice_currency_symbol)</f>
        <v/>
      </c>
      <c r="T22" s="914"/>
      <c r="U22" s="915" t="str">
        <f t="shared" si="13"/>
        <v/>
      </c>
      <c r="V22" s="918" t="str">
        <f t="shared" ref="V22" si="87">IF(W22=0,"",invoice_currency_symbol)</f>
        <v/>
      </c>
      <c r="W22" s="919"/>
      <c r="X22" s="920" t="str">
        <f t="shared" ref="X22" si="88">IF(M22="","",invoice_currency_symbol)</f>
        <v/>
      </c>
      <c r="Y22" s="913" t="str">
        <f t="shared" si="16"/>
        <v/>
      </c>
      <c r="Z22" s="916"/>
      <c r="AA22" s="271" t="str" cm="1">
        <f t="array" ref="AA22">IF(M22="","",IF(P22=AN22,1,Slookup(MID(AN22,1,3)*1,UomConversion!$D$8:$J$500,5,UomConversion!$E$8:$E$500,MID(P22,1,3)*1,UomConversion!$J$8:$J$500,1)))</f>
        <v/>
      </c>
      <c r="AB22" s="271" t="str">
        <f t="shared" si="4"/>
        <v/>
      </c>
      <c r="AC22" s="271" t="str">
        <f t="shared" si="17"/>
        <v/>
      </c>
      <c r="AD22" s="271" t="str">
        <f t="shared" si="18"/>
        <v/>
      </c>
      <c r="AE22" s="271" t="str">
        <f t="shared" si="5"/>
        <v/>
      </c>
      <c r="AF22" s="271" t="str">
        <f t="shared" ref="AF22" si="89">IFERROR(IF(M22="","",IF(invoice_price_type_id=1,VLOOKUP(I22,product_list,13,FALSE),IF(invoice_price_type_id=2,VLOOKUP(I22,product_list,14,FALSE),IF(invoice_price_type_id=3,VLOOKUP(I22,product_list,15,FALSE),IF(invoice_price_type_id=4,VLOOKUP(I22,product_list,16,FALSE),IF(invoice_price_type_id=5,VLOOKUP(I22,product_list,12,FALSE),"")))))),"")</f>
        <v/>
      </c>
      <c r="AG22" s="271" t="str">
        <f t="shared" si="7"/>
        <v/>
      </c>
      <c r="AH22" s="271" t="s">
        <v>214</v>
      </c>
      <c r="AI22" s="271" t="s">
        <v>214</v>
      </c>
      <c r="AJ22" s="271" t="s">
        <v>214</v>
      </c>
      <c r="AK22" s="271" t="s">
        <v>214</v>
      </c>
      <c r="AL22" s="271" t="s">
        <v>214</v>
      </c>
      <c r="AM22" s="271" t="s">
        <v>214</v>
      </c>
      <c r="AN22" s="271" t="str">
        <f t="shared" si="8"/>
        <v/>
      </c>
      <c r="AO22" s="271" t="str">
        <f>IF(OR(ISNA(MATCH(MID(AN22,1,3)*1,UomConversion!$D$8:$D$500,0)),M22=""),"",IF(AT22="","",AT22))</f>
        <v/>
      </c>
      <c r="AP22" s="271" t="str">
        <f>IF(AND(AQ22&gt;0,COUNTIFS(UomConversion!$D$8:$D$500,MID(AN22,1,3)*1,UomConversion!$J$8:$J$500,1)&gt;1),TEXT(AQ22,"000")&amp;"."&amp;VLOOKUP(AQ22,uom_list,5,FALSE),"")</f>
        <v/>
      </c>
      <c r="AQ22" s="271" t="str">
        <f t="shared" si="20"/>
        <v/>
      </c>
      <c r="AR22" s="271" t="str">
        <f t="shared" si="21"/>
        <v/>
      </c>
      <c r="AS22" s="271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1" t="str">
        <f t="shared" si="9"/>
        <v/>
      </c>
      <c r="AU22" s="271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1" t="str">
        <f t="shared" ref="AV22" si="90">IF(M22="","",IF(invoice_location_id=1,BA22,IF(invoice_location_id=2,BB22,0)))</f>
        <v/>
      </c>
      <c r="AW22" s="271" t="s">
        <v>214</v>
      </c>
      <c r="AX22" s="271" t="str">
        <f t="shared" si="23"/>
        <v/>
      </c>
      <c r="AY22" s="271" t="str">
        <f>IF(M22="","",SUMIFS($AX$8:AX22,$I$8:I22,I22))</f>
        <v/>
      </c>
      <c r="AZ22" s="271" t="str">
        <f t="shared" si="24"/>
        <v/>
      </c>
      <c r="BA22" s="271" t="s">
        <v>214</v>
      </c>
      <c r="BB22" s="271" t="s">
        <v>214</v>
      </c>
    </row>
    <row r="23" spans="1:54" ht="27" customHeight="1">
      <c r="A23" s="583"/>
      <c r="B23" s="945"/>
      <c r="C23" s="1914"/>
      <c r="D23" s="1915"/>
      <c r="E23" s="1916"/>
      <c r="F23" s="966"/>
      <c r="I23" s="378" t="str">
        <f t="shared" si="11"/>
        <v/>
      </c>
      <c r="J23" s="907" t="str">
        <f t="shared" si="25"/>
        <v/>
      </c>
      <c r="K23" s="910" t="str">
        <f t="shared" si="0"/>
        <v/>
      </c>
      <c r="L23" s="911"/>
      <c r="M23" s="908"/>
      <c r="N23" s="906"/>
      <c r="O23" s="906"/>
      <c r="P23" s="905"/>
      <c r="Q23" s="904"/>
      <c r="R23" s="912"/>
      <c r="S23" s="890" t="str">
        <f t="shared" ref="S23" si="91">IF(M23="","",invoice_currency_symbol)</f>
        <v/>
      </c>
      <c r="T23" s="914"/>
      <c r="U23" s="915" t="str">
        <f t="shared" si="13"/>
        <v/>
      </c>
      <c r="V23" s="918" t="str">
        <f t="shared" ref="V23" si="92">IF(W23=0,"",invoice_currency_symbol)</f>
        <v/>
      </c>
      <c r="W23" s="919"/>
      <c r="X23" s="920" t="str">
        <f t="shared" ref="X23" si="93">IF(M23="","",invoice_currency_symbol)</f>
        <v/>
      </c>
      <c r="Y23" s="913" t="str">
        <f t="shared" si="16"/>
        <v/>
      </c>
      <c r="Z23" s="916"/>
      <c r="AA23" s="271" t="str" cm="1">
        <f t="array" ref="AA23">IF(M23="","",IF(P23=AN23,1,Slookup(MID(AN23,1,3)*1,UomConversion!$D$8:$J$500,5,UomConversion!$E$8:$E$500,MID(P23,1,3)*1,UomConversion!$J$8:$J$500,1)))</f>
        <v/>
      </c>
      <c r="AB23" s="271" t="str">
        <f t="shared" si="4"/>
        <v/>
      </c>
      <c r="AC23" s="271" t="str">
        <f t="shared" si="17"/>
        <v/>
      </c>
      <c r="AD23" s="271" t="str">
        <f t="shared" si="18"/>
        <v/>
      </c>
      <c r="AE23" s="271" t="str">
        <f t="shared" si="5"/>
        <v/>
      </c>
      <c r="AF23" s="271" t="str">
        <f t="shared" ref="AF23" si="94">IFERROR(IF(M23="","",IF(invoice_price_type_id=1,VLOOKUP(I23,product_list,13,FALSE),IF(invoice_price_type_id=2,VLOOKUP(I23,product_list,14,FALSE),IF(invoice_price_type_id=3,VLOOKUP(I23,product_list,15,FALSE),IF(invoice_price_type_id=4,VLOOKUP(I23,product_list,16,FALSE),IF(invoice_price_type_id=5,VLOOKUP(I23,product_list,12,FALSE),"")))))),"")</f>
        <v/>
      </c>
      <c r="AG23" s="271" t="str">
        <f t="shared" si="7"/>
        <v/>
      </c>
      <c r="AH23" s="271" t="s">
        <v>214</v>
      </c>
      <c r="AI23" s="271" t="s">
        <v>214</v>
      </c>
      <c r="AJ23" s="271" t="s">
        <v>214</v>
      </c>
      <c r="AK23" s="271" t="s">
        <v>214</v>
      </c>
      <c r="AL23" s="271" t="s">
        <v>214</v>
      </c>
      <c r="AM23" s="271" t="s">
        <v>214</v>
      </c>
      <c r="AN23" s="271" t="str">
        <f t="shared" si="8"/>
        <v/>
      </c>
      <c r="AO23" s="271" t="str">
        <f>IF(OR(ISNA(MATCH(MID(AN23,1,3)*1,UomConversion!$D$8:$D$500,0)),M23=""),"",IF(AT23="","",AT23))</f>
        <v/>
      </c>
      <c r="AP23" s="271" t="str">
        <f>IF(AND(AQ23&gt;0,COUNTIFS(UomConversion!$D$8:$D$500,MID(AN23,1,3)*1,UomConversion!$J$8:$J$500,1)&gt;1),TEXT(AQ23,"000")&amp;"."&amp;VLOOKUP(AQ23,uom_list,5,FALSE),"")</f>
        <v/>
      </c>
      <c r="AQ23" s="271" t="str">
        <f t="shared" si="20"/>
        <v/>
      </c>
      <c r="AR23" s="271" t="str">
        <f t="shared" si="21"/>
        <v/>
      </c>
      <c r="AS23" s="271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1" t="str">
        <f t="shared" si="9"/>
        <v/>
      </c>
      <c r="AU23" s="271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1" t="str">
        <f t="shared" ref="AV23" si="95">IF(M23="","",IF(invoice_location_id=1,BA23,IF(invoice_location_id=2,BB23,0)))</f>
        <v/>
      </c>
      <c r="AW23" s="271" t="s">
        <v>214</v>
      </c>
      <c r="AX23" s="271" t="str">
        <f t="shared" si="23"/>
        <v/>
      </c>
      <c r="AY23" s="271" t="str">
        <f>IF(M23="","",SUMIFS($AX$8:AX23,$I$8:I23,I23))</f>
        <v/>
      </c>
      <c r="AZ23" s="271" t="str">
        <f t="shared" si="24"/>
        <v/>
      </c>
      <c r="BA23" s="271" t="s">
        <v>214</v>
      </c>
      <c r="BB23" s="271" t="s">
        <v>214</v>
      </c>
    </row>
    <row r="24" spans="1:54" ht="27" customHeight="1">
      <c r="A24" s="583"/>
      <c r="B24" s="945"/>
      <c r="C24" s="1917"/>
      <c r="D24" s="1918"/>
      <c r="E24" s="1919"/>
      <c r="F24" s="966"/>
      <c r="I24" s="378" t="str">
        <f t="shared" si="11"/>
        <v/>
      </c>
      <c r="J24" s="907" t="str">
        <f t="shared" si="25"/>
        <v/>
      </c>
      <c r="K24" s="910" t="str">
        <f t="shared" si="0"/>
        <v/>
      </c>
      <c r="L24" s="911"/>
      <c r="M24" s="908"/>
      <c r="N24" s="906"/>
      <c r="O24" s="906"/>
      <c r="P24" s="905"/>
      <c r="Q24" s="904"/>
      <c r="R24" s="912"/>
      <c r="S24" s="890" t="str">
        <f t="shared" ref="S24" si="96">IF(M24="","",invoice_currency_symbol)</f>
        <v/>
      </c>
      <c r="T24" s="914"/>
      <c r="U24" s="915" t="str">
        <f t="shared" si="13"/>
        <v/>
      </c>
      <c r="V24" s="918" t="str">
        <f t="shared" ref="V24" si="97">IF(W24=0,"",invoice_currency_symbol)</f>
        <v/>
      </c>
      <c r="W24" s="919"/>
      <c r="X24" s="920" t="str">
        <f t="shared" ref="X24" si="98">IF(M24="","",invoice_currency_symbol)</f>
        <v/>
      </c>
      <c r="Y24" s="913" t="str">
        <f t="shared" si="16"/>
        <v/>
      </c>
      <c r="Z24" s="916"/>
      <c r="AA24" s="271" t="str" cm="1">
        <f t="array" ref="AA24">IF(M24="","",IF(P24=AN24,1,Slookup(MID(AN24,1,3)*1,UomConversion!$D$8:$J$500,5,UomConversion!$E$8:$E$500,MID(P24,1,3)*1,UomConversion!$J$8:$J$500,1)))</f>
        <v/>
      </c>
      <c r="AB24" s="271" t="str">
        <f t="shared" si="4"/>
        <v/>
      </c>
      <c r="AC24" s="271" t="str">
        <f t="shared" si="17"/>
        <v/>
      </c>
      <c r="AD24" s="271" t="str">
        <f t="shared" si="18"/>
        <v/>
      </c>
      <c r="AE24" s="271" t="str">
        <f t="shared" si="5"/>
        <v/>
      </c>
      <c r="AF24" s="271" t="str">
        <f t="shared" ref="AF24" si="99">IFERROR(IF(M24="","",IF(invoice_price_type_id=1,VLOOKUP(I24,product_list,13,FALSE),IF(invoice_price_type_id=2,VLOOKUP(I24,product_list,14,FALSE),IF(invoice_price_type_id=3,VLOOKUP(I24,product_list,15,FALSE),IF(invoice_price_type_id=4,VLOOKUP(I24,product_list,16,FALSE),IF(invoice_price_type_id=5,VLOOKUP(I24,product_list,12,FALSE),"")))))),"")</f>
        <v/>
      </c>
      <c r="AG24" s="271" t="str">
        <f t="shared" si="7"/>
        <v/>
      </c>
      <c r="AH24" s="271" t="s">
        <v>214</v>
      </c>
      <c r="AI24" s="271" t="s">
        <v>214</v>
      </c>
      <c r="AJ24" s="271" t="s">
        <v>214</v>
      </c>
      <c r="AK24" s="271" t="s">
        <v>214</v>
      </c>
      <c r="AL24" s="271" t="s">
        <v>214</v>
      </c>
      <c r="AM24" s="271" t="s">
        <v>214</v>
      </c>
      <c r="AN24" s="271" t="str">
        <f t="shared" si="8"/>
        <v/>
      </c>
      <c r="AO24" s="271" t="str">
        <f>IF(OR(ISNA(MATCH(MID(AN24,1,3)*1,UomConversion!$D$8:$D$500,0)),M24=""),"",IF(AT24="","",AT24))</f>
        <v/>
      </c>
      <c r="AP24" s="271" t="str">
        <f>IF(AND(AQ24&gt;0,COUNTIFS(UomConversion!$D$8:$D$500,MID(AN24,1,3)*1,UomConversion!$J$8:$J$500,1)&gt;1),TEXT(AQ24,"000")&amp;"."&amp;VLOOKUP(AQ24,uom_list,5,FALSE),"")</f>
        <v/>
      </c>
      <c r="AQ24" s="271" t="str">
        <f t="shared" si="20"/>
        <v/>
      </c>
      <c r="AR24" s="271" t="str">
        <f t="shared" si="21"/>
        <v/>
      </c>
      <c r="AS24" s="271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1" t="str">
        <f t="shared" si="9"/>
        <v/>
      </c>
      <c r="AU24" s="271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1" t="str">
        <f t="shared" ref="AV24" si="100">IF(M24="","",IF(invoice_location_id=1,BA24,IF(invoice_location_id=2,BB24,0)))</f>
        <v/>
      </c>
      <c r="AW24" s="271" t="s">
        <v>214</v>
      </c>
      <c r="AX24" s="271" t="str">
        <f t="shared" si="23"/>
        <v/>
      </c>
      <c r="AY24" s="271" t="str">
        <f>IF(M24="","",SUMIFS($AX$8:AX24,$I$8:I24,I24))</f>
        <v/>
      </c>
      <c r="AZ24" s="271" t="str">
        <f t="shared" si="24"/>
        <v/>
      </c>
      <c r="BA24" s="271" t="s">
        <v>214</v>
      </c>
      <c r="BB24" s="271" t="s">
        <v>214</v>
      </c>
    </row>
    <row r="25" spans="1:54" ht="27" customHeight="1">
      <c r="A25" s="583"/>
      <c r="B25" s="945"/>
      <c r="C25" s="648"/>
      <c r="D25" s="648"/>
      <c r="E25" s="648"/>
      <c r="F25" s="966"/>
      <c r="I25" s="378" t="str">
        <f t="shared" si="11"/>
        <v/>
      </c>
      <c r="J25" s="907" t="str">
        <f t="shared" si="25"/>
        <v/>
      </c>
      <c r="K25" s="910" t="str">
        <f t="shared" si="0"/>
        <v/>
      </c>
      <c r="L25" s="911"/>
      <c r="M25" s="908"/>
      <c r="N25" s="906"/>
      <c r="O25" s="906"/>
      <c r="P25" s="905"/>
      <c r="Q25" s="904"/>
      <c r="R25" s="912"/>
      <c r="S25" s="890" t="str">
        <f t="shared" ref="S25" si="101">IF(M25="","",invoice_currency_symbol)</f>
        <v/>
      </c>
      <c r="T25" s="914"/>
      <c r="U25" s="915" t="str">
        <f t="shared" si="13"/>
        <v/>
      </c>
      <c r="V25" s="918" t="str">
        <f t="shared" ref="V25" si="102">IF(W25=0,"",invoice_currency_symbol)</f>
        <v/>
      </c>
      <c r="W25" s="919"/>
      <c r="X25" s="920" t="str">
        <f t="shared" ref="X25" si="103">IF(M25="","",invoice_currency_symbol)</f>
        <v/>
      </c>
      <c r="Y25" s="913" t="str">
        <f t="shared" si="16"/>
        <v/>
      </c>
      <c r="Z25" s="916"/>
      <c r="AA25" s="271" t="str" cm="1">
        <f t="array" ref="AA25">IF(M25="","",IF(P25=AN25,1,Slookup(MID(AN25,1,3)*1,UomConversion!$D$8:$J$500,5,UomConversion!$E$8:$E$500,MID(P25,1,3)*1,UomConversion!$J$8:$J$500,1)))</f>
        <v/>
      </c>
      <c r="AB25" s="271" t="str">
        <f t="shared" si="4"/>
        <v/>
      </c>
      <c r="AC25" s="271" t="str">
        <f t="shared" si="17"/>
        <v/>
      </c>
      <c r="AD25" s="271" t="str">
        <f t="shared" si="18"/>
        <v/>
      </c>
      <c r="AE25" s="271" t="str">
        <f t="shared" si="5"/>
        <v/>
      </c>
      <c r="AF25" s="271" t="str">
        <f t="shared" ref="AF25" si="104">IFERROR(IF(M25="","",IF(invoice_price_type_id=1,VLOOKUP(I25,product_list,13,FALSE),IF(invoice_price_type_id=2,VLOOKUP(I25,product_list,14,FALSE),IF(invoice_price_type_id=3,VLOOKUP(I25,product_list,15,FALSE),IF(invoice_price_type_id=4,VLOOKUP(I25,product_list,16,FALSE),IF(invoice_price_type_id=5,VLOOKUP(I25,product_list,12,FALSE),"")))))),"")</f>
        <v/>
      </c>
      <c r="AG25" s="271" t="str">
        <f t="shared" si="7"/>
        <v/>
      </c>
      <c r="AH25" s="271" t="s">
        <v>214</v>
      </c>
      <c r="AI25" s="271" t="s">
        <v>214</v>
      </c>
      <c r="AJ25" s="271" t="s">
        <v>214</v>
      </c>
      <c r="AK25" s="271" t="s">
        <v>214</v>
      </c>
      <c r="AL25" s="271" t="s">
        <v>214</v>
      </c>
      <c r="AM25" s="271" t="s">
        <v>214</v>
      </c>
      <c r="AN25" s="271" t="str">
        <f t="shared" si="8"/>
        <v/>
      </c>
      <c r="AO25" s="271" t="str">
        <f>IF(OR(ISNA(MATCH(MID(AN25,1,3)*1,UomConversion!$D$8:$D$500,0)),M25=""),"",IF(AT25="","",AT25))</f>
        <v/>
      </c>
      <c r="AP25" s="271" t="str">
        <f>IF(AND(AQ25&gt;0,COUNTIFS(UomConversion!$D$8:$D$500,MID(AN25,1,3)*1,UomConversion!$J$8:$J$500,1)&gt;1),TEXT(AQ25,"000")&amp;"."&amp;VLOOKUP(AQ25,uom_list,5,FALSE),"")</f>
        <v/>
      </c>
      <c r="AQ25" s="271" t="str">
        <f t="shared" si="20"/>
        <v/>
      </c>
      <c r="AR25" s="271" t="str">
        <f t="shared" si="21"/>
        <v/>
      </c>
      <c r="AS25" s="271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1" t="str">
        <f t="shared" si="9"/>
        <v/>
      </c>
      <c r="AU25" s="271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1" t="str">
        <f t="shared" ref="AV25" si="105">IF(M25="","",IF(invoice_location_id=1,BA25,IF(invoice_location_id=2,BB25,0)))</f>
        <v/>
      </c>
      <c r="AW25" s="271" t="s">
        <v>214</v>
      </c>
      <c r="AX25" s="271" t="str">
        <f t="shared" si="23"/>
        <v/>
      </c>
      <c r="AY25" s="271" t="str">
        <f>IF(M25="","",SUMIFS($AX$8:AX25,$I$8:I25,I25))</f>
        <v/>
      </c>
      <c r="AZ25" s="271" t="str">
        <f t="shared" si="24"/>
        <v/>
      </c>
      <c r="BA25" s="271" t="s">
        <v>214</v>
      </c>
      <c r="BB25" s="271" t="s">
        <v>214</v>
      </c>
    </row>
    <row r="26" spans="1:54" ht="27" customHeight="1">
      <c r="A26" s="583"/>
      <c r="B26" s="945"/>
      <c r="C26" s="648"/>
      <c r="D26" s="648"/>
      <c r="E26" s="648"/>
      <c r="F26" s="966"/>
      <c r="I26" s="378" t="str">
        <f t="shared" si="11"/>
        <v/>
      </c>
      <c r="J26" s="907" t="str">
        <f t="shared" si="25"/>
        <v/>
      </c>
      <c r="K26" s="910" t="str">
        <f t="shared" si="0"/>
        <v/>
      </c>
      <c r="L26" s="911"/>
      <c r="M26" s="908"/>
      <c r="N26" s="906"/>
      <c r="O26" s="906"/>
      <c r="P26" s="905"/>
      <c r="Q26" s="904"/>
      <c r="R26" s="912"/>
      <c r="S26" s="890" t="str">
        <f t="shared" ref="S26" si="106">IF(M26="","",invoice_currency_symbol)</f>
        <v/>
      </c>
      <c r="T26" s="914"/>
      <c r="U26" s="915" t="str">
        <f t="shared" si="13"/>
        <v/>
      </c>
      <c r="V26" s="918" t="str">
        <f t="shared" ref="V26" si="107">IF(W26=0,"",invoice_currency_symbol)</f>
        <v/>
      </c>
      <c r="W26" s="919"/>
      <c r="X26" s="920" t="str">
        <f t="shared" ref="X26" si="108">IF(M26="","",invoice_currency_symbol)</f>
        <v/>
      </c>
      <c r="Y26" s="913" t="str">
        <f t="shared" si="16"/>
        <v/>
      </c>
      <c r="Z26" s="916"/>
      <c r="AA26" s="271" t="str" cm="1">
        <f t="array" ref="AA26">IF(M26="","",IF(P26=AN26,1,Slookup(MID(AN26,1,3)*1,UomConversion!$D$8:$J$500,5,UomConversion!$E$8:$E$500,MID(P26,1,3)*1,UomConversion!$J$8:$J$500,1)))</f>
        <v/>
      </c>
      <c r="AB26" s="271" t="str">
        <f t="shared" si="4"/>
        <v/>
      </c>
      <c r="AC26" s="271" t="str">
        <f t="shared" si="17"/>
        <v/>
      </c>
      <c r="AD26" s="271" t="str">
        <f t="shared" si="18"/>
        <v/>
      </c>
      <c r="AE26" s="271" t="str">
        <f t="shared" si="5"/>
        <v/>
      </c>
      <c r="AF26" s="271" t="str">
        <f t="shared" ref="AF26" si="109">IFERROR(IF(M26="","",IF(invoice_price_type_id=1,VLOOKUP(I26,product_list,13,FALSE),IF(invoice_price_type_id=2,VLOOKUP(I26,product_list,14,FALSE),IF(invoice_price_type_id=3,VLOOKUP(I26,product_list,15,FALSE),IF(invoice_price_type_id=4,VLOOKUP(I26,product_list,16,FALSE),IF(invoice_price_type_id=5,VLOOKUP(I26,product_list,12,FALSE),"")))))),"")</f>
        <v/>
      </c>
      <c r="AG26" s="271" t="str">
        <f t="shared" si="7"/>
        <v/>
      </c>
      <c r="AH26" s="271" t="s">
        <v>214</v>
      </c>
      <c r="AI26" s="271" t="s">
        <v>214</v>
      </c>
      <c r="AJ26" s="271" t="s">
        <v>214</v>
      </c>
      <c r="AK26" s="271" t="s">
        <v>214</v>
      </c>
      <c r="AL26" s="271" t="s">
        <v>214</v>
      </c>
      <c r="AM26" s="271" t="s">
        <v>214</v>
      </c>
      <c r="AN26" s="271" t="str">
        <f t="shared" si="8"/>
        <v/>
      </c>
      <c r="AO26" s="271" t="str">
        <f>IF(OR(ISNA(MATCH(MID(AN26,1,3)*1,UomConversion!$D$8:$D$500,0)),M26=""),"",IF(AT26="","",AT26))</f>
        <v/>
      </c>
      <c r="AP26" s="271" t="str">
        <f>IF(AND(AQ26&gt;0,COUNTIFS(UomConversion!$D$8:$D$500,MID(AN26,1,3)*1,UomConversion!$J$8:$J$500,1)&gt;1),TEXT(AQ26,"000")&amp;"."&amp;VLOOKUP(AQ26,uom_list,5,FALSE),"")</f>
        <v/>
      </c>
      <c r="AQ26" s="271" t="str">
        <f t="shared" si="20"/>
        <v/>
      </c>
      <c r="AR26" s="271" t="str">
        <f t="shared" si="21"/>
        <v/>
      </c>
      <c r="AS26" s="271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1" t="str">
        <f t="shared" si="9"/>
        <v/>
      </c>
      <c r="AU26" s="271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1" t="str">
        <f t="shared" ref="AV26" si="110">IF(M26="","",IF(invoice_location_id=1,BA26,IF(invoice_location_id=2,BB26,0)))</f>
        <v/>
      </c>
      <c r="AW26" s="271" t="s">
        <v>214</v>
      </c>
      <c r="AX26" s="271" t="str">
        <f t="shared" si="23"/>
        <v/>
      </c>
      <c r="AY26" s="271" t="str">
        <f>IF(M26="","",SUMIFS($AX$8:AX26,$I$8:I26,I26))</f>
        <v/>
      </c>
      <c r="AZ26" s="271" t="str">
        <f t="shared" si="24"/>
        <v/>
      </c>
      <c r="BA26" s="271" t="s">
        <v>214</v>
      </c>
      <c r="BB26" s="271" t="s">
        <v>214</v>
      </c>
    </row>
    <row r="27" spans="1:54" ht="27" customHeight="1">
      <c r="A27" s="583"/>
      <c r="B27" s="945"/>
      <c r="C27" s="648"/>
      <c r="D27" s="648"/>
      <c r="E27" s="648"/>
      <c r="F27" s="966"/>
      <c r="I27" s="378" t="str">
        <f t="shared" si="11"/>
        <v/>
      </c>
      <c r="J27" s="907" t="str">
        <f t="shared" si="25"/>
        <v/>
      </c>
      <c r="K27" s="910" t="str">
        <f t="shared" si="0"/>
        <v/>
      </c>
      <c r="L27" s="911"/>
      <c r="M27" s="908"/>
      <c r="N27" s="906"/>
      <c r="O27" s="906"/>
      <c r="P27" s="905"/>
      <c r="Q27" s="904"/>
      <c r="R27" s="912"/>
      <c r="S27" s="890" t="str">
        <f t="shared" ref="S27" si="111">IF(M27="","",invoice_currency_symbol)</f>
        <v/>
      </c>
      <c r="T27" s="914"/>
      <c r="U27" s="915" t="str">
        <f t="shared" si="13"/>
        <v/>
      </c>
      <c r="V27" s="918" t="str">
        <f t="shared" ref="V27" si="112">IF(W27=0,"",invoice_currency_symbol)</f>
        <v/>
      </c>
      <c r="W27" s="919"/>
      <c r="X27" s="920" t="str">
        <f t="shared" ref="X27" si="113">IF(M27="","",invoice_currency_symbol)</f>
        <v/>
      </c>
      <c r="Y27" s="913" t="str">
        <f t="shared" si="16"/>
        <v/>
      </c>
      <c r="Z27" s="916"/>
      <c r="AA27" s="271" t="str" cm="1">
        <f t="array" ref="AA27">IF(M27="","",IF(P27=AN27,1,Slookup(MID(AN27,1,3)*1,UomConversion!$D$8:$J$500,5,UomConversion!$E$8:$E$500,MID(P27,1,3)*1,UomConversion!$J$8:$J$500,1)))</f>
        <v/>
      </c>
      <c r="AB27" s="271" t="str">
        <f t="shared" si="4"/>
        <v/>
      </c>
      <c r="AC27" s="271" t="str">
        <f t="shared" si="17"/>
        <v/>
      </c>
      <c r="AD27" s="271" t="str">
        <f t="shared" si="18"/>
        <v/>
      </c>
      <c r="AE27" s="271" t="str">
        <f t="shared" si="5"/>
        <v/>
      </c>
      <c r="AF27" s="271" t="str">
        <f t="shared" ref="AF27" si="114">IFERROR(IF(M27="","",IF(invoice_price_type_id=1,VLOOKUP(I27,product_list,13,FALSE),IF(invoice_price_type_id=2,VLOOKUP(I27,product_list,14,FALSE),IF(invoice_price_type_id=3,VLOOKUP(I27,product_list,15,FALSE),IF(invoice_price_type_id=4,VLOOKUP(I27,product_list,16,FALSE),IF(invoice_price_type_id=5,VLOOKUP(I27,product_list,12,FALSE),"")))))),"")</f>
        <v/>
      </c>
      <c r="AG27" s="271" t="str">
        <f t="shared" si="7"/>
        <v/>
      </c>
      <c r="AH27" s="271" t="s">
        <v>214</v>
      </c>
      <c r="AI27" s="271" t="s">
        <v>214</v>
      </c>
      <c r="AJ27" s="271" t="s">
        <v>214</v>
      </c>
      <c r="AK27" s="271" t="s">
        <v>214</v>
      </c>
      <c r="AL27" s="271" t="s">
        <v>214</v>
      </c>
      <c r="AM27" s="271" t="s">
        <v>214</v>
      </c>
      <c r="AN27" s="271" t="str">
        <f t="shared" si="8"/>
        <v/>
      </c>
      <c r="AO27" s="271" t="str">
        <f>IF(OR(ISNA(MATCH(MID(AN27,1,3)*1,UomConversion!$D$8:$D$500,0)),M27=""),"",IF(AT27="","",AT27))</f>
        <v/>
      </c>
      <c r="AP27" s="271" t="str">
        <f>IF(AND(AQ27&gt;0,COUNTIFS(UomConversion!$D$8:$D$500,MID(AN27,1,3)*1,UomConversion!$J$8:$J$500,1)&gt;1),TEXT(AQ27,"000")&amp;"."&amp;VLOOKUP(AQ27,uom_list,5,FALSE),"")</f>
        <v/>
      </c>
      <c r="AQ27" s="271" t="str">
        <f t="shared" si="20"/>
        <v/>
      </c>
      <c r="AR27" s="271" t="str">
        <f t="shared" si="21"/>
        <v/>
      </c>
      <c r="AS27" s="271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1" t="str">
        <f t="shared" si="9"/>
        <v/>
      </c>
      <c r="AU27" s="271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1" t="str">
        <f t="shared" ref="AV27" si="115">IF(M27="","",IF(invoice_location_id=1,BA27,IF(invoice_location_id=2,BB27,0)))</f>
        <v/>
      </c>
      <c r="AW27" s="271" t="s">
        <v>214</v>
      </c>
      <c r="AX27" s="271" t="str">
        <f t="shared" si="23"/>
        <v/>
      </c>
      <c r="AY27" s="271" t="str">
        <f>IF(M27="","",SUMIFS($AX$8:AX27,$I$8:I27,I27))</f>
        <v/>
      </c>
      <c r="AZ27" s="271" t="str">
        <f t="shared" si="24"/>
        <v/>
      </c>
      <c r="BA27" s="271" t="s">
        <v>214</v>
      </c>
      <c r="BB27" s="271" t="s">
        <v>214</v>
      </c>
    </row>
    <row r="28" spans="1:54" ht="27" customHeight="1">
      <c r="A28" s="583"/>
      <c r="B28" s="945"/>
      <c r="C28" s="648"/>
      <c r="D28" s="648"/>
      <c r="E28" s="648"/>
      <c r="F28" s="966"/>
      <c r="I28" s="378" t="str">
        <f t="shared" si="11"/>
        <v/>
      </c>
      <c r="J28" s="907" t="str">
        <f t="shared" si="25"/>
        <v/>
      </c>
      <c r="K28" s="910" t="str">
        <f t="shared" si="0"/>
        <v/>
      </c>
      <c r="L28" s="911"/>
      <c r="M28" s="908"/>
      <c r="N28" s="906"/>
      <c r="O28" s="906"/>
      <c r="P28" s="905"/>
      <c r="Q28" s="904"/>
      <c r="R28" s="912"/>
      <c r="S28" s="890" t="str">
        <f t="shared" ref="S28" si="116">IF(M28="","",invoice_currency_symbol)</f>
        <v/>
      </c>
      <c r="T28" s="914"/>
      <c r="U28" s="915" t="str">
        <f t="shared" si="13"/>
        <v/>
      </c>
      <c r="V28" s="918" t="str">
        <f t="shared" ref="V28" si="117">IF(W28=0,"",invoice_currency_symbol)</f>
        <v/>
      </c>
      <c r="W28" s="919"/>
      <c r="X28" s="920" t="str">
        <f t="shared" ref="X28" si="118">IF(M28="","",invoice_currency_symbol)</f>
        <v/>
      </c>
      <c r="Y28" s="913" t="str">
        <f t="shared" si="16"/>
        <v/>
      </c>
      <c r="Z28" s="916"/>
      <c r="AA28" s="271" t="str" cm="1">
        <f t="array" ref="AA28">IF(M28="","",IF(P28=AN28,1,Slookup(MID(AN28,1,3)*1,UomConversion!$D$8:$J$500,5,UomConversion!$E$8:$E$500,MID(P28,1,3)*1,UomConversion!$J$8:$J$500,1)))</f>
        <v/>
      </c>
      <c r="AB28" s="271" t="str">
        <f t="shared" si="4"/>
        <v/>
      </c>
      <c r="AC28" s="271" t="str">
        <f t="shared" si="17"/>
        <v/>
      </c>
      <c r="AD28" s="271" t="str">
        <f t="shared" si="18"/>
        <v/>
      </c>
      <c r="AE28" s="271" t="str">
        <f t="shared" si="5"/>
        <v/>
      </c>
      <c r="AF28" s="271" t="str">
        <f t="shared" ref="AF28" si="119">IFERROR(IF(M28="","",IF(invoice_price_type_id=1,VLOOKUP(I28,product_list,13,FALSE),IF(invoice_price_type_id=2,VLOOKUP(I28,product_list,14,FALSE),IF(invoice_price_type_id=3,VLOOKUP(I28,product_list,15,FALSE),IF(invoice_price_type_id=4,VLOOKUP(I28,product_list,16,FALSE),IF(invoice_price_type_id=5,VLOOKUP(I28,product_list,12,FALSE),"")))))),"")</f>
        <v/>
      </c>
      <c r="AG28" s="271" t="str">
        <f t="shared" si="7"/>
        <v/>
      </c>
      <c r="AH28" s="271" t="s">
        <v>214</v>
      </c>
      <c r="AI28" s="271" t="s">
        <v>214</v>
      </c>
      <c r="AJ28" s="271" t="s">
        <v>214</v>
      </c>
      <c r="AK28" s="271" t="s">
        <v>214</v>
      </c>
      <c r="AL28" s="271" t="s">
        <v>214</v>
      </c>
      <c r="AM28" s="271" t="s">
        <v>214</v>
      </c>
      <c r="AN28" s="271" t="str">
        <f t="shared" si="8"/>
        <v/>
      </c>
      <c r="AO28" s="271" t="str">
        <f>IF(OR(ISNA(MATCH(MID(AN28,1,3)*1,UomConversion!$D$8:$D$500,0)),M28=""),"",IF(AT28="","",AT28))</f>
        <v/>
      </c>
      <c r="AP28" s="271" t="str">
        <f>IF(AND(AQ28&gt;0,COUNTIFS(UomConversion!$D$8:$D$500,MID(AN28,1,3)*1,UomConversion!$J$8:$J$500,1)&gt;1),TEXT(AQ28,"000")&amp;"."&amp;VLOOKUP(AQ28,uom_list,5,FALSE),"")</f>
        <v/>
      </c>
      <c r="AQ28" s="271" t="str">
        <f t="shared" si="20"/>
        <v/>
      </c>
      <c r="AR28" s="271" t="str">
        <f t="shared" si="21"/>
        <v/>
      </c>
      <c r="AS28" s="271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1" t="str">
        <f t="shared" si="9"/>
        <v/>
      </c>
      <c r="AU28" s="271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1" t="str">
        <f t="shared" ref="AV28" si="120">IF(M28="","",IF(invoice_location_id=1,BA28,IF(invoice_location_id=2,BB28,0)))</f>
        <v/>
      </c>
      <c r="AW28" s="271" t="s">
        <v>214</v>
      </c>
      <c r="AX28" s="271" t="str">
        <f t="shared" si="23"/>
        <v/>
      </c>
      <c r="AY28" s="271" t="str">
        <f>IF(M28="","",SUMIFS($AX$8:AX28,$I$8:I28,I28))</f>
        <v/>
      </c>
      <c r="AZ28" s="271" t="str">
        <f t="shared" si="24"/>
        <v/>
      </c>
      <c r="BA28" s="271" t="s">
        <v>214</v>
      </c>
      <c r="BB28" s="271" t="s">
        <v>214</v>
      </c>
    </row>
    <row r="29" spans="1:54" ht="27" customHeight="1">
      <c r="A29" s="583"/>
      <c r="B29" s="945"/>
      <c r="C29" s="648"/>
      <c r="D29" s="648"/>
      <c r="E29" s="648"/>
      <c r="F29" s="966"/>
      <c r="I29" s="378" t="str">
        <f t="shared" si="11"/>
        <v/>
      </c>
      <c r="J29" s="907" t="str">
        <f t="shared" si="25"/>
        <v/>
      </c>
      <c r="K29" s="910" t="str">
        <f t="shared" si="0"/>
        <v/>
      </c>
      <c r="L29" s="911"/>
      <c r="M29" s="908"/>
      <c r="N29" s="906"/>
      <c r="O29" s="906"/>
      <c r="P29" s="905"/>
      <c r="Q29" s="904"/>
      <c r="R29" s="912"/>
      <c r="S29" s="890" t="str">
        <f t="shared" ref="S29" si="121">IF(M29="","",invoice_currency_symbol)</f>
        <v/>
      </c>
      <c r="T29" s="914"/>
      <c r="U29" s="915" t="str">
        <f t="shared" si="13"/>
        <v/>
      </c>
      <c r="V29" s="918" t="str">
        <f t="shared" ref="V29" si="122">IF(W29=0,"",invoice_currency_symbol)</f>
        <v/>
      </c>
      <c r="W29" s="919"/>
      <c r="X29" s="920" t="str">
        <f t="shared" ref="X29" si="123">IF(M29="","",invoice_currency_symbol)</f>
        <v/>
      </c>
      <c r="Y29" s="913" t="str">
        <f t="shared" si="16"/>
        <v/>
      </c>
      <c r="Z29" s="916"/>
      <c r="AA29" s="271" t="str" cm="1">
        <f t="array" ref="AA29">IF(M29="","",IF(P29=AN29,1,Slookup(MID(AN29,1,3)*1,UomConversion!$D$8:$J$500,5,UomConversion!$E$8:$E$500,MID(P29,1,3)*1,UomConversion!$J$8:$J$500,1)))</f>
        <v/>
      </c>
      <c r="AB29" s="271" t="str">
        <f t="shared" si="4"/>
        <v/>
      </c>
      <c r="AC29" s="271" t="str">
        <f t="shared" si="17"/>
        <v/>
      </c>
      <c r="AD29" s="271" t="str">
        <f t="shared" si="18"/>
        <v/>
      </c>
      <c r="AE29" s="271" t="str">
        <f t="shared" si="5"/>
        <v/>
      </c>
      <c r="AF29" s="271" t="str">
        <f t="shared" ref="AF29" si="124">IFERROR(IF(M29="","",IF(invoice_price_type_id=1,VLOOKUP(I29,product_list,13,FALSE),IF(invoice_price_type_id=2,VLOOKUP(I29,product_list,14,FALSE),IF(invoice_price_type_id=3,VLOOKUP(I29,product_list,15,FALSE),IF(invoice_price_type_id=4,VLOOKUP(I29,product_list,16,FALSE),IF(invoice_price_type_id=5,VLOOKUP(I29,product_list,12,FALSE),"")))))),"")</f>
        <v/>
      </c>
      <c r="AG29" s="271" t="str">
        <f t="shared" si="7"/>
        <v/>
      </c>
      <c r="AH29" s="271" t="s">
        <v>214</v>
      </c>
      <c r="AI29" s="271" t="s">
        <v>214</v>
      </c>
      <c r="AJ29" s="271" t="s">
        <v>214</v>
      </c>
      <c r="AK29" s="271" t="s">
        <v>214</v>
      </c>
      <c r="AL29" s="271" t="s">
        <v>214</v>
      </c>
      <c r="AM29" s="271" t="s">
        <v>214</v>
      </c>
      <c r="AN29" s="271" t="str">
        <f t="shared" si="8"/>
        <v/>
      </c>
      <c r="AO29" s="271" t="str">
        <f>IF(OR(ISNA(MATCH(MID(AN29,1,3)*1,UomConversion!$D$8:$D$500,0)),M29=""),"",IF(AT29="","",AT29))</f>
        <v/>
      </c>
      <c r="AP29" s="271" t="str">
        <f>IF(AND(AQ29&gt;0,COUNTIFS(UomConversion!$D$8:$D$500,MID(AN29,1,3)*1,UomConversion!$J$8:$J$500,1)&gt;1),TEXT(AQ29,"000")&amp;"."&amp;VLOOKUP(AQ29,uom_list,5,FALSE),"")</f>
        <v/>
      </c>
      <c r="AQ29" s="271" t="str">
        <f t="shared" si="20"/>
        <v/>
      </c>
      <c r="AR29" s="271" t="str">
        <f t="shared" si="21"/>
        <v/>
      </c>
      <c r="AS29" s="271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1" t="str">
        <f t="shared" si="9"/>
        <v/>
      </c>
      <c r="AU29" s="271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1" t="str">
        <f t="shared" ref="AV29" si="125">IF(M29="","",IF(invoice_location_id=1,BA29,IF(invoice_location_id=2,BB29,0)))</f>
        <v/>
      </c>
      <c r="AW29" s="271" t="s">
        <v>214</v>
      </c>
      <c r="AX29" s="271" t="str">
        <f t="shared" si="23"/>
        <v/>
      </c>
      <c r="AY29" s="271" t="str">
        <f>IF(M29="","",SUMIFS($AX$8:AX29,$I$8:I29,I29))</f>
        <v/>
      </c>
      <c r="AZ29" s="271" t="str">
        <f t="shared" si="24"/>
        <v/>
      </c>
      <c r="BA29" s="271" t="s">
        <v>214</v>
      </c>
      <c r="BB29" s="271" t="s">
        <v>214</v>
      </c>
    </row>
    <row r="30" spans="1:54" ht="27" customHeight="1">
      <c r="A30" s="583"/>
      <c r="B30" s="945"/>
      <c r="C30" s="648"/>
      <c r="D30" s="648"/>
      <c r="E30" s="648"/>
      <c r="F30" s="966"/>
      <c r="I30" s="378" t="str">
        <f t="shared" si="11"/>
        <v/>
      </c>
      <c r="J30" s="907" t="str">
        <f t="shared" si="25"/>
        <v/>
      </c>
      <c r="K30" s="910" t="str">
        <f t="shared" si="0"/>
        <v/>
      </c>
      <c r="L30" s="911"/>
      <c r="M30" s="908"/>
      <c r="N30" s="906"/>
      <c r="O30" s="906"/>
      <c r="P30" s="905"/>
      <c r="Q30" s="904"/>
      <c r="R30" s="912"/>
      <c r="S30" s="890" t="str">
        <f t="shared" ref="S30" si="126">IF(M30="","",invoice_currency_symbol)</f>
        <v/>
      </c>
      <c r="T30" s="914"/>
      <c r="U30" s="915" t="str">
        <f t="shared" si="13"/>
        <v/>
      </c>
      <c r="V30" s="918" t="str">
        <f t="shared" ref="V30" si="127">IF(W30=0,"",invoice_currency_symbol)</f>
        <v/>
      </c>
      <c r="W30" s="919"/>
      <c r="X30" s="920" t="str">
        <f t="shared" ref="X30" si="128">IF(M30="","",invoice_currency_symbol)</f>
        <v/>
      </c>
      <c r="Y30" s="913" t="str">
        <f t="shared" si="16"/>
        <v/>
      </c>
      <c r="Z30" s="916"/>
      <c r="AA30" s="271" t="str" cm="1">
        <f t="array" ref="AA30">IF(M30="","",IF(P30=AN30,1,Slookup(MID(AN30,1,3)*1,UomConversion!$D$8:$J$500,5,UomConversion!$E$8:$E$500,MID(P30,1,3)*1,UomConversion!$J$8:$J$500,1)))</f>
        <v/>
      </c>
      <c r="AB30" s="271" t="str">
        <f t="shared" si="4"/>
        <v/>
      </c>
      <c r="AC30" s="271" t="str">
        <f t="shared" si="17"/>
        <v/>
      </c>
      <c r="AD30" s="271" t="str">
        <f t="shared" si="18"/>
        <v/>
      </c>
      <c r="AE30" s="271" t="str">
        <f t="shared" si="5"/>
        <v/>
      </c>
      <c r="AF30" s="271" t="str">
        <f t="shared" ref="AF30" si="129">IFERROR(IF(M30="","",IF(invoice_price_type_id=1,VLOOKUP(I30,product_list,13,FALSE),IF(invoice_price_type_id=2,VLOOKUP(I30,product_list,14,FALSE),IF(invoice_price_type_id=3,VLOOKUP(I30,product_list,15,FALSE),IF(invoice_price_type_id=4,VLOOKUP(I30,product_list,16,FALSE),IF(invoice_price_type_id=5,VLOOKUP(I30,product_list,12,FALSE),"")))))),"")</f>
        <v/>
      </c>
      <c r="AG30" s="271" t="str">
        <f t="shared" si="7"/>
        <v/>
      </c>
      <c r="AH30" s="271" t="s">
        <v>214</v>
      </c>
      <c r="AI30" s="271" t="s">
        <v>214</v>
      </c>
      <c r="AJ30" s="271" t="s">
        <v>214</v>
      </c>
      <c r="AK30" s="271" t="s">
        <v>214</v>
      </c>
      <c r="AL30" s="271" t="s">
        <v>214</v>
      </c>
      <c r="AM30" s="271" t="s">
        <v>214</v>
      </c>
      <c r="AN30" s="271" t="str">
        <f t="shared" si="8"/>
        <v/>
      </c>
      <c r="AO30" s="271" t="str">
        <f>IF(OR(ISNA(MATCH(MID(AN30,1,3)*1,UomConversion!$D$8:$D$500,0)),M30=""),"",IF(AT30="","",AT30))</f>
        <v/>
      </c>
      <c r="AP30" s="271" t="str">
        <f>IF(AND(AQ30&gt;0,COUNTIFS(UomConversion!$D$8:$D$500,MID(AN30,1,3)*1,UomConversion!$J$8:$J$500,1)&gt;1),TEXT(AQ30,"000")&amp;"."&amp;VLOOKUP(AQ30,uom_list,5,FALSE),"")</f>
        <v/>
      </c>
      <c r="AQ30" s="271" t="str">
        <f t="shared" si="20"/>
        <v/>
      </c>
      <c r="AR30" s="271" t="str">
        <f t="shared" si="21"/>
        <v/>
      </c>
      <c r="AS30" s="271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1" t="str">
        <f t="shared" si="9"/>
        <v/>
      </c>
      <c r="AU30" s="271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1" t="str">
        <f t="shared" ref="AV30" si="130">IF(M30="","",IF(invoice_location_id=1,BA30,IF(invoice_location_id=2,BB30,0)))</f>
        <v/>
      </c>
      <c r="AW30" s="271" t="s">
        <v>214</v>
      </c>
      <c r="AX30" s="271" t="str">
        <f t="shared" si="23"/>
        <v/>
      </c>
      <c r="AY30" s="271" t="str">
        <f>IF(M30="","",SUMIFS($AX$8:AX30,$I$8:I30,I30))</f>
        <v/>
      </c>
      <c r="AZ30" s="271" t="str">
        <f t="shared" si="24"/>
        <v/>
      </c>
      <c r="BA30" s="271" t="s">
        <v>214</v>
      </c>
      <c r="BB30" s="271" t="s">
        <v>214</v>
      </c>
    </row>
    <row r="31" spans="1:54" ht="27" customHeight="1">
      <c r="A31" s="583"/>
      <c r="B31" s="945"/>
      <c r="C31" s="648"/>
      <c r="D31" s="648"/>
      <c r="E31" s="648"/>
      <c r="F31" s="966"/>
      <c r="I31" s="378" t="str">
        <f t="shared" si="11"/>
        <v/>
      </c>
      <c r="J31" s="907" t="str">
        <f t="shared" ref="J31:J87" si="131">IF(M31="","",1)</f>
        <v/>
      </c>
      <c r="K31" s="910" t="str">
        <f t="shared" si="0"/>
        <v/>
      </c>
      <c r="L31" s="911"/>
      <c r="M31" s="908"/>
      <c r="N31" s="906"/>
      <c r="O31" s="906"/>
      <c r="P31" s="905"/>
      <c r="Q31" s="904"/>
      <c r="R31" s="912"/>
      <c r="S31" s="890" t="str">
        <f t="shared" ref="S31" si="132">IF(M31="","",invoice_currency_symbol)</f>
        <v/>
      </c>
      <c r="T31" s="914"/>
      <c r="U31" s="915" t="str">
        <f t="shared" si="13"/>
        <v/>
      </c>
      <c r="V31" s="918" t="str">
        <f t="shared" ref="V31" si="133">IF(W31=0,"",invoice_currency_symbol)</f>
        <v/>
      </c>
      <c r="W31" s="919"/>
      <c r="X31" s="920" t="str">
        <f t="shared" ref="X31" si="134">IF(M31="","",invoice_currency_symbol)</f>
        <v/>
      </c>
      <c r="Y31" s="913" t="str">
        <f t="shared" si="16"/>
        <v/>
      </c>
      <c r="Z31" s="916"/>
      <c r="AA31" s="271" t="str" cm="1">
        <f t="array" ref="AA31">IF(M31="","",IF(P31=AN31,1,Slookup(MID(AN31,1,3)*1,UomConversion!$D$8:$J$500,5,UomConversion!$E$8:$E$500,MID(P31,1,3)*1,UomConversion!$J$8:$J$500,1)))</f>
        <v/>
      </c>
      <c r="AB31" s="271" t="str">
        <f t="shared" si="4"/>
        <v/>
      </c>
      <c r="AC31" s="271" t="str">
        <f t="shared" si="17"/>
        <v/>
      </c>
      <c r="AD31" s="271" t="str">
        <f t="shared" si="18"/>
        <v/>
      </c>
      <c r="AE31" s="271" t="str">
        <f t="shared" si="5"/>
        <v/>
      </c>
      <c r="AF31" s="271" t="str">
        <f t="shared" ref="AF31" si="135">IFERROR(IF(M31="","",IF(invoice_price_type_id=1,VLOOKUP(I31,product_list,13,FALSE),IF(invoice_price_type_id=2,VLOOKUP(I31,product_list,14,FALSE),IF(invoice_price_type_id=3,VLOOKUP(I31,product_list,15,FALSE),IF(invoice_price_type_id=4,VLOOKUP(I31,product_list,16,FALSE),IF(invoice_price_type_id=5,VLOOKUP(I31,product_list,12,FALSE),"")))))),"")</f>
        <v/>
      </c>
      <c r="AG31" s="271" t="str">
        <f t="shared" si="7"/>
        <v/>
      </c>
      <c r="AH31" s="271" t="s">
        <v>214</v>
      </c>
      <c r="AI31" s="271" t="s">
        <v>214</v>
      </c>
      <c r="AJ31" s="271" t="s">
        <v>214</v>
      </c>
      <c r="AK31" s="271" t="s">
        <v>214</v>
      </c>
      <c r="AL31" s="271" t="s">
        <v>214</v>
      </c>
      <c r="AM31" s="271" t="s">
        <v>214</v>
      </c>
      <c r="AN31" s="271" t="str">
        <f t="shared" si="8"/>
        <v/>
      </c>
      <c r="AO31" s="271" t="str">
        <f>IF(OR(ISNA(MATCH(MID(AN31,1,3)*1,UomConversion!$D$8:$D$500,0)),M31=""),"",IF(AT31="","",AT31))</f>
        <v/>
      </c>
      <c r="AP31" s="271" t="str">
        <f>IF(AND(AQ31&gt;0,COUNTIFS(UomConversion!$D$8:$D$500,MID(AN31,1,3)*1,UomConversion!$J$8:$J$500,1)&gt;1),TEXT(AQ31,"000")&amp;"."&amp;VLOOKUP(AQ31,uom_list,5,FALSE),"")</f>
        <v/>
      </c>
      <c r="AQ31" s="271" t="str">
        <f t="shared" si="20"/>
        <v/>
      </c>
      <c r="AR31" s="271" t="str">
        <f t="shared" si="21"/>
        <v/>
      </c>
      <c r="AS31" s="271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1" t="str">
        <f t="shared" si="9"/>
        <v/>
      </c>
      <c r="AU31" s="271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1" t="str">
        <f t="shared" ref="AV31" si="136">IF(M31="","",IF(invoice_location_id=1,BA31,IF(invoice_location_id=2,BB31,0)))</f>
        <v/>
      </c>
      <c r="AW31" s="271" t="s">
        <v>214</v>
      </c>
      <c r="AX31" s="271" t="str">
        <f t="shared" si="23"/>
        <v/>
      </c>
      <c r="AY31" s="271" t="str">
        <f>IF(M31="","",SUMIFS($AX$8:AX31,$I$8:I31,I31))</f>
        <v/>
      </c>
      <c r="AZ31" s="271" t="str">
        <f t="shared" si="24"/>
        <v/>
      </c>
      <c r="BA31" s="271" t="s">
        <v>214</v>
      </c>
      <c r="BB31" s="271" t="s">
        <v>214</v>
      </c>
    </row>
    <row r="32" spans="1:54" ht="27" customHeight="1">
      <c r="A32" s="583"/>
      <c r="B32" s="945"/>
      <c r="C32" s="648"/>
      <c r="D32" s="648"/>
      <c r="E32" s="648"/>
      <c r="F32" s="966"/>
      <c r="I32" s="378" t="str">
        <f t="shared" si="11"/>
        <v/>
      </c>
      <c r="J32" s="907" t="str">
        <f t="shared" si="131"/>
        <v/>
      </c>
      <c r="K32" s="910" t="str">
        <f t="shared" si="0"/>
        <v/>
      </c>
      <c r="L32" s="911"/>
      <c r="M32" s="908"/>
      <c r="N32" s="906"/>
      <c r="O32" s="906"/>
      <c r="P32" s="905"/>
      <c r="Q32" s="904"/>
      <c r="R32" s="912"/>
      <c r="S32" s="890" t="str">
        <f t="shared" ref="S32" si="137">IF(M32="","",invoice_currency_symbol)</f>
        <v/>
      </c>
      <c r="T32" s="914"/>
      <c r="U32" s="915" t="str">
        <f t="shared" si="13"/>
        <v/>
      </c>
      <c r="V32" s="918" t="str">
        <f t="shared" ref="V32" si="138">IF(W32=0,"",invoice_currency_symbol)</f>
        <v/>
      </c>
      <c r="W32" s="919"/>
      <c r="X32" s="920" t="str">
        <f t="shared" ref="X32" si="139">IF(M32="","",invoice_currency_symbol)</f>
        <v/>
      </c>
      <c r="Y32" s="913" t="str">
        <f t="shared" si="16"/>
        <v/>
      </c>
      <c r="Z32" s="916"/>
      <c r="AA32" s="271" t="str" cm="1">
        <f t="array" ref="AA32">IF(M32="","",IF(P32=AN32,1,Slookup(MID(AN32,1,3)*1,UomConversion!$D$8:$J$500,5,UomConversion!$E$8:$E$500,MID(P32,1,3)*1,UomConversion!$J$8:$J$500,1)))</f>
        <v/>
      </c>
      <c r="AB32" s="271" t="str">
        <f t="shared" si="4"/>
        <v/>
      </c>
      <c r="AC32" s="271" t="str">
        <f t="shared" si="17"/>
        <v/>
      </c>
      <c r="AD32" s="271" t="str">
        <f t="shared" si="18"/>
        <v/>
      </c>
      <c r="AE32" s="271" t="str">
        <f t="shared" si="5"/>
        <v/>
      </c>
      <c r="AF32" s="271" t="str">
        <f t="shared" ref="AF32" si="140">IFERROR(IF(M32="","",IF(invoice_price_type_id=1,VLOOKUP(I32,product_list,13,FALSE),IF(invoice_price_type_id=2,VLOOKUP(I32,product_list,14,FALSE),IF(invoice_price_type_id=3,VLOOKUP(I32,product_list,15,FALSE),IF(invoice_price_type_id=4,VLOOKUP(I32,product_list,16,FALSE),IF(invoice_price_type_id=5,VLOOKUP(I32,product_list,12,FALSE),"")))))),"")</f>
        <v/>
      </c>
      <c r="AG32" s="271" t="str">
        <f t="shared" si="7"/>
        <v/>
      </c>
      <c r="AH32" s="271" t="s">
        <v>214</v>
      </c>
      <c r="AI32" s="271" t="s">
        <v>214</v>
      </c>
      <c r="AJ32" s="271" t="s">
        <v>214</v>
      </c>
      <c r="AK32" s="271" t="s">
        <v>214</v>
      </c>
      <c r="AL32" s="271" t="s">
        <v>214</v>
      </c>
      <c r="AM32" s="271" t="s">
        <v>214</v>
      </c>
      <c r="AN32" s="271" t="str">
        <f t="shared" si="8"/>
        <v/>
      </c>
      <c r="AO32" s="271" t="str">
        <f>IF(OR(ISNA(MATCH(MID(AN32,1,3)*1,UomConversion!$D$8:$D$500,0)),M32=""),"",IF(AT32="","",AT32))</f>
        <v/>
      </c>
      <c r="AP32" s="271" t="str">
        <f>IF(AND(AQ32&gt;0,COUNTIFS(UomConversion!$D$8:$D$500,MID(AN32,1,3)*1,UomConversion!$J$8:$J$500,1)&gt;1),TEXT(AQ32,"000")&amp;"."&amp;VLOOKUP(AQ32,uom_list,5,FALSE),"")</f>
        <v/>
      </c>
      <c r="AQ32" s="271" t="str">
        <f t="shared" si="20"/>
        <v/>
      </c>
      <c r="AR32" s="271" t="str">
        <f t="shared" si="21"/>
        <v/>
      </c>
      <c r="AS32" s="271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1" t="str">
        <f t="shared" si="9"/>
        <v/>
      </c>
      <c r="AU32" s="271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1" t="str">
        <f t="shared" ref="AV32" si="141">IF(M32="","",IF(invoice_location_id=1,BA32,IF(invoice_location_id=2,BB32,0)))</f>
        <v/>
      </c>
      <c r="AW32" s="271" t="s">
        <v>214</v>
      </c>
      <c r="AX32" s="271" t="str">
        <f t="shared" si="23"/>
        <v/>
      </c>
      <c r="AY32" s="271" t="str">
        <f>IF(M32="","",SUMIFS($AX$8:AX32,$I$8:I32,I32))</f>
        <v/>
      </c>
      <c r="AZ32" s="271" t="str">
        <f t="shared" si="24"/>
        <v/>
      </c>
      <c r="BA32" s="271" t="s">
        <v>214</v>
      </c>
      <c r="BB32" s="271" t="s">
        <v>214</v>
      </c>
    </row>
    <row r="33" spans="1:54" ht="27" customHeight="1">
      <c r="A33" s="583"/>
      <c r="B33" s="945"/>
      <c r="C33" s="648"/>
      <c r="D33" s="648"/>
      <c r="E33" s="648"/>
      <c r="F33" s="966"/>
      <c r="I33" s="378" t="str">
        <f t="shared" si="11"/>
        <v/>
      </c>
      <c r="J33" s="907" t="str">
        <f t="shared" si="131"/>
        <v/>
      </c>
      <c r="K33" s="910" t="str">
        <f t="shared" si="0"/>
        <v/>
      </c>
      <c r="L33" s="911"/>
      <c r="M33" s="908"/>
      <c r="N33" s="906"/>
      <c r="O33" s="906"/>
      <c r="P33" s="905"/>
      <c r="Q33" s="904"/>
      <c r="R33" s="912"/>
      <c r="S33" s="890" t="str">
        <f t="shared" ref="S33" si="142">IF(M33="","",invoice_currency_symbol)</f>
        <v/>
      </c>
      <c r="T33" s="914"/>
      <c r="U33" s="915" t="str">
        <f t="shared" si="13"/>
        <v/>
      </c>
      <c r="V33" s="918" t="str">
        <f t="shared" ref="V33" si="143">IF(W33=0,"",invoice_currency_symbol)</f>
        <v/>
      </c>
      <c r="W33" s="919"/>
      <c r="X33" s="920" t="str">
        <f t="shared" ref="X33" si="144">IF(M33="","",invoice_currency_symbol)</f>
        <v/>
      </c>
      <c r="Y33" s="913" t="str">
        <f t="shared" si="16"/>
        <v/>
      </c>
      <c r="Z33" s="916"/>
      <c r="AA33" s="271" t="str" cm="1">
        <f t="array" ref="AA33">IF(M33="","",IF(P33=AN33,1,Slookup(MID(AN33,1,3)*1,UomConversion!$D$8:$J$500,5,UomConversion!$E$8:$E$500,MID(P33,1,3)*1,UomConversion!$J$8:$J$500,1)))</f>
        <v/>
      </c>
      <c r="AB33" s="271" t="str">
        <f t="shared" si="4"/>
        <v/>
      </c>
      <c r="AC33" s="271" t="str">
        <f t="shared" si="17"/>
        <v/>
      </c>
      <c r="AD33" s="271" t="str">
        <f t="shared" si="18"/>
        <v/>
      </c>
      <c r="AE33" s="271" t="str">
        <f t="shared" si="5"/>
        <v/>
      </c>
      <c r="AF33" s="271" t="str">
        <f t="shared" ref="AF33" si="145">IFERROR(IF(M33="","",IF(invoice_price_type_id=1,VLOOKUP(I33,product_list,13,FALSE),IF(invoice_price_type_id=2,VLOOKUP(I33,product_list,14,FALSE),IF(invoice_price_type_id=3,VLOOKUP(I33,product_list,15,FALSE),IF(invoice_price_type_id=4,VLOOKUP(I33,product_list,16,FALSE),IF(invoice_price_type_id=5,VLOOKUP(I33,product_list,12,FALSE),"")))))),"")</f>
        <v/>
      </c>
      <c r="AG33" s="271" t="str">
        <f t="shared" si="7"/>
        <v/>
      </c>
      <c r="AH33" s="271" t="s">
        <v>214</v>
      </c>
      <c r="AI33" s="271" t="s">
        <v>214</v>
      </c>
      <c r="AJ33" s="271" t="s">
        <v>214</v>
      </c>
      <c r="AK33" s="271" t="s">
        <v>214</v>
      </c>
      <c r="AL33" s="271" t="s">
        <v>214</v>
      </c>
      <c r="AM33" s="271" t="s">
        <v>214</v>
      </c>
      <c r="AN33" s="271" t="str">
        <f t="shared" si="8"/>
        <v/>
      </c>
      <c r="AO33" s="271" t="str">
        <f>IF(OR(ISNA(MATCH(MID(AN33,1,3)*1,UomConversion!$D$8:$D$500,0)),M33=""),"",IF(AT33="","",AT33))</f>
        <v/>
      </c>
      <c r="AP33" s="271" t="str">
        <f>IF(AND(AQ33&gt;0,COUNTIFS(UomConversion!$D$8:$D$500,MID(AN33,1,3)*1,UomConversion!$J$8:$J$500,1)&gt;1),TEXT(AQ33,"000")&amp;"."&amp;VLOOKUP(AQ33,uom_list,5,FALSE),"")</f>
        <v/>
      </c>
      <c r="AQ33" s="271" t="str">
        <f t="shared" si="20"/>
        <v/>
      </c>
      <c r="AR33" s="271" t="str">
        <f t="shared" si="21"/>
        <v/>
      </c>
      <c r="AS33" s="271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1" t="str">
        <f t="shared" si="9"/>
        <v/>
      </c>
      <c r="AU33" s="271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1" t="str">
        <f t="shared" ref="AV33" si="146">IF(M33="","",IF(invoice_location_id=1,BA33,IF(invoice_location_id=2,BB33,0)))</f>
        <v/>
      </c>
      <c r="AW33" s="271" t="s">
        <v>214</v>
      </c>
      <c r="AX33" s="271" t="str">
        <f t="shared" si="23"/>
        <v/>
      </c>
      <c r="AY33" s="271" t="str">
        <f>IF(M33="","",SUMIFS($AX$8:AX33,$I$8:I33,I33))</f>
        <v/>
      </c>
      <c r="AZ33" s="271" t="str">
        <f t="shared" si="24"/>
        <v/>
      </c>
      <c r="BA33" s="271" t="s">
        <v>214</v>
      </c>
      <c r="BB33" s="271" t="s">
        <v>214</v>
      </c>
    </row>
    <row r="34" spans="1:54" ht="27" customHeight="1">
      <c r="A34" s="583"/>
      <c r="B34" s="945"/>
      <c r="C34" s="648"/>
      <c r="D34" s="648"/>
      <c r="E34" s="648"/>
      <c r="F34" s="966"/>
      <c r="I34" s="378" t="str">
        <f t="shared" si="11"/>
        <v/>
      </c>
      <c r="J34" s="907" t="str">
        <f t="shared" si="131"/>
        <v/>
      </c>
      <c r="K34" s="910" t="str">
        <f t="shared" si="0"/>
        <v/>
      </c>
      <c r="L34" s="911"/>
      <c r="M34" s="908"/>
      <c r="N34" s="906"/>
      <c r="O34" s="906"/>
      <c r="P34" s="905"/>
      <c r="Q34" s="904"/>
      <c r="R34" s="912"/>
      <c r="S34" s="890" t="str">
        <f t="shared" ref="S34" si="147">IF(M34="","",invoice_currency_symbol)</f>
        <v/>
      </c>
      <c r="T34" s="914"/>
      <c r="U34" s="915" t="str">
        <f t="shared" si="13"/>
        <v/>
      </c>
      <c r="V34" s="918" t="str">
        <f t="shared" ref="V34" si="148">IF(W34=0,"",invoice_currency_symbol)</f>
        <v/>
      </c>
      <c r="W34" s="919"/>
      <c r="X34" s="920" t="str">
        <f t="shared" ref="X34" si="149">IF(M34="","",invoice_currency_symbol)</f>
        <v/>
      </c>
      <c r="Y34" s="913" t="str">
        <f t="shared" si="16"/>
        <v/>
      </c>
      <c r="Z34" s="916"/>
      <c r="AA34" s="271" t="str" cm="1">
        <f t="array" ref="AA34">IF(M34="","",IF(P34=AN34,1,Slookup(MID(AN34,1,3)*1,UomConversion!$D$8:$J$500,5,UomConversion!$E$8:$E$500,MID(P34,1,3)*1,UomConversion!$J$8:$J$500,1)))</f>
        <v/>
      </c>
      <c r="AB34" s="271" t="str">
        <f t="shared" si="4"/>
        <v/>
      </c>
      <c r="AC34" s="271" t="str">
        <f t="shared" si="17"/>
        <v/>
      </c>
      <c r="AD34" s="271" t="str">
        <f t="shared" si="18"/>
        <v/>
      </c>
      <c r="AE34" s="271" t="str">
        <f t="shared" si="5"/>
        <v/>
      </c>
      <c r="AF34" s="271" t="str">
        <f t="shared" ref="AF34" si="150">IFERROR(IF(M34="","",IF(invoice_price_type_id=1,VLOOKUP(I34,product_list,13,FALSE),IF(invoice_price_type_id=2,VLOOKUP(I34,product_list,14,FALSE),IF(invoice_price_type_id=3,VLOOKUP(I34,product_list,15,FALSE),IF(invoice_price_type_id=4,VLOOKUP(I34,product_list,16,FALSE),IF(invoice_price_type_id=5,VLOOKUP(I34,product_list,12,FALSE),"")))))),"")</f>
        <v/>
      </c>
      <c r="AG34" s="271" t="str">
        <f t="shared" si="7"/>
        <v/>
      </c>
      <c r="AH34" s="271" t="s">
        <v>214</v>
      </c>
      <c r="AI34" s="271" t="s">
        <v>214</v>
      </c>
      <c r="AJ34" s="271" t="s">
        <v>214</v>
      </c>
      <c r="AK34" s="271" t="s">
        <v>214</v>
      </c>
      <c r="AL34" s="271" t="s">
        <v>214</v>
      </c>
      <c r="AM34" s="271" t="s">
        <v>214</v>
      </c>
      <c r="AN34" s="271" t="str">
        <f t="shared" si="8"/>
        <v/>
      </c>
      <c r="AO34" s="271" t="str">
        <f>IF(OR(ISNA(MATCH(MID(AN34,1,3)*1,UomConversion!$D$8:$D$500,0)),M34=""),"",IF(AT34="","",AT34))</f>
        <v/>
      </c>
      <c r="AP34" s="271" t="str">
        <f>IF(AND(AQ34&gt;0,COUNTIFS(UomConversion!$D$8:$D$500,MID(AN34,1,3)*1,UomConversion!$J$8:$J$500,1)&gt;1),TEXT(AQ34,"000")&amp;"."&amp;VLOOKUP(AQ34,uom_list,5,FALSE),"")</f>
        <v/>
      </c>
      <c r="AQ34" s="271" t="str">
        <f t="shared" si="20"/>
        <v/>
      </c>
      <c r="AR34" s="271" t="str">
        <f t="shared" si="21"/>
        <v/>
      </c>
      <c r="AS34" s="271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1" t="str">
        <f t="shared" si="9"/>
        <v/>
      </c>
      <c r="AU34" s="271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1" t="str">
        <f t="shared" ref="AV34" si="151">IF(M34="","",IF(invoice_location_id=1,BA34,IF(invoice_location_id=2,BB34,0)))</f>
        <v/>
      </c>
      <c r="AW34" s="271" t="s">
        <v>214</v>
      </c>
      <c r="AX34" s="271" t="str">
        <f t="shared" si="23"/>
        <v/>
      </c>
      <c r="AY34" s="271" t="str">
        <f>IF(M34="","",SUMIFS($AX$8:AX34,$I$8:I34,I34))</f>
        <v/>
      </c>
      <c r="AZ34" s="271" t="str">
        <f t="shared" si="24"/>
        <v/>
      </c>
      <c r="BA34" s="271" t="s">
        <v>214</v>
      </c>
      <c r="BB34" s="271" t="s">
        <v>214</v>
      </c>
    </row>
    <row r="35" spans="1:54" ht="27" customHeight="1">
      <c r="A35" s="583"/>
      <c r="B35" s="945"/>
      <c r="C35" s="648"/>
      <c r="D35" s="648"/>
      <c r="E35" s="648"/>
      <c r="F35" s="966"/>
      <c r="I35" s="378" t="str">
        <f t="shared" si="11"/>
        <v/>
      </c>
      <c r="J35" s="907" t="str">
        <f t="shared" si="131"/>
        <v/>
      </c>
      <c r="K35" s="910" t="str">
        <f t="shared" si="0"/>
        <v/>
      </c>
      <c r="L35" s="911"/>
      <c r="M35" s="908"/>
      <c r="N35" s="906"/>
      <c r="O35" s="906"/>
      <c r="P35" s="905"/>
      <c r="Q35" s="904"/>
      <c r="R35" s="912"/>
      <c r="S35" s="890" t="str">
        <f t="shared" ref="S35" si="152">IF(M35="","",invoice_currency_symbol)</f>
        <v/>
      </c>
      <c r="T35" s="914"/>
      <c r="U35" s="915" t="str">
        <f t="shared" si="13"/>
        <v/>
      </c>
      <c r="V35" s="918" t="str">
        <f t="shared" ref="V35" si="153">IF(W35=0,"",invoice_currency_symbol)</f>
        <v/>
      </c>
      <c r="W35" s="919"/>
      <c r="X35" s="920" t="str">
        <f t="shared" ref="X35" si="154">IF(M35="","",invoice_currency_symbol)</f>
        <v/>
      </c>
      <c r="Y35" s="913" t="str">
        <f t="shared" si="16"/>
        <v/>
      </c>
      <c r="Z35" s="916"/>
      <c r="AA35" s="271" t="str" cm="1">
        <f t="array" ref="AA35">IF(M35="","",IF(P35=AN35,1,Slookup(MID(AN35,1,3)*1,UomConversion!$D$8:$J$500,5,UomConversion!$E$8:$E$500,MID(P35,1,3)*1,UomConversion!$J$8:$J$500,1)))</f>
        <v/>
      </c>
      <c r="AB35" s="271" t="str">
        <f t="shared" si="4"/>
        <v/>
      </c>
      <c r="AC35" s="271" t="str">
        <f t="shared" si="17"/>
        <v/>
      </c>
      <c r="AD35" s="271" t="str">
        <f t="shared" si="18"/>
        <v/>
      </c>
      <c r="AE35" s="271" t="str">
        <f t="shared" si="5"/>
        <v/>
      </c>
      <c r="AF35" s="271" t="str">
        <f t="shared" ref="AF35" si="155">IFERROR(IF(M35="","",IF(invoice_price_type_id=1,VLOOKUP(I35,product_list,13,FALSE),IF(invoice_price_type_id=2,VLOOKUP(I35,product_list,14,FALSE),IF(invoice_price_type_id=3,VLOOKUP(I35,product_list,15,FALSE),IF(invoice_price_type_id=4,VLOOKUP(I35,product_list,16,FALSE),IF(invoice_price_type_id=5,VLOOKUP(I35,product_list,12,FALSE),"")))))),"")</f>
        <v/>
      </c>
      <c r="AG35" s="271" t="str">
        <f t="shared" si="7"/>
        <v/>
      </c>
      <c r="AH35" s="271" t="s">
        <v>214</v>
      </c>
      <c r="AI35" s="271" t="s">
        <v>214</v>
      </c>
      <c r="AJ35" s="271" t="s">
        <v>214</v>
      </c>
      <c r="AK35" s="271" t="s">
        <v>214</v>
      </c>
      <c r="AL35" s="271" t="s">
        <v>214</v>
      </c>
      <c r="AM35" s="271" t="s">
        <v>214</v>
      </c>
      <c r="AN35" s="271" t="str">
        <f t="shared" si="8"/>
        <v/>
      </c>
      <c r="AO35" s="271" t="str">
        <f>IF(OR(ISNA(MATCH(MID(AN35,1,3)*1,UomConversion!$D$8:$D$500,0)),M35=""),"",IF(AT35="","",AT35))</f>
        <v/>
      </c>
      <c r="AP35" s="271" t="str">
        <f>IF(AND(AQ35&gt;0,COUNTIFS(UomConversion!$D$8:$D$500,MID(AN35,1,3)*1,UomConversion!$J$8:$J$500,1)&gt;1),TEXT(AQ35,"000")&amp;"."&amp;VLOOKUP(AQ35,uom_list,5,FALSE),"")</f>
        <v/>
      </c>
      <c r="AQ35" s="271" t="str">
        <f t="shared" si="20"/>
        <v/>
      </c>
      <c r="AR35" s="271" t="str">
        <f t="shared" si="21"/>
        <v/>
      </c>
      <c r="AS35" s="271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1" t="str">
        <f t="shared" si="9"/>
        <v/>
      </c>
      <c r="AU35" s="271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1" t="str">
        <f t="shared" ref="AV35" si="156">IF(M35="","",IF(invoice_location_id=1,BA35,IF(invoice_location_id=2,BB35,0)))</f>
        <v/>
      </c>
      <c r="AW35" s="271" t="s">
        <v>214</v>
      </c>
      <c r="AX35" s="271" t="str">
        <f t="shared" si="23"/>
        <v/>
      </c>
      <c r="AY35" s="271" t="str">
        <f>IF(M35="","",SUMIFS($AX$8:AX35,$I$8:I35,I35))</f>
        <v/>
      </c>
      <c r="AZ35" s="271" t="str">
        <f t="shared" si="24"/>
        <v/>
      </c>
      <c r="BA35" s="271" t="s">
        <v>214</v>
      </c>
      <c r="BB35" s="271" t="s">
        <v>214</v>
      </c>
    </row>
    <row r="36" spans="1:54" ht="27" customHeight="1">
      <c r="A36" s="583"/>
      <c r="B36" s="945"/>
      <c r="C36" s="648"/>
      <c r="D36" s="648"/>
      <c r="E36" s="648"/>
      <c r="F36" s="966"/>
      <c r="I36" s="378" t="str">
        <f t="shared" si="11"/>
        <v/>
      </c>
      <c r="J36" s="907" t="str">
        <f t="shared" si="131"/>
        <v/>
      </c>
      <c r="K36" s="910" t="str">
        <f t="shared" si="0"/>
        <v/>
      </c>
      <c r="L36" s="911"/>
      <c r="M36" s="908"/>
      <c r="N36" s="906"/>
      <c r="O36" s="906"/>
      <c r="P36" s="905"/>
      <c r="Q36" s="904"/>
      <c r="R36" s="912"/>
      <c r="S36" s="890" t="str">
        <f t="shared" ref="S36" si="157">IF(M36="","",invoice_currency_symbol)</f>
        <v/>
      </c>
      <c r="T36" s="914"/>
      <c r="U36" s="915" t="str">
        <f t="shared" si="13"/>
        <v/>
      </c>
      <c r="V36" s="918" t="str">
        <f t="shared" ref="V36" si="158">IF(W36=0,"",invoice_currency_symbol)</f>
        <v/>
      </c>
      <c r="W36" s="919"/>
      <c r="X36" s="920" t="str">
        <f t="shared" ref="X36" si="159">IF(M36="","",invoice_currency_symbol)</f>
        <v/>
      </c>
      <c r="Y36" s="913" t="str">
        <f t="shared" si="16"/>
        <v/>
      </c>
      <c r="Z36" s="916"/>
      <c r="AA36" s="271" t="str" cm="1">
        <f t="array" ref="AA36">IF(M36="","",IF(P36=AN36,1,Slookup(MID(AN36,1,3)*1,UomConversion!$D$8:$J$500,5,UomConversion!$E$8:$E$500,MID(P36,1,3)*1,UomConversion!$J$8:$J$500,1)))</f>
        <v/>
      </c>
      <c r="AB36" s="271" t="str">
        <f t="shared" si="4"/>
        <v/>
      </c>
      <c r="AC36" s="271" t="str">
        <f t="shared" si="17"/>
        <v/>
      </c>
      <c r="AD36" s="271" t="str">
        <f t="shared" si="18"/>
        <v/>
      </c>
      <c r="AE36" s="271" t="str">
        <f t="shared" si="5"/>
        <v/>
      </c>
      <c r="AF36" s="271" t="str">
        <f t="shared" ref="AF36" si="160">IFERROR(IF(M36="","",IF(invoice_price_type_id=1,VLOOKUP(I36,product_list,13,FALSE),IF(invoice_price_type_id=2,VLOOKUP(I36,product_list,14,FALSE),IF(invoice_price_type_id=3,VLOOKUP(I36,product_list,15,FALSE),IF(invoice_price_type_id=4,VLOOKUP(I36,product_list,16,FALSE),IF(invoice_price_type_id=5,VLOOKUP(I36,product_list,12,FALSE),"")))))),"")</f>
        <v/>
      </c>
      <c r="AG36" s="271" t="str">
        <f t="shared" si="7"/>
        <v/>
      </c>
      <c r="AH36" s="271" t="s">
        <v>214</v>
      </c>
      <c r="AI36" s="271" t="s">
        <v>214</v>
      </c>
      <c r="AJ36" s="271" t="s">
        <v>214</v>
      </c>
      <c r="AK36" s="271" t="s">
        <v>214</v>
      </c>
      <c r="AL36" s="271" t="s">
        <v>214</v>
      </c>
      <c r="AM36" s="271" t="s">
        <v>214</v>
      </c>
      <c r="AN36" s="271" t="str">
        <f t="shared" si="8"/>
        <v/>
      </c>
      <c r="AO36" s="271" t="str">
        <f>IF(OR(ISNA(MATCH(MID(AN36,1,3)*1,UomConversion!$D$8:$D$500,0)),M36=""),"",IF(AT36="","",AT36))</f>
        <v/>
      </c>
      <c r="AP36" s="271" t="str">
        <f>IF(AND(AQ36&gt;0,COUNTIFS(UomConversion!$D$8:$D$500,MID(AN36,1,3)*1,UomConversion!$J$8:$J$500,1)&gt;1),TEXT(AQ36,"000")&amp;"."&amp;VLOOKUP(AQ36,uom_list,5,FALSE),"")</f>
        <v/>
      </c>
      <c r="AQ36" s="271" t="str">
        <f t="shared" si="20"/>
        <v/>
      </c>
      <c r="AR36" s="271" t="str">
        <f t="shared" si="21"/>
        <v/>
      </c>
      <c r="AS36" s="271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1" t="str">
        <f t="shared" si="9"/>
        <v/>
      </c>
      <c r="AU36" s="271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1" t="str">
        <f t="shared" ref="AV36" si="161">IF(M36="","",IF(invoice_location_id=1,BA36,IF(invoice_location_id=2,BB36,0)))</f>
        <v/>
      </c>
      <c r="AW36" s="271" t="s">
        <v>214</v>
      </c>
      <c r="AX36" s="271" t="str">
        <f t="shared" si="23"/>
        <v/>
      </c>
      <c r="AY36" s="271" t="str">
        <f>IF(M36="","",SUMIFS($AX$8:AX36,$I$8:I36,I36))</f>
        <v/>
      </c>
      <c r="AZ36" s="271" t="str">
        <f t="shared" si="24"/>
        <v/>
      </c>
      <c r="BA36" s="271" t="s">
        <v>214</v>
      </c>
      <c r="BB36" s="271" t="s">
        <v>214</v>
      </c>
    </row>
    <row r="37" spans="1:54" ht="27" customHeight="1">
      <c r="A37" s="583"/>
      <c r="B37" s="945"/>
      <c r="C37" s="648"/>
      <c r="D37" s="648"/>
      <c r="E37" s="648"/>
      <c r="F37" s="966"/>
      <c r="I37" s="378" t="str">
        <f t="shared" si="11"/>
        <v/>
      </c>
      <c r="J37" s="907" t="str">
        <f t="shared" si="131"/>
        <v/>
      </c>
      <c r="K37" s="910" t="str">
        <f t="shared" si="0"/>
        <v/>
      </c>
      <c r="L37" s="911"/>
      <c r="M37" s="908"/>
      <c r="N37" s="906"/>
      <c r="O37" s="906"/>
      <c r="P37" s="905"/>
      <c r="Q37" s="904"/>
      <c r="R37" s="912"/>
      <c r="S37" s="890" t="str">
        <f t="shared" ref="S37" si="162">IF(M37="","",invoice_currency_symbol)</f>
        <v/>
      </c>
      <c r="T37" s="914"/>
      <c r="U37" s="915" t="str">
        <f t="shared" si="13"/>
        <v/>
      </c>
      <c r="V37" s="918" t="str">
        <f t="shared" ref="V37" si="163">IF(W37=0,"",invoice_currency_symbol)</f>
        <v/>
      </c>
      <c r="W37" s="919"/>
      <c r="X37" s="920" t="str">
        <f t="shared" ref="X37" si="164">IF(M37="","",invoice_currency_symbol)</f>
        <v/>
      </c>
      <c r="Y37" s="913" t="str">
        <f t="shared" si="16"/>
        <v/>
      </c>
      <c r="Z37" s="916"/>
      <c r="AA37" s="271" t="str" cm="1">
        <f t="array" ref="AA37">IF(M37="","",IF(P37=AN37,1,Slookup(MID(AN37,1,3)*1,UomConversion!$D$8:$J$500,5,UomConversion!$E$8:$E$500,MID(P37,1,3)*1,UomConversion!$J$8:$J$500,1)))</f>
        <v/>
      </c>
      <c r="AB37" s="271" t="str">
        <f t="shared" si="4"/>
        <v/>
      </c>
      <c r="AC37" s="271" t="str">
        <f t="shared" si="17"/>
        <v/>
      </c>
      <c r="AD37" s="271" t="str">
        <f t="shared" si="18"/>
        <v/>
      </c>
      <c r="AE37" s="271" t="str">
        <f t="shared" si="5"/>
        <v/>
      </c>
      <c r="AF37" s="271" t="str">
        <f t="shared" ref="AF37" si="165">IFERROR(IF(M37="","",IF(invoice_price_type_id=1,VLOOKUP(I37,product_list,13,FALSE),IF(invoice_price_type_id=2,VLOOKUP(I37,product_list,14,FALSE),IF(invoice_price_type_id=3,VLOOKUP(I37,product_list,15,FALSE),IF(invoice_price_type_id=4,VLOOKUP(I37,product_list,16,FALSE),IF(invoice_price_type_id=5,VLOOKUP(I37,product_list,12,FALSE),"")))))),"")</f>
        <v/>
      </c>
      <c r="AG37" s="271" t="str">
        <f t="shared" si="7"/>
        <v/>
      </c>
      <c r="AH37" s="271" t="s">
        <v>214</v>
      </c>
      <c r="AI37" s="271" t="s">
        <v>214</v>
      </c>
      <c r="AJ37" s="271" t="s">
        <v>214</v>
      </c>
      <c r="AK37" s="271" t="s">
        <v>214</v>
      </c>
      <c r="AL37" s="271" t="s">
        <v>214</v>
      </c>
      <c r="AM37" s="271" t="s">
        <v>214</v>
      </c>
      <c r="AN37" s="271" t="str">
        <f t="shared" si="8"/>
        <v/>
      </c>
      <c r="AO37" s="271" t="str">
        <f>IF(OR(ISNA(MATCH(MID(AN37,1,3)*1,UomConversion!$D$8:$D$500,0)),M37=""),"",IF(AT37="","",AT37))</f>
        <v/>
      </c>
      <c r="AP37" s="271" t="str">
        <f>IF(AND(AQ37&gt;0,COUNTIFS(UomConversion!$D$8:$D$500,MID(AN37,1,3)*1,UomConversion!$J$8:$J$500,1)&gt;1),TEXT(AQ37,"000")&amp;"."&amp;VLOOKUP(AQ37,uom_list,5,FALSE),"")</f>
        <v/>
      </c>
      <c r="AQ37" s="271" t="str">
        <f t="shared" si="20"/>
        <v/>
      </c>
      <c r="AR37" s="271" t="str">
        <f t="shared" si="21"/>
        <v/>
      </c>
      <c r="AS37" s="271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1" t="str">
        <f t="shared" si="9"/>
        <v/>
      </c>
      <c r="AU37" s="271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1" t="str">
        <f t="shared" ref="AV37" si="166">IF(M37="","",IF(invoice_location_id=1,BA37,IF(invoice_location_id=2,BB37,0)))</f>
        <v/>
      </c>
      <c r="AW37" s="271" t="s">
        <v>214</v>
      </c>
      <c r="AX37" s="271" t="str">
        <f t="shared" si="23"/>
        <v/>
      </c>
      <c r="AY37" s="271" t="str">
        <f>IF(M37="","",SUMIFS($AX$8:AX37,$I$8:I37,I37))</f>
        <v/>
      </c>
      <c r="AZ37" s="271" t="str">
        <f t="shared" si="24"/>
        <v/>
      </c>
      <c r="BA37" s="271" t="s">
        <v>214</v>
      </c>
      <c r="BB37" s="271" t="s">
        <v>214</v>
      </c>
    </row>
    <row r="38" spans="1:54" ht="27" customHeight="1">
      <c r="A38" s="583"/>
      <c r="B38" s="945"/>
      <c r="C38" s="648"/>
      <c r="D38" s="648"/>
      <c r="E38" s="648"/>
      <c r="F38" s="966"/>
      <c r="I38" s="378" t="str">
        <f t="shared" si="11"/>
        <v/>
      </c>
      <c r="J38" s="907" t="str">
        <f t="shared" si="131"/>
        <v/>
      </c>
      <c r="K38" s="910" t="str">
        <f t="shared" si="0"/>
        <v/>
      </c>
      <c r="L38" s="911"/>
      <c r="M38" s="908"/>
      <c r="N38" s="906"/>
      <c r="O38" s="906"/>
      <c r="P38" s="905"/>
      <c r="Q38" s="904"/>
      <c r="R38" s="912"/>
      <c r="S38" s="890" t="str">
        <f t="shared" ref="S38" si="167">IF(M38="","",invoice_currency_symbol)</f>
        <v/>
      </c>
      <c r="T38" s="914"/>
      <c r="U38" s="915" t="str">
        <f t="shared" si="13"/>
        <v/>
      </c>
      <c r="V38" s="918" t="str">
        <f t="shared" ref="V38" si="168">IF(W38=0,"",invoice_currency_symbol)</f>
        <v/>
      </c>
      <c r="W38" s="919"/>
      <c r="X38" s="920" t="str">
        <f t="shared" ref="X38" si="169">IF(M38="","",invoice_currency_symbol)</f>
        <v/>
      </c>
      <c r="Y38" s="913" t="str">
        <f t="shared" si="16"/>
        <v/>
      </c>
      <c r="Z38" s="916"/>
      <c r="AA38" s="271" t="str" cm="1">
        <f t="array" ref="AA38">IF(M38="","",IF(P38=AN38,1,Slookup(MID(AN38,1,3)*1,UomConversion!$D$8:$J$500,5,UomConversion!$E$8:$E$500,MID(P38,1,3)*1,UomConversion!$J$8:$J$500,1)))</f>
        <v/>
      </c>
      <c r="AB38" s="271" t="str">
        <f t="shared" si="4"/>
        <v/>
      </c>
      <c r="AC38" s="271" t="str">
        <f t="shared" si="17"/>
        <v/>
      </c>
      <c r="AD38" s="271" t="str">
        <f t="shared" si="18"/>
        <v/>
      </c>
      <c r="AE38" s="271" t="str">
        <f t="shared" si="5"/>
        <v/>
      </c>
      <c r="AF38" s="271" t="str">
        <f t="shared" ref="AF38" si="170">IFERROR(IF(M38="","",IF(invoice_price_type_id=1,VLOOKUP(I38,product_list,13,FALSE),IF(invoice_price_type_id=2,VLOOKUP(I38,product_list,14,FALSE),IF(invoice_price_type_id=3,VLOOKUP(I38,product_list,15,FALSE),IF(invoice_price_type_id=4,VLOOKUP(I38,product_list,16,FALSE),IF(invoice_price_type_id=5,VLOOKUP(I38,product_list,12,FALSE),"")))))),"")</f>
        <v/>
      </c>
      <c r="AG38" s="271" t="str">
        <f t="shared" si="7"/>
        <v/>
      </c>
      <c r="AH38" s="271" t="s">
        <v>214</v>
      </c>
      <c r="AI38" s="271" t="s">
        <v>214</v>
      </c>
      <c r="AJ38" s="271" t="s">
        <v>214</v>
      </c>
      <c r="AK38" s="271" t="s">
        <v>214</v>
      </c>
      <c r="AL38" s="271" t="s">
        <v>214</v>
      </c>
      <c r="AM38" s="271" t="s">
        <v>214</v>
      </c>
      <c r="AN38" s="271" t="str">
        <f t="shared" si="8"/>
        <v/>
      </c>
      <c r="AO38" s="271" t="str">
        <f>IF(OR(ISNA(MATCH(MID(AN38,1,3)*1,UomConversion!$D$8:$D$500,0)),M38=""),"",IF(AT38="","",AT38))</f>
        <v/>
      </c>
      <c r="AP38" s="271" t="str">
        <f>IF(AND(AQ38&gt;0,COUNTIFS(UomConversion!$D$8:$D$500,MID(AN38,1,3)*1,UomConversion!$J$8:$J$500,1)&gt;1),TEXT(AQ38,"000")&amp;"."&amp;VLOOKUP(AQ38,uom_list,5,FALSE),"")</f>
        <v/>
      </c>
      <c r="AQ38" s="271" t="str">
        <f t="shared" si="20"/>
        <v/>
      </c>
      <c r="AR38" s="271" t="str">
        <f t="shared" si="21"/>
        <v/>
      </c>
      <c r="AS38" s="271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1" t="str">
        <f t="shared" si="9"/>
        <v/>
      </c>
      <c r="AU38" s="271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1" t="str">
        <f t="shared" ref="AV38" si="171">IF(M38="","",IF(invoice_location_id=1,BA38,IF(invoice_location_id=2,BB38,0)))</f>
        <v/>
      </c>
      <c r="AW38" s="271" t="s">
        <v>214</v>
      </c>
      <c r="AX38" s="271" t="str">
        <f t="shared" si="23"/>
        <v/>
      </c>
      <c r="AY38" s="271" t="str">
        <f>IF(M38="","",SUMIFS($AX$8:AX38,$I$8:I38,I38))</f>
        <v/>
      </c>
      <c r="AZ38" s="271" t="str">
        <f t="shared" si="24"/>
        <v/>
      </c>
      <c r="BA38" s="271" t="s">
        <v>214</v>
      </c>
      <c r="BB38" s="271" t="s">
        <v>214</v>
      </c>
    </row>
    <row r="39" spans="1:54" ht="27" customHeight="1">
      <c r="A39" s="583"/>
      <c r="B39" s="945"/>
      <c r="C39" s="648"/>
      <c r="D39" s="648"/>
      <c r="E39" s="648"/>
      <c r="F39" s="966"/>
      <c r="I39" s="378" t="str">
        <f t="shared" si="11"/>
        <v/>
      </c>
      <c r="J39" s="907" t="str">
        <f t="shared" si="131"/>
        <v/>
      </c>
      <c r="K39" s="910" t="str">
        <f t="shared" si="0"/>
        <v/>
      </c>
      <c r="L39" s="911"/>
      <c r="M39" s="908"/>
      <c r="N39" s="906"/>
      <c r="O39" s="906"/>
      <c r="P39" s="905"/>
      <c r="Q39" s="904"/>
      <c r="R39" s="912"/>
      <c r="S39" s="890" t="str">
        <f t="shared" ref="S39" si="172">IF(M39="","",invoice_currency_symbol)</f>
        <v/>
      </c>
      <c r="T39" s="914"/>
      <c r="U39" s="915" t="str">
        <f t="shared" si="13"/>
        <v/>
      </c>
      <c r="V39" s="918" t="str">
        <f t="shared" ref="V39" si="173">IF(W39=0,"",invoice_currency_symbol)</f>
        <v/>
      </c>
      <c r="W39" s="919"/>
      <c r="X39" s="920" t="str">
        <f t="shared" ref="X39" si="174">IF(M39="","",invoice_currency_symbol)</f>
        <v/>
      </c>
      <c r="Y39" s="913" t="str">
        <f t="shared" si="16"/>
        <v/>
      </c>
      <c r="Z39" s="916"/>
      <c r="AA39" s="271" t="str" cm="1">
        <f t="array" ref="AA39">IF(M39="","",IF(P39=AN39,1,Slookup(MID(AN39,1,3)*1,UomConversion!$D$8:$J$500,5,UomConversion!$E$8:$E$500,MID(P39,1,3)*1,UomConversion!$J$8:$J$500,1)))</f>
        <v/>
      </c>
      <c r="AB39" s="271" t="str">
        <f t="shared" si="4"/>
        <v/>
      </c>
      <c r="AC39" s="271" t="str">
        <f t="shared" si="17"/>
        <v/>
      </c>
      <c r="AD39" s="271" t="str">
        <f t="shared" si="18"/>
        <v/>
      </c>
      <c r="AE39" s="271" t="str">
        <f t="shared" si="5"/>
        <v/>
      </c>
      <c r="AF39" s="271" t="str">
        <f t="shared" ref="AF39" si="175">IFERROR(IF(M39="","",IF(invoice_price_type_id=1,VLOOKUP(I39,product_list,13,FALSE),IF(invoice_price_type_id=2,VLOOKUP(I39,product_list,14,FALSE),IF(invoice_price_type_id=3,VLOOKUP(I39,product_list,15,FALSE),IF(invoice_price_type_id=4,VLOOKUP(I39,product_list,16,FALSE),IF(invoice_price_type_id=5,VLOOKUP(I39,product_list,12,FALSE),"")))))),"")</f>
        <v/>
      </c>
      <c r="AG39" s="271" t="str">
        <f t="shared" si="7"/>
        <v/>
      </c>
      <c r="AH39" s="271" t="s">
        <v>214</v>
      </c>
      <c r="AI39" s="271" t="s">
        <v>214</v>
      </c>
      <c r="AJ39" s="271" t="s">
        <v>214</v>
      </c>
      <c r="AK39" s="271" t="s">
        <v>214</v>
      </c>
      <c r="AL39" s="271" t="s">
        <v>214</v>
      </c>
      <c r="AM39" s="271" t="s">
        <v>214</v>
      </c>
      <c r="AN39" s="271" t="str">
        <f t="shared" si="8"/>
        <v/>
      </c>
      <c r="AO39" s="271" t="str">
        <f>IF(OR(ISNA(MATCH(MID(AN39,1,3)*1,UomConversion!$D$8:$D$500,0)),M39=""),"",IF(AT39="","",AT39))</f>
        <v/>
      </c>
      <c r="AP39" s="271" t="str">
        <f>IF(AND(AQ39&gt;0,COUNTIFS(UomConversion!$D$8:$D$500,MID(AN39,1,3)*1,UomConversion!$J$8:$J$500,1)&gt;1),TEXT(AQ39,"000")&amp;"."&amp;VLOOKUP(AQ39,uom_list,5,FALSE),"")</f>
        <v/>
      </c>
      <c r="AQ39" s="271" t="str">
        <f t="shared" si="20"/>
        <v/>
      </c>
      <c r="AR39" s="271" t="str">
        <f t="shared" si="21"/>
        <v/>
      </c>
      <c r="AS39" s="271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1" t="str">
        <f t="shared" si="9"/>
        <v/>
      </c>
      <c r="AU39" s="271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1" t="str">
        <f t="shared" ref="AV39" si="176">IF(M39="","",IF(invoice_location_id=1,BA39,IF(invoice_location_id=2,BB39,0)))</f>
        <v/>
      </c>
      <c r="AW39" s="271" t="s">
        <v>214</v>
      </c>
      <c r="AX39" s="271" t="str">
        <f t="shared" si="23"/>
        <v/>
      </c>
      <c r="AY39" s="271" t="str">
        <f>IF(M39="","",SUMIFS($AX$8:AX39,$I$8:I39,I39))</f>
        <v/>
      </c>
      <c r="AZ39" s="271" t="str">
        <f t="shared" si="24"/>
        <v/>
      </c>
      <c r="BA39" s="271" t="s">
        <v>214</v>
      </c>
      <c r="BB39" s="271" t="s">
        <v>214</v>
      </c>
    </row>
    <row r="40" spans="1:54" ht="27" customHeight="1">
      <c r="A40" s="583"/>
      <c r="B40" s="945"/>
      <c r="C40" s="648"/>
      <c r="D40" s="648"/>
      <c r="E40" s="648"/>
      <c r="F40" s="966"/>
      <c r="I40" s="378" t="str">
        <f t="shared" si="11"/>
        <v/>
      </c>
      <c r="J40" s="907" t="str">
        <f t="shared" si="131"/>
        <v/>
      </c>
      <c r="K40" s="910" t="str">
        <f t="shared" si="0"/>
        <v/>
      </c>
      <c r="L40" s="911"/>
      <c r="M40" s="908"/>
      <c r="N40" s="906"/>
      <c r="O40" s="906"/>
      <c r="P40" s="905"/>
      <c r="Q40" s="904"/>
      <c r="R40" s="912"/>
      <c r="S40" s="890" t="str">
        <f t="shared" ref="S40" si="177">IF(M40="","",invoice_currency_symbol)</f>
        <v/>
      </c>
      <c r="T40" s="914"/>
      <c r="U40" s="915" t="str">
        <f t="shared" si="13"/>
        <v/>
      </c>
      <c r="V40" s="918" t="str">
        <f t="shared" ref="V40" si="178">IF(W40=0,"",invoice_currency_symbol)</f>
        <v/>
      </c>
      <c r="W40" s="919"/>
      <c r="X40" s="920" t="str">
        <f t="shared" ref="X40" si="179">IF(M40="","",invoice_currency_symbol)</f>
        <v/>
      </c>
      <c r="Y40" s="913" t="str">
        <f t="shared" si="16"/>
        <v/>
      </c>
      <c r="Z40" s="916"/>
      <c r="AA40" s="271" t="str" cm="1">
        <f t="array" ref="AA40">IF(M40="","",IF(P40=AN40,1,Slookup(MID(AN40,1,3)*1,UomConversion!$D$8:$J$500,5,UomConversion!$E$8:$E$500,MID(P40,1,3)*1,UomConversion!$J$8:$J$500,1)))</f>
        <v/>
      </c>
      <c r="AB40" s="271" t="str">
        <f t="shared" si="4"/>
        <v/>
      </c>
      <c r="AC40" s="271" t="str">
        <f t="shared" si="17"/>
        <v/>
      </c>
      <c r="AD40" s="271" t="str">
        <f t="shared" si="18"/>
        <v/>
      </c>
      <c r="AE40" s="271" t="str">
        <f t="shared" si="5"/>
        <v/>
      </c>
      <c r="AF40" s="271" t="str">
        <f t="shared" ref="AF40" si="180">IFERROR(IF(M40="","",IF(invoice_price_type_id=1,VLOOKUP(I40,product_list,13,FALSE),IF(invoice_price_type_id=2,VLOOKUP(I40,product_list,14,FALSE),IF(invoice_price_type_id=3,VLOOKUP(I40,product_list,15,FALSE),IF(invoice_price_type_id=4,VLOOKUP(I40,product_list,16,FALSE),IF(invoice_price_type_id=5,VLOOKUP(I40,product_list,12,FALSE),"")))))),"")</f>
        <v/>
      </c>
      <c r="AG40" s="271" t="str">
        <f t="shared" si="7"/>
        <v/>
      </c>
      <c r="AH40" s="271" t="s">
        <v>214</v>
      </c>
      <c r="AI40" s="271" t="s">
        <v>214</v>
      </c>
      <c r="AJ40" s="271" t="s">
        <v>214</v>
      </c>
      <c r="AK40" s="271" t="s">
        <v>214</v>
      </c>
      <c r="AL40" s="271" t="s">
        <v>214</v>
      </c>
      <c r="AM40" s="271" t="s">
        <v>214</v>
      </c>
      <c r="AN40" s="271" t="str">
        <f t="shared" si="8"/>
        <v/>
      </c>
      <c r="AO40" s="271" t="str">
        <f>IF(OR(ISNA(MATCH(MID(AN40,1,3)*1,UomConversion!$D$8:$D$500,0)),M40=""),"",IF(AT40="","",AT40))</f>
        <v/>
      </c>
      <c r="AP40" s="271" t="str">
        <f>IF(AND(AQ40&gt;0,COUNTIFS(UomConversion!$D$8:$D$500,MID(AN40,1,3)*1,UomConversion!$J$8:$J$500,1)&gt;1),TEXT(AQ40,"000")&amp;"."&amp;VLOOKUP(AQ40,uom_list,5,FALSE),"")</f>
        <v/>
      </c>
      <c r="AQ40" s="271" t="str">
        <f t="shared" si="20"/>
        <v/>
      </c>
      <c r="AR40" s="271" t="str">
        <f t="shared" si="21"/>
        <v/>
      </c>
      <c r="AS40" s="271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1" t="str">
        <f t="shared" si="9"/>
        <v/>
      </c>
      <c r="AU40" s="271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1" t="str">
        <f t="shared" ref="AV40" si="181">IF(M40="","",IF(invoice_location_id=1,BA40,IF(invoice_location_id=2,BB40,0)))</f>
        <v/>
      </c>
      <c r="AW40" s="271" t="s">
        <v>214</v>
      </c>
      <c r="AX40" s="271" t="str">
        <f t="shared" si="23"/>
        <v/>
      </c>
      <c r="AY40" s="271" t="str">
        <f>IF(M40="","",SUMIFS($AX$8:AX40,$I$8:I40,I40))</f>
        <v/>
      </c>
      <c r="AZ40" s="271" t="str">
        <f t="shared" si="24"/>
        <v/>
      </c>
      <c r="BA40" s="271" t="s">
        <v>214</v>
      </c>
      <c r="BB40" s="271" t="s">
        <v>214</v>
      </c>
    </row>
    <row r="41" spans="1:54" ht="27" customHeight="1">
      <c r="A41" s="583"/>
      <c r="B41" s="945"/>
      <c r="C41" s="648"/>
      <c r="D41" s="648"/>
      <c r="E41" s="648"/>
      <c r="F41" s="966"/>
      <c r="I41" s="378" t="str">
        <f t="shared" si="11"/>
        <v/>
      </c>
      <c r="J41" s="907" t="str">
        <f t="shared" si="131"/>
        <v/>
      </c>
      <c r="K41" s="910" t="str">
        <f t="shared" si="0"/>
        <v/>
      </c>
      <c r="L41" s="911"/>
      <c r="M41" s="908"/>
      <c r="N41" s="906"/>
      <c r="O41" s="906"/>
      <c r="P41" s="905"/>
      <c r="Q41" s="904"/>
      <c r="R41" s="912"/>
      <c r="S41" s="890" t="str">
        <f t="shared" ref="S41" si="182">IF(M41="","",invoice_currency_symbol)</f>
        <v/>
      </c>
      <c r="T41" s="914"/>
      <c r="U41" s="915" t="str">
        <f t="shared" si="13"/>
        <v/>
      </c>
      <c r="V41" s="918" t="str">
        <f t="shared" ref="V41" si="183">IF(W41=0,"",invoice_currency_symbol)</f>
        <v/>
      </c>
      <c r="W41" s="919"/>
      <c r="X41" s="920" t="str">
        <f t="shared" ref="X41" si="184">IF(M41="","",invoice_currency_symbol)</f>
        <v/>
      </c>
      <c r="Y41" s="913" t="str">
        <f t="shared" si="16"/>
        <v/>
      </c>
      <c r="Z41" s="916"/>
      <c r="AA41" s="271" t="str" cm="1">
        <f t="array" ref="AA41">IF(M41="","",IF(P41=AN41,1,Slookup(MID(AN41,1,3)*1,UomConversion!$D$8:$J$500,5,UomConversion!$E$8:$E$500,MID(P41,1,3)*1,UomConversion!$J$8:$J$500,1)))</f>
        <v/>
      </c>
      <c r="AB41" s="271" t="str">
        <f t="shared" si="4"/>
        <v/>
      </c>
      <c r="AC41" s="271" t="str">
        <f t="shared" si="17"/>
        <v/>
      </c>
      <c r="AD41" s="271" t="str">
        <f t="shared" si="18"/>
        <v/>
      </c>
      <c r="AE41" s="271" t="str">
        <f t="shared" si="5"/>
        <v/>
      </c>
      <c r="AF41" s="271" t="str">
        <f t="shared" ref="AF41" si="185">IFERROR(IF(M41="","",IF(invoice_price_type_id=1,VLOOKUP(I41,product_list,13,FALSE),IF(invoice_price_type_id=2,VLOOKUP(I41,product_list,14,FALSE),IF(invoice_price_type_id=3,VLOOKUP(I41,product_list,15,FALSE),IF(invoice_price_type_id=4,VLOOKUP(I41,product_list,16,FALSE),IF(invoice_price_type_id=5,VLOOKUP(I41,product_list,12,FALSE),"")))))),"")</f>
        <v/>
      </c>
      <c r="AG41" s="271" t="str">
        <f t="shared" si="7"/>
        <v/>
      </c>
      <c r="AH41" s="271" t="s">
        <v>214</v>
      </c>
      <c r="AI41" s="271" t="s">
        <v>214</v>
      </c>
      <c r="AJ41" s="271" t="s">
        <v>214</v>
      </c>
      <c r="AK41" s="271" t="s">
        <v>214</v>
      </c>
      <c r="AL41" s="271" t="s">
        <v>214</v>
      </c>
      <c r="AM41" s="271" t="s">
        <v>214</v>
      </c>
      <c r="AN41" s="271" t="str">
        <f t="shared" si="8"/>
        <v/>
      </c>
      <c r="AO41" s="271" t="str">
        <f>IF(OR(ISNA(MATCH(MID(AN41,1,3)*1,UomConversion!$D$8:$D$500,0)),M41=""),"",IF(AT41="","",AT41))</f>
        <v/>
      </c>
      <c r="AP41" s="271" t="str">
        <f>IF(AND(AQ41&gt;0,COUNTIFS(UomConversion!$D$8:$D$500,MID(AN41,1,3)*1,UomConversion!$J$8:$J$500,1)&gt;1),TEXT(AQ41,"000")&amp;"."&amp;VLOOKUP(AQ41,uom_list,5,FALSE),"")</f>
        <v/>
      </c>
      <c r="AQ41" s="271" t="str">
        <f t="shared" si="20"/>
        <v/>
      </c>
      <c r="AR41" s="271" t="str">
        <f t="shared" si="21"/>
        <v/>
      </c>
      <c r="AS41" s="271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1" t="str">
        <f t="shared" si="9"/>
        <v/>
      </c>
      <c r="AU41" s="271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1" t="str">
        <f t="shared" ref="AV41" si="186">IF(M41="","",IF(invoice_location_id=1,BA41,IF(invoice_location_id=2,BB41,0)))</f>
        <v/>
      </c>
      <c r="AW41" s="271" t="s">
        <v>214</v>
      </c>
      <c r="AX41" s="271" t="str">
        <f t="shared" si="23"/>
        <v/>
      </c>
      <c r="AY41" s="271" t="str">
        <f>IF(M41="","",SUMIFS($AX$8:AX41,$I$8:I41,I41))</f>
        <v/>
      </c>
      <c r="AZ41" s="271" t="str">
        <f t="shared" si="24"/>
        <v/>
      </c>
      <c r="BA41" s="271" t="s">
        <v>214</v>
      </c>
      <c r="BB41" s="271" t="s">
        <v>214</v>
      </c>
    </row>
    <row r="42" spans="1:54" ht="27" customHeight="1">
      <c r="A42" s="583"/>
      <c r="B42" s="945"/>
      <c r="C42" s="648"/>
      <c r="D42" s="648"/>
      <c r="E42" s="648"/>
      <c r="F42" s="966"/>
      <c r="I42" s="378" t="str">
        <f t="shared" si="11"/>
        <v/>
      </c>
      <c r="J42" s="907" t="str">
        <f t="shared" si="131"/>
        <v/>
      </c>
      <c r="K42" s="910" t="str">
        <f t="shared" si="0"/>
        <v/>
      </c>
      <c r="L42" s="911"/>
      <c r="M42" s="908"/>
      <c r="N42" s="906"/>
      <c r="O42" s="906"/>
      <c r="P42" s="905"/>
      <c r="Q42" s="904"/>
      <c r="R42" s="912"/>
      <c r="S42" s="890" t="str">
        <f t="shared" ref="S42" si="187">IF(M42="","",invoice_currency_symbol)</f>
        <v/>
      </c>
      <c r="T42" s="914"/>
      <c r="U42" s="915" t="str">
        <f t="shared" si="13"/>
        <v/>
      </c>
      <c r="V42" s="918" t="str">
        <f t="shared" ref="V42" si="188">IF(W42=0,"",invoice_currency_symbol)</f>
        <v/>
      </c>
      <c r="W42" s="919"/>
      <c r="X42" s="920" t="str">
        <f t="shared" ref="X42" si="189">IF(M42="","",invoice_currency_symbol)</f>
        <v/>
      </c>
      <c r="Y42" s="913" t="str">
        <f t="shared" si="16"/>
        <v/>
      </c>
      <c r="Z42" s="916"/>
      <c r="AA42" s="271" t="str" cm="1">
        <f t="array" ref="AA42">IF(M42="","",IF(P42=AN42,1,Slookup(MID(AN42,1,3)*1,UomConversion!$D$8:$J$500,5,UomConversion!$E$8:$E$500,MID(P42,1,3)*1,UomConversion!$J$8:$J$500,1)))</f>
        <v/>
      </c>
      <c r="AB42" s="271" t="str">
        <f t="shared" si="4"/>
        <v/>
      </c>
      <c r="AC42" s="271" t="str">
        <f t="shared" si="17"/>
        <v/>
      </c>
      <c r="AD42" s="271" t="str">
        <f t="shared" si="18"/>
        <v/>
      </c>
      <c r="AE42" s="271" t="str">
        <f t="shared" si="5"/>
        <v/>
      </c>
      <c r="AF42" s="271" t="str">
        <f t="shared" ref="AF42" si="190">IFERROR(IF(M42="","",IF(invoice_price_type_id=1,VLOOKUP(I42,product_list,13,FALSE),IF(invoice_price_type_id=2,VLOOKUP(I42,product_list,14,FALSE),IF(invoice_price_type_id=3,VLOOKUP(I42,product_list,15,FALSE),IF(invoice_price_type_id=4,VLOOKUP(I42,product_list,16,FALSE),IF(invoice_price_type_id=5,VLOOKUP(I42,product_list,12,FALSE),"")))))),"")</f>
        <v/>
      </c>
      <c r="AG42" s="271" t="str">
        <f t="shared" si="7"/>
        <v/>
      </c>
      <c r="AH42" s="271" t="s">
        <v>214</v>
      </c>
      <c r="AI42" s="271" t="s">
        <v>214</v>
      </c>
      <c r="AJ42" s="271" t="s">
        <v>214</v>
      </c>
      <c r="AK42" s="271" t="s">
        <v>214</v>
      </c>
      <c r="AL42" s="271" t="s">
        <v>214</v>
      </c>
      <c r="AM42" s="271" t="s">
        <v>214</v>
      </c>
      <c r="AN42" s="271" t="str">
        <f t="shared" si="8"/>
        <v/>
      </c>
      <c r="AO42" s="271" t="str">
        <f>IF(OR(ISNA(MATCH(MID(AN42,1,3)*1,UomConversion!$D$8:$D$500,0)),M42=""),"",IF(AT42="","",AT42))</f>
        <v/>
      </c>
      <c r="AP42" s="271" t="str">
        <f>IF(AND(AQ42&gt;0,COUNTIFS(UomConversion!$D$8:$D$500,MID(AN42,1,3)*1,UomConversion!$J$8:$J$500,1)&gt;1),TEXT(AQ42,"000")&amp;"."&amp;VLOOKUP(AQ42,uom_list,5,FALSE),"")</f>
        <v/>
      </c>
      <c r="AQ42" s="271" t="str">
        <f t="shared" si="20"/>
        <v/>
      </c>
      <c r="AR42" s="271" t="str">
        <f t="shared" si="21"/>
        <v/>
      </c>
      <c r="AS42" s="271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1" t="str">
        <f t="shared" si="9"/>
        <v/>
      </c>
      <c r="AU42" s="271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1" t="str">
        <f t="shared" ref="AV42" si="191">IF(M42="","",IF(invoice_location_id=1,BA42,IF(invoice_location_id=2,BB42,0)))</f>
        <v/>
      </c>
      <c r="AW42" s="271" t="s">
        <v>214</v>
      </c>
      <c r="AX42" s="271" t="str">
        <f t="shared" si="23"/>
        <v/>
      </c>
      <c r="AY42" s="271" t="str">
        <f>IF(M42="","",SUMIFS($AX$8:AX42,$I$8:I42,I42))</f>
        <v/>
      </c>
      <c r="AZ42" s="271" t="str">
        <f t="shared" si="24"/>
        <v/>
      </c>
      <c r="BA42" s="271" t="s">
        <v>214</v>
      </c>
      <c r="BB42" s="271" t="s">
        <v>214</v>
      </c>
    </row>
    <row r="43" spans="1:54" ht="27" customHeight="1">
      <c r="A43" s="583"/>
      <c r="B43" s="945"/>
      <c r="C43" s="648"/>
      <c r="D43" s="648"/>
      <c r="E43" s="648"/>
      <c r="F43" s="966"/>
      <c r="I43" s="378" t="str">
        <f t="shared" si="11"/>
        <v/>
      </c>
      <c r="J43" s="907" t="str">
        <f t="shared" si="131"/>
        <v/>
      </c>
      <c r="K43" s="910" t="str">
        <f t="shared" si="0"/>
        <v/>
      </c>
      <c r="L43" s="911"/>
      <c r="M43" s="908"/>
      <c r="N43" s="906"/>
      <c r="O43" s="906"/>
      <c r="P43" s="905"/>
      <c r="Q43" s="904"/>
      <c r="R43" s="912"/>
      <c r="S43" s="890" t="str">
        <f t="shared" ref="S43" si="192">IF(M43="","",invoice_currency_symbol)</f>
        <v/>
      </c>
      <c r="T43" s="914"/>
      <c r="U43" s="915" t="str">
        <f t="shared" si="13"/>
        <v/>
      </c>
      <c r="V43" s="918" t="str">
        <f t="shared" ref="V43" si="193">IF(W43=0,"",invoice_currency_symbol)</f>
        <v/>
      </c>
      <c r="W43" s="919"/>
      <c r="X43" s="920" t="str">
        <f t="shared" ref="X43" si="194">IF(M43="","",invoice_currency_symbol)</f>
        <v/>
      </c>
      <c r="Y43" s="913" t="str">
        <f t="shared" si="16"/>
        <v/>
      </c>
      <c r="Z43" s="916"/>
      <c r="AA43" s="271" t="str" cm="1">
        <f t="array" ref="AA43">IF(M43="","",IF(P43=AN43,1,Slookup(MID(AN43,1,3)*1,UomConversion!$D$8:$J$500,5,UomConversion!$E$8:$E$500,MID(P43,1,3)*1,UomConversion!$J$8:$J$500,1)))</f>
        <v/>
      </c>
      <c r="AB43" s="271" t="str">
        <f t="shared" si="4"/>
        <v/>
      </c>
      <c r="AC43" s="271" t="str">
        <f t="shared" si="17"/>
        <v/>
      </c>
      <c r="AD43" s="271" t="str">
        <f t="shared" si="18"/>
        <v/>
      </c>
      <c r="AE43" s="271" t="str">
        <f t="shared" si="5"/>
        <v/>
      </c>
      <c r="AF43" s="271" t="str">
        <f t="shared" ref="AF43" si="195">IFERROR(IF(M43="","",IF(invoice_price_type_id=1,VLOOKUP(I43,product_list,13,FALSE),IF(invoice_price_type_id=2,VLOOKUP(I43,product_list,14,FALSE),IF(invoice_price_type_id=3,VLOOKUP(I43,product_list,15,FALSE),IF(invoice_price_type_id=4,VLOOKUP(I43,product_list,16,FALSE),IF(invoice_price_type_id=5,VLOOKUP(I43,product_list,12,FALSE),"")))))),"")</f>
        <v/>
      </c>
      <c r="AG43" s="271" t="str">
        <f t="shared" si="7"/>
        <v/>
      </c>
      <c r="AH43" s="271" t="s">
        <v>214</v>
      </c>
      <c r="AI43" s="271" t="s">
        <v>214</v>
      </c>
      <c r="AJ43" s="271" t="s">
        <v>214</v>
      </c>
      <c r="AK43" s="271" t="s">
        <v>214</v>
      </c>
      <c r="AL43" s="271" t="s">
        <v>214</v>
      </c>
      <c r="AM43" s="271" t="s">
        <v>214</v>
      </c>
      <c r="AN43" s="271" t="str">
        <f t="shared" si="8"/>
        <v/>
      </c>
      <c r="AO43" s="271" t="str">
        <f>IF(OR(ISNA(MATCH(MID(AN43,1,3)*1,UomConversion!$D$8:$D$500,0)),M43=""),"",IF(AT43="","",AT43))</f>
        <v/>
      </c>
      <c r="AP43" s="271" t="str">
        <f>IF(AND(AQ43&gt;0,COUNTIFS(UomConversion!$D$8:$D$500,MID(AN43,1,3)*1,UomConversion!$J$8:$J$500,1)&gt;1),TEXT(AQ43,"000")&amp;"."&amp;VLOOKUP(AQ43,uom_list,5,FALSE),"")</f>
        <v/>
      </c>
      <c r="AQ43" s="271" t="str">
        <f t="shared" si="20"/>
        <v/>
      </c>
      <c r="AR43" s="271" t="str">
        <f t="shared" si="21"/>
        <v/>
      </c>
      <c r="AS43" s="271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1" t="str">
        <f t="shared" si="9"/>
        <v/>
      </c>
      <c r="AU43" s="271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1" t="str">
        <f t="shared" ref="AV43" si="196">IF(M43="","",IF(invoice_location_id=1,BA43,IF(invoice_location_id=2,BB43,0)))</f>
        <v/>
      </c>
      <c r="AW43" s="271" t="s">
        <v>214</v>
      </c>
      <c r="AX43" s="271" t="str">
        <f t="shared" si="23"/>
        <v/>
      </c>
      <c r="AY43" s="271" t="str">
        <f>IF(M43="","",SUMIFS($AX$8:AX43,$I$8:I43,I43))</f>
        <v/>
      </c>
      <c r="AZ43" s="271" t="str">
        <f t="shared" si="24"/>
        <v/>
      </c>
      <c r="BA43" s="271" t="s">
        <v>214</v>
      </c>
      <c r="BB43" s="271" t="s">
        <v>214</v>
      </c>
    </row>
    <row r="44" spans="1:54" ht="27" customHeight="1">
      <c r="A44" s="583"/>
      <c r="B44" s="945"/>
      <c r="C44" s="648"/>
      <c r="D44" s="648"/>
      <c r="E44" s="648"/>
      <c r="F44" s="966"/>
      <c r="I44" s="378" t="str">
        <f t="shared" si="11"/>
        <v/>
      </c>
      <c r="J44" s="907" t="str">
        <f t="shared" si="131"/>
        <v/>
      </c>
      <c r="K44" s="910" t="str">
        <f t="shared" si="0"/>
        <v/>
      </c>
      <c r="L44" s="911"/>
      <c r="M44" s="908"/>
      <c r="N44" s="906"/>
      <c r="O44" s="906"/>
      <c r="P44" s="905"/>
      <c r="Q44" s="904"/>
      <c r="R44" s="912"/>
      <c r="S44" s="890" t="str">
        <f t="shared" ref="S44" si="197">IF(M44="","",invoice_currency_symbol)</f>
        <v/>
      </c>
      <c r="T44" s="914"/>
      <c r="U44" s="915" t="str">
        <f t="shared" si="13"/>
        <v/>
      </c>
      <c r="V44" s="918" t="str">
        <f t="shared" ref="V44" si="198">IF(W44=0,"",invoice_currency_symbol)</f>
        <v/>
      </c>
      <c r="W44" s="919"/>
      <c r="X44" s="920" t="str">
        <f t="shared" ref="X44" si="199">IF(M44="","",invoice_currency_symbol)</f>
        <v/>
      </c>
      <c r="Y44" s="913" t="str">
        <f t="shared" si="16"/>
        <v/>
      </c>
      <c r="Z44" s="916"/>
      <c r="AA44" s="271" t="str" cm="1">
        <f t="array" ref="AA44">IF(M44="","",IF(P44=AN44,1,Slookup(MID(AN44,1,3)*1,UomConversion!$D$8:$J$500,5,UomConversion!$E$8:$E$500,MID(P44,1,3)*1,UomConversion!$J$8:$J$500,1)))</f>
        <v/>
      </c>
      <c r="AB44" s="271" t="str">
        <f t="shared" si="4"/>
        <v/>
      </c>
      <c r="AC44" s="271" t="str">
        <f t="shared" si="17"/>
        <v/>
      </c>
      <c r="AD44" s="271" t="str">
        <f t="shared" si="18"/>
        <v/>
      </c>
      <c r="AE44" s="271" t="str">
        <f t="shared" si="5"/>
        <v/>
      </c>
      <c r="AF44" s="271" t="str">
        <f t="shared" ref="AF44" si="200">IFERROR(IF(M44="","",IF(invoice_price_type_id=1,VLOOKUP(I44,product_list,13,FALSE),IF(invoice_price_type_id=2,VLOOKUP(I44,product_list,14,FALSE),IF(invoice_price_type_id=3,VLOOKUP(I44,product_list,15,FALSE),IF(invoice_price_type_id=4,VLOOKUP(I44,product_list,16,FALSE),IF(invoice_price_type_id=5,VLOOKUP(I44,product_list,12,FALSE),"")))))),"")</f>
        <v/>
      </c>
      <c r="AG44" s="271" t="str">
        <f t="shared" si="7"/>
        <v/>
      </c>
      <c r="AH44" s="271" t="s">
        <v>214</v>
      </c>
      <c r="AI44" s="271" t="s">
        <v>214</v>
      </c>
      <c r="AJ44" s="271" t="s">
        <v>214</v>
      </c>
      <c r="AK44" s="271" t="s">
        <v>214</v>
      </c>
      <c r="AL44" s="271" t="s">
        <v>214</v>
      </c>
      <c r="AM44" s="271" t="s">
        <v>214</v>
      </c>
      <c r="AN44" s="271" t="str">
        <f t="shared" si="8"/>
        <v/>
      </c>
      <c r="AO44" s="271" t="str">
        <f>IF(OR(ISNA(MATCH(MID(AN44,1,3)*1,UomConversion!$D$8:$D$500,0)),M44=""),"",IF(AT44="","",AT44))</f>
        <v/>
      </c>
      <c r="AP44" s="271" t="str">
        <f>IF(AND(AQ44&gt;0,COUNTIFS(UomConversion!$D$8:$D$500,MID(AN44,1,3)*1,UomConversion!$J$8:$J$500,1)&gt;1),TEXT(AQ44,"000")&amp;"."&amp;VLOOKUP(AQ44,uom_list,5,FALSE),"")</f>
        <v/>
      </c>
      <c r="AQ44" s="271" t="str">
        <f t="shared" si="20"/>
        <v/>
      </c>
      <c r="AR44" s="271" t="str">
        <f t="shared" si="21"/>
        <v/>
      </c>
      <c r="AS44" s="271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1" t="str">
        <f t="shared" si="9"/>
        <v/>
      </c>
      <c r="AU44" s="271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1" t="str">
        <f t="shared" ref="AV44" si="201">IF(M44="","",IF(invoice_location_id=1,BA44,IF(invoice_location_id=2,BB44,0)))</f>
        <v/>
      </c>
      <c r="AW44" s="271" t="s">
        <v>214</v>
      </c>
      <c r="AX44" s="271" t="str">
        <f t="shared" si="23"/>
        <v/>
      </c>
      <c r="AY44" s="271" t="str">
        <f>IF(M44="","",SUMIFS($AX$8:AX44,$I$8:I44,I44))</f>
        <v/>
      </c>
      <c r="AZ44" s="271" t="str">
        <f t="shared" si="24"/>
        <v/>
      </c>
      <c r="BA44" s="271" t="s">
        <v>214</v>
      </c>
      <c r="BB44" s="271" t="s">
        <v>214</v>
      </c>
    </row>
    <row r="45" spans="1:54" ht="27" customHeight="1">
      <c r="A45" s="583"/>
      <c r="B45" s="945"/>
      <c r="C45" s="648"/>
      <c r="D45" s="648"/>
      <c r="E45" s="648"/>
      <c r="F45" s="966"/>
      <c r="I45" s="378" t="str">
        <f t="shared" si="11"/>
        <v/>
      </c>
      <c r="J45" s="907" t="str">
        <f t="shared" si="131"/>
        <v/>
      </c>
      <c r="K45" s="910" t="str">
        <f t="shared" si="0"/>
        <v/>
      </c>
      <c r="L45" s="911"/>
      <c r="M45" s="908"/>
      <c r="N45" s="906"/>
      <c r="O45" s="906"/>
      <c r="P45" s="905"/>
      <c r="Q45" s="904"/>
      <c r="R45" s="912"/>
      <c r="S45" s="890" t="str">
        <f t="shared" ref="S45" si="202">IF(M45="","",invoice_currency_symbol)</f>
        <v/>
      </c>
      <c r="T45" s="914"/>
      <c r="U45" s="915" t="str">
        <f t="shared" si="13"/>
        <v/>
      </c>
      <c r="V45" s="918" t="str">
        <f t="shared" ref="V45" si="203">IF(W45=0,"",invoice_currency_symbol)</f>
        <v/>
      </c>
      <c r="W45" s="919"/>
      <c r="X45" s="920" t="str">
        <f t="shared" ref="X45" si="204">IF(M45="","",invoice_currency_symbol)</f>
        <v/>
      </c>
      <c r="Y45" s="913" t="str">
        <f t="shared" si="16"/>
        <v/>
      </c>
      <c r="Z45" s="916"/>
      <c r="AA45" s="271" t="str" cm="1">
        <f t="array" ref="AA45">IF(M45="","",IF(P45=AN45,1,Slookup(MID(AN45,1,3)*1,UomConversion!$D$8:$J$500,5,UomConversion!$E$8:$E$500,MID(P45,1,3)*1,UomConversion!$J$8:$J$500,1)))</f>
        <v/>
      </c>
      <c r="AB45" s="271" t="str">
        <f t="shared" si="4"/>
        <v/>
      </c>
      <c r="AC45" s="271" t="str">
        <f t="shared" si="17"/>
        <v/>
      </c>
      <c r="AD45" s="271" t="str">
        <f t="shared" si="18"/>
        <v/>
      </c>
      <c r="AE45" s="271" t="str">
        <f t="shared" si="5"/>
        <v/>
      </c>
      <c r="AF45" s="271" t="str">
        <f t="shared" ref="AF45" si="205">IFERROR(IF(M45="","",IF(invoice_price_type_id=1,VLOOKUP(I45,product_list,13,FALSE),IF(invoice_price_type_id=2,VLOOKUP(I45,product_list,14,FALSE),IF(invoice_price_type_id=3,VLOOKUP(I45,product_list,15,FALSE),IF(invoice_price_type_id=4,VLOOKUP(I45,product_list,16,FALSE),IF(invoice_price_type_id=5,VLOOKUP(I45,product_list,12,FALSE),"")))))),"")</f>
        <v/>
      </c>
      <c r="AG45" s="271" t="str">
        <f t="shared" si="7"/>
        <v/>
      </c>
      <c r="AH45" s="271" t="s">
        <v>214</v>
      </c>
      <c r="AI45" s="271" t="s">
        <v>214</v>
      </c>
      <c r="AJ45" s="271" t="s">
        <v>214</v>
      </c>
      <c r="AK45" s="271" t="s">
        <v>214</v>
      </c>
      <c r="AL45" s="271" t="s">
        <v>214</v>
      </c>
      <c r="AM45" s="271" t="s">
        <v>214</v>
      </c>
      <c r="AN45" s="271" t="str">
        <f t="shared" si="8"/>
        <v/>
      </c>
      <c r="AO45" s="271" t="str">
        <f>IF(OR(ISNA(MATCH(MID(AN45,1,3)*1,UomConversion!$D$8:$D$500,0)),M45=""),"",IF(AT45="","",AT45))</f>
        <v/>
      </c>
      <c r="AP45" s="271" t="str">
        <f>IF(AND(AQ45&gt;0,COUNTIFS(UomConversion!$D$8:$D$500,MID(AN45,1,3)*1,UomConversion!$J$8:$J$500,1)&gt;1),TEXT(AQ45,"000")&amp;"."&amp;VLOOKUP(AQ45,uom_list,5,FALSE),"")</f>
        <v/>
      </c>
      <c r="AQ45" s="271" t="str">
        <f t="shared" si="20"/>
        <v/>
      </c>
      <c r="AR45" s="271" t="str">
        <f t="shared" si="21"/>
        <v/>
      </c>
      <c r="AS45" s="271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1" t="str">
        <f t="shared" si="9"/>
        <v/>
      </c>
      <c r="AU45" s="271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1" t="str">
        <f t="shared" ref="AV45" si="206">IF(M45="","",IF(invoice_location_id=1,BA45,IF(invoice_location_id=2,BB45,0)))</f>
        <v/>
      </c>
      <c r="AW45" s="271" t="s">
        <v>214</v>
      </c>
      <c r="AX45" s="271" t="str">
        <f t="shared" si="23"/>
        <v/>
      </c>
      <c r="AY45" s="271" t="str">
        <f>IF(M45="","",SUMIFS($AX$8:AX45,$I$8:I45,I45))</f>
        <v/>
      </c>
      <c r="AZ45" s="271" t="str">
        <f t="shared" si="24"/>
        <v/>
      </c>
      <c r="BA45" s="271" t="s">
        <v>214</v>
      </c>
      <c r="BB45" s="271" t="s">
        <v>214</v>
      </c>
    </row>
    <row r="46" spans="1:54" ht="27" customHeight="1">
      <c r="A46" s="583"/>
      <c r="B46" s="945"/>
      <c r="C46" s="648"/>
      <c r="D46" s="648"/>
      <c r="E46" s="648"/>
      <c r="F46" s="966"/>
      <c r="I46" s="378" t="str">
        <f t="shared" si="11"/>
        <v/>
      </c>
      <c r="J46" s="907" t="str">
        <f t="shared" si="131"/>
        <v/>
      </c>
      <c r="K46" s="910" t="str">
        <f t="shared" si="0"/>
        <v/>
      </c>
      <c r="L46" s="911"/>
      <c r="M46" s="908"/>
      <c r="N46" s="906"/>
      <c r="O46" s="906"/>
      <c r="P46" s="905"/>
      <c r="Q46" s="904"/>
      <c r="R46" s="912"/>
      <c r="S46" s="890" t="str">
        <f t="shared" ref="S46" si="207">IF(M46="","",invoice_currency_symbol)</f>
        <v/>
      </c>
      <c r="T46" s="914"/>
      <c r="U46" s="915" t="str">
        <f t="shared" si="13"/>
        <v/>
      </c>
      <c r="V46" s="918" t="str">
        <f t="shared" ref="V46" si="208">IF(W46=0,"",invoice_currency_symbol)</f>
        <v/>
      </c>
      <c r="W46" s="919"/>
      <c r="X46" s="920" t="str">
        <f t="shared" ref="X46" si="209">IF(M46="","",invoice_currency_symbol)</f>
        <v/>
      </c>
      <c r="Y46" s="913" t="str">
        <f t="shared" si="16"/>
        <v/>
      </c>
      <c r="Z46" s="916"/>
      <c r="AA46" s="271" t="str" cm="1">
        <f t="array" ref="AA46">IF(M46="","",IF(P46=AN46,1,Slookup(MID(AN46,1,3)*1,UomConversion!$D$8:$J$500,5,UomConversion!$E$8:$E$500,MID(P46,1,3)*1,UomConversion!$J$8:$J$500,1)))</f>
        <v/>
      </c>
      <c r="AB46" s="271" t="str">
        <f t="shared" si="4"/>
        <v/>
      </c>
      <c r="AC46" s="271" t="str">
        <f t="shared" si="17"/>
        <v/>
      </c>
      <c r="AD46" s="271" t="str">
        <f t="shared" si="18"/>
        <v/>
      </c>
      <c r="AE46" s="271" t="str">
        <f t="shared" si="5"/>
        <v/>
      </c>
      <c r="AF46" s="271" t="str">
        <f t="shared" ref="AF46" si="210">IFERROR(IF(M46="","",IF(invoice_price_type_id=1,VLOOKUP(I46,product_list,13,FALSE),IF(invoice_price_type_id=2,VLOOKUP(I46,product_list,14,FALSE),IF(invoice_price_type_id=3,VLOOKUP(I46,product_list,15,FALSE),IF(invoice_price_type_id=4,VLOOKUP(I46,product_list,16,FALSE),IF(invoice_price_type_id=5,VLOOKUP(I46,product_list,12,FALSE),"")))))),"")</f>
        <v/>
      </c>
      <c r="AG46" s="271" t="str">
        <f t="shared" si="7"/>
        <v/>
      </c>
      <c r="AH46" s="271" t="s">
        <v>214</v>
      </c>
      <c r="AI46" s="271" t="s">
        <v>214</v>
      </c>
      <c r="AJ46" s="271" t="s">
        <v>214</v>
      </c>
      <c r="AK46" s="271" t="s">
        <v>214</v>
      </c>
      <c r="AL46" s="271" t="s">
        <v>214</v>
      </c>
      <c r="AM46" s="271" t="s">
        <v>214</v>
      </c>
      <c r="AN46" s="271" t="str">
        <f t="shared" si="8"/>
        <v/>
      </c>
      <c r="AO46" s="271" t="str">
        <f>IF(OR(ISNA(MATCH(MID(AN46,1,3)*1,UomConversion!$D$8:$D$500,0)),M46=""),"",IF(AT46="","",AT46))</f>
        <v/>
      </c>
      <c r="AP46" s="271" t="str">
        <f>IF(AND(AQ46&gt;0,COUNTIFS(UomConversion!$D$8:$D$500,MID(AN46,1,3)*1,UomConversion!$J$8:$J$500,1)&gt;1),TEXT(AQ46,"000")&amp;"."&amp;VLOOKUP(AQ46,uom_list,5,FALSE),"")</f>
        <v/>
      </c>
      <c r="AQ46" s="271" t="str">
        <f t="shared" si="20"/>
        <v/>
      </c>
      <c r="AR46" s="271" t="str">
        <f t="shared" si="21"/>
        <v/>
      </c>
      <c r="AS46" s="271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1" t="str">
        <f t="shared" si="9"/>
        <v/>
      </c>
      <c r="AU46" s="271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1" t="str">
        <f t="shared" ref="AV46" si="211">IF(M46="","",IF(invoice_location_id=1,BA46,IF(invoice_location_id=2,BB46,0)))</f>
        <v/>
      </c>
      <c r="AW46" s="271" t="s">
        <v>214</v>
      </c>
      <c r="AX46" s="271" t="str">
        <f t="shared" si="23"/>
        <v/>
      </c>
      <c r="AY46" s="271" t="str">
        <f>IF(M46="","",SUMIFS($AX$8:AX46,$I$8:I46,I46))</f>
        <v/>
      </c>
      <c r="AZ46" s="271" t="str">
        <f t="shared" si="24"/>
        <v/>
      </c>
      <c r="BA46" s="271" t="s">
        <v>214</v>
      </c>
      <c r="BB46" s="271" t="s">
        <v>214</v>
      </c>
    </row>
    <row r="47" spans="1:54" ht="27" customHeight="1">
      <c r="A47" s="583"/>
      <c r="B47" s="945"/>
      <c r="C47" s="648"/>
      <c r="D47" s="648"/>
      <c r="E47" s="648"/>
      <c r="F47" s="966"/>
      <c r="I47" s="378" t="str">
        <f t="shared" si="11"/>
        <v/>
      </c>
      <c r="J47" s="907" t="str">
        <f t="shared" si="131"/>
        <v/>
      </c>
      <c r="K47" s="910" t="str">
        <f t="shared" si="0"/>
        <v/>
      </c>
      <c r="L47" s="911"/>
      <c r="M47" s="908"/>
      <c r="N47" s="906"/>
      <c r="O47" s="906"/>
      <c r="P47" s="905"/>
      <c r="Q47" s="904"/>
      <c r="R47" s="912"/>
      <c r="S47" s="890" t="str">
        <f t="shared" ref="S47" si="212">IF(M47="","",invoice_currency_symbol)</f>
        <v/>
      </c>
      <c r="T47" s="914"/>
      <c r="U47" s="915" t="str">
        <f t="shared" si="13"/>
        <v/>
      </c>
      <c r="V47" s="918" t="str">
        <f t="shared" ref="V47" si="213">IF(W47=0,"",invoice_currency_symbol)</f>
        <v/>
      </c>
      <c r="W47" s="919"/>
      <c r="X47" s="920" t="str">
        <f t="shared" ref="X47" si="214">IF(M47="","",invoice_currency_symbol)</f>
        <v/>
      </c>
      <c r="Y47" s="913" t="str">
        <f t="shared" si="16"/>
        <v/>
      </c>
      <c r="Z47" s="916"/>
      <c r="AA47" s="271" t="str" cm="1">
        <f t="array" ref="AA47">IF(M47="","",IF(P47=AN47,1,Slookup(MID(AN47,1,3)*1,UomConversion!$D$8:$J$500,5,UomConversion!$E$8:$E$500,MID(P47,1,3)*1,UomConversion!$J$8:$J$500,1)))</f>
        <v/>
      </c>
      <c r="AB47" s="271" t="str">
        <f t="shared" si="4"/>
        <v/>
      </c>
      <c r="AC47" s="271" t="str">
        <f t="shared" si="17"/>
        <v/>
      </c>
      <c r="AD47" s="271" t="str">
        <f t="shared" si="18"/>
        <v/>
      </c>
      <c r="AE47" s="271" t="str">
        <f t="shared" si="5"/>
        <v/>
      </c>
      <c r="AF47" s="271" t="str">
        <f t="shared" ref="AF47" si="215">IFERROR(IF(M47="","",IF(invoice_price_type_id=1,VLOOKUP(I47,product_list,13,FALSE),IF(invoice_price_type_id=2,VLOOKUP(I47,product_list,14,FALSE),IF(invoice_price_type_id=3,VLOOKUP(I47,product_list,15,FALSE),IF(invoice_price_type_id=4,VLOOKUP(I47,product_list,16,FALSE),IF(invoice_price_type_id=5,VLOOKUP(I47,product_list,12,FALSE),"")))))),"")</f>
        <v/>
      </c>
      <c r="AG47" s="271" t="str">
        <f t="shared" si="7"/>
        <v/>
      </c>
      <c r="AH47" s="271" t="s">
        <v>214</v>
      </c>
      <c r="AI47" s="271" t="s">
        <v>214</v>
      </c>
      <c r="AJ47" s="271" t="s">
        <v>214</v>
      </c>
      <c r="AK47" s="271" t="s">
        <v>214</v>
      </c>
      <c r="AL47" s="271" t="s">
        <v>214</v>
      </c>
      <c r="AM47" s="271" t="s">
        <v>214</v>
      </c>
      <c r="AN47" s="271" t="str">
        <f t="shared" si="8"/>
        <v/>
      </c>
      <c r="AO47" s="271" t="str">
        <f>IF(OR(ISNA(MATCH(MID(AN47,1,3)*1,UomConversion!$D$8:$D$500,0)),M47=""),"",IF(AT47="","",AT47))</f>
        <v/>
      </c>
      <c r="AP47" s="271" t="str">
        <f>IF(AND(AQ47&gt;0,COUNTIFS(UomConversion!$D$8:$D$500,MID(AN47,1,3)*1,UomConversion!$J$8:$J$500,1)&gt;1),TEXT(AQ47,"000")&amp;"."&amp;VLOOKUP(AQ47,uom_list,5,FALSE),"")</f>
        <v/>
      </c>
      <c r="AQ47" s="271" t="str">
        <f t="shared" si="20"/>
        <v/>
      </c>
      <c r="AR47" s="271" t="str">
        <f t="shared" si="21"/>
        <v/>
      </c>
      <c r="AS47" s="271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1" t="str">
        <f t="shared" si="9"/>
        <v/>
      </c>
      <c r="AU47" s="271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1" t="str">
        <f t="shared" ref="AV47" si="216">IF(M47="","",IF(invoice_location_id=1,BA47,IF(invoice_location_id=2,BB47,0)))</f>
        <v/>
      </c>
      <c r="AW47" s="271" t="s">
        <v>214</v>
      </c>
      <c r="AX47" s="271" t="str">
        <f t="shared" si="23"/>
        <v/>
      </c>
      <c r="AY47" s="271" t="str">
        <f>IF(M47="","",SUMIFS($AX$8:AX47,$I$8:I47,I47))</f>
        <v/>
      </c>
      <c r="AZ47" s="271" t="str">
        <f t="shared" si="24"/>
        <v/>
      </c>
      <c r="BA47" s="271" t="s">
        <v>214</v>
      </c>
      <c r="BB47" s="271" t="s">
        <v>214</v>
      </c>
    </row>
    <row r="48" spans="1:54" ht="27" customHeight="1">
      <c r="A48" s="583"/>
      <c r="B48" s="945"/>
      <c r="C48" s="648"/>
      <c r="D48" s="648"/>
      <c r="E48" s="648"/>
      <c r="F48" s="966"/>
      <c r="I48" s="378" t="str">
        <f t="shared" si="11"/>
        <v/>
      </c>
      <c r="J48" s="907" t="str">
        <f t="shared" si="131"/>
        <v/>
      </c>
      <c r="K48" s="910" t="str">
        <f t="shared" si="0"/>
        <v/>
      </c>
      <c r="L48" s="911"/>
      <c r="M48" s="908"/>
      <c r="N48" s="906"/>
      <c r="O48" s="906"/>
      <c r="P48" s="905"/>
      <c r="Q48" s="904"/>
      <c r="R48" s="912"/>
      <c r="S48" s="890" t="str">
        <f t="shared" ref="S48" si="217">IF(M48="","",invoice_currency_symbol)</f>
        <v/>
      </c>
      <c r="T48" s="914"/>
      <c r="U48" s="915" t="str">
        <f t="shared" si="13"/>
        <v/>
      </c>
      <c r="V48" s="918" t="str">
        <f t="shared" ref="V48" si="218">IF(W48=0,"",invoice_currency_symbol)</f>
        <v/>
      </c>
      <c r="W48" s="919"/>
      <c r="X48" s="920" t="str">
        <f t="shared" ref="X48" si="219">IF(M48="","",invoice_currency_symbol)</f>
        <v/>
      </c>
      <c r="Y48" s="913" t="str">
        <f t="shared" si="16"/>
        <v/>
      </c>
      <c r="Z48" s="916"/>
      <c r="AA48" s="271" t="str" cm="1">
        <f t="array" ref="AA48">IF(M48="","",IF(P48=AN48,1,Slookup(MID(AN48,1,3)*1,UomConversion!$D$8:$J$500,5,UomConversion!$E$8:$E$500,MID(P48,1,3)*1,UomConversion!$J$8:$J$500,1)))</f>
        <v/>
      </c>
      <c r="AB48" s="271" t="str">
        <f t="shared" si="4"/>
        <v/>
      </c>
      <c r="AC48" s="271" t="str">
        <f t="shared" si="17"/>
        <v/>
      </c>
      <c r="AD48" s="271" t="str">
        <f t="shared" si="18"/>
        <v/>
      </c>
      <c r="AE48" s="271" t="str">
        <f t="shared" si="5"/>
        <v/>
      </c>
      <c r="AF48" s="271" t="str">
        <f t="shared" ref="AF48" si="220">IFERROR(IF(M48="","",IF(invoice_price_type_id=1,VLOOKUP(I48,product_list,13,FALSE),IF(invoice_price_type_id=2,VLOOKUP(I48,product_list,14,FALSE),IF(invoice_price_type_id=3,VLOOKUP(I48,product_list,15,FALSE),IF(invoice_price_type_id=4,VLOOKUP(I48,product_list,16,FALSE),IF(invoice_price_type_id=5,VLOOKUP(I48,product_list,12,FALSE),"")))))),"")</f>
        <v/>
      </c>
      <c r="AG48" s="271" t="str">
        <f t="shared" si="7"/>
        <v/>
      </c>
      <c r="AH48" s="271" t="s">
        <v>214</v>
      </c>
      <c r="AI48" s="271" t="s">
        <v>214</v>
      </c>
      <c r="AJ48" s="271" t="s">
        <v>214</v>
      </c>
      <c r="AK48" s="271" t="s">
        <v>214</v>
      </c>
      <c r="AL48" s="271" t="s">
        <v>214</v>
      </c>
      <c r="AM48" s="271" t="s">
        <v>214</v>
      </c>
      <c r="AN48" s="271" t="str">
        <f t="shared" si="8"/>
        <v/>
      </c>
      <c r="AO48" s="271" t="str">
        <f>IF(OR(ISNA(MATCH(MID(AN48,1,3)*1,UomConversion!$D$8:$D$500,0)),M48=""),"",IF(AT48="","",AT48))</f>
        <v/>
      </c>
      <c r="AP48" s="271" t="str">
        <f>IF(AND(AQ48&gt;0,COUNTIFS(UomConversion!$D$8:$D$500,MID(AN48,1,3)*1,UomConversion!$J$8:$J$500,1)&gt;1),TEXT(AQ48,"000")&amp;"."&amp;VLOOKUP(AQ48,uom_list,5,FALSE),"")</f>
        <v/>
      </c>
      <c r="AQ48" s="271" t="str">
        <f t="shared" si="20"/>
        <v/>
      </c>
      <c r="AR48" s="271" t="str">
        <f t="shared" si="21"/>
        <v/>
      </c>
      <c r="AS48" s="271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1" t="str">
        <f t="shared" si="9"/>
        <v/>
      </c>
      <c r="AU48" s="271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1" t="str">
        <f t="shared" ref="AV48" si="221">IF(M48="","",IF(invoice_location_id=1,BA48,IF(invoice_location_id=2,BB48,0)))</f>
        <v/>
      </c>
      <c r="AW48" s="271" t="s">
        <v>214</v>
      </c>
      <c r="AX48" s="271" t="str">
        <f t="shared" si="23"/>
        <v/>
      </c>
      <c r="AY48" s="271" t="str">
        <f>IF(M48="","",SUMIFS($AX$8:AX48,$I$8:I48,I48))</f>
        <v/>
      </c>
      <c r="AZ48" s="271" t="str">
        <f t="shared" si="24"/>
        <v/>
      </c>
      <c r="BA48" s="271" t="s">
        <v>214</v>
      </c>
      <c r="BB48" s="271" t="s">
        <v>214</v>
      </c>
    </row>
    <row r="49" spans="1:54" ht="27" customHeight="1">
      <c r="A49" s="583"/>
      <c r="B49" s="945"/>
      <c r="C49" s="648"/>
      <c r="D49" s="648"/>
      <c r="E49" s="648"/>
      <c r="F49" s="966"/>
      <c r="I49" s="378" t="str">
        <f t="shared" si="11"/>
        <v/>
      </c>
      <c r="J49" s="907" t="str">
        <f t="shared" si="131"/>
        <v/>
      </c>
      <c r="K49" s="910" t="str">
        <f t="shared" si="0"/>
        <v/>
      </c>
      <c r="L49" s="911"/>
      <c r="M49" s="908"/>
      <c r="N49" s="906"/>
      <c r="O49" s="906"/>
      <c r="P49" s="905"/>
      <c r="Q49" s="904"/>
      <c r="R49" s="912"/>
      <c r="S49" s="890" t="str">
        <f t="shared" ref="S49" si="222">IF(M49="","",invoice_currency_symbol)</f>
        <v/>
      </c>
      <c r="T49" s="914"/>
      <c r="U49" s="915" t="str">
        <f t="shared" si="13"/>
        <v/>
      </c>
      <c r="V49" s="918" t="str">
        <f t="shared" ref="V49" si="223">IF(W49=0,"",invoice_currency_symbol)</f>
        <v/>
      </c>
      <c r="W49" s="919"/>
      <c r="X49" s="920" t="str">
        <f t="shared" ref="X49" si="224">IF(M49="","",invoice_currency_symbol)</f>
        <v/>
      </c>
      <c r="Y49" s="913" t="str">
        <f t="shared" si="16"/>
        <v/>
      </c>
      <c r="Z49" s="916"/>
      <c r="AA49" s="271" t="str" cm="1">
        <f t="array" ref="AA49">IF(M49="","",IF(P49=AN49,1,Slookup(MID(AN49,1,3)*1,UomConversion!$D$8:$J$500,5,UomConversion!$E$8:$E$500,MID(P49,1,3)*1,UomConversion!$J$8:$J$500,1)))</f>
        <v/>
      </c>
      <c r="AB49" s="271" t="str">
        <f t="shared" si="4"/>
        <v/>
      </c>
      <c r="AC49" s="271" t="str">
        <f t="shared" si="17"/>
        <v/>
      </c>
      <c r="AD49" s="271" t="str">
        <f t="shared" si="18"/>
        <v/>
      </c>
      <c r="AE49" s="271" t="str">
        <f t="shared" si="5"/>
        <v/>
      </c>
      <c r="AF49" s="271" t="str">
        <f t="shared" ref="AF49" si="225">IFERROR(IF(M49="","",IF(invoice_price_type_id=1,VLOOKUP(I49,product_list,13,FALSE),IF(invoice_price_type_id=2,VLOOKUP(I49,product_list,14,FALSE),IF(invoice_price_type_id=3,VLOOKUP(I49,product_list,15,FALSE),IF(invoice_price_type_id=4,VLOOKUP(I49,product_list,16,FALSE),IF(invoice_price_type_id=5,VLOOKUP(I49,product_list,12,FALSE),"")))))),"")</f>
        <v/>
      </c>
      <c r="AG49" s="271" t="str">
        <f t="shared" si="7"/>
        <v/>
      </c>
      <c r="AH49" s="271" t="s">
        <v>214</v>
      </c>
      <c r="AI49" s="271" t="s">
        <v>214</v>
      </c>
      <c r="AJ49" s="271" t="s">
        <v>214</v>
      </c>
      <c r="AK49" s="271" t="s">
        <v>214</v>
      </c>
      <c r="AL49" s="271" t="s">
        <v>214</v>
      </c>
      <c r="AM49" s="271" t="s">
        <v>214</v>
      </c>
      <c r="AN49" s="271" t="str">
        <f t="shared" si="8"/>
        <v/>
      </c>
      <c r="AO49" s="271" t="str">
        <f>IF(OR(ISNA(MATCH(MID(AN49,1,3)*1,UomConversion!$D$8:$D$500,0)),M49=""),"",IF(AT49="","",AT49))</f>
        <v/>
      </c>
      <c r="AP49" s="271" t="str">
        <f>IF(AND(AQ49&gt;0,COUNTIFS(UomConversion!$D$8:$D$500,MID(AN49,1,3)*1,UomConversion!$J$8:$J$500,1)&gt;1),TEXT(AQ49,"000")&amp;"."&amp;VLOOKUP(AQ49,uom_list,5,FALSE),"")</f>
        <v/>
      </c>
      <c r="AQ49" s="271" t="str">
        <f t="shared" si="20"/>
        <v/>
      </c>
      <c r="AR49" s="271" t="str">
        <f t="shared" si="21"/>
        <v/>
      </c>
      <c r="AS49" s="271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1" t="str">
        <f t="shared" si="9"/>
        <v/>
      </c>
      <c r="AU49" s="271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1" t="str">
        <f t="shared" ref="AV49" si="226">IF(M49="","",IF(invoice_location_id=1,BA49,IF(invoice_location_id=2,BB49,0)))</f>
        <v/>
      </c>
      <c r="AW49" s="271" t="s">
        <v>214</v>
      </c>
      <c r="AX49" s="271" t="str">
        <f t="shared" si="23"/>
        <v/>
      </c>
      <c r="AY49" s="271" t="str">
        <f>IF(M49="","",SUMIFS($AX$8:AX49,$I$8:I49,I49))</f>
        <v/>
      </c>
      <c r="AZ49" s="271" t="str">
        <f t="shared" si="24"/>
        <v/>
      </c>
      <c r="BA49" s="271" t="s">
        <v>214</v>
      </c>
      <c r="BB49" s="271" t="s">
        <v>214</v>
      </c>
    </row>
    <row r="50" spans="1:54" ht="27" customHeight="1">
      <c r="A50" s="583"/>
      <c r="B50" s="945"/>
      <c r="C50" s="648"/>
      <c r="D50" s="648"/>
      <c r="E50" s="648"/>
      <c r="F50" s="966"/>
      <c r="I50" s="378" t="str">
        <f t="shared" si="11"/>
        <v/>
      </c>
      <c r="J50" s="907" t="str">
        <f t="shared" si="131"/>
        <v/>
      </c>
      <c r="K50" s="910" t="str">
        <f t="shared" si="0"/>
        <v/>
      </c>
      <c r="L50" s="911"/>
      <c r="M50" s="908"/>
      <c r="N50" s="906"/>
      <c r="O50" s="906"/>
      <c r="P50" s="905"/>
      <c r="Q50" s="904"/>
      <c r="R50" s="912"/>
      <c r="S50" s="890" t="str">
        <f t="shared" ref="S50" si="227">IF(M50="","",invoice_currency_symbol)</f>
        <v/>
      </c>
      <c r="T50" s="914"/>
      <c r="U50" s="915" t="str">
        <f t="shared" si="13"/>
        <v/>
      </c>
      <c r="V50" s="918" t="str">
        <f t="shared" ref="V50" si="228">IF(W50=0,"",invoice_currency_symbol)</f>
        <v/>
      </c>
      <c r="W50" s="919"/>
      <c r="X50" s="920" t="str">
        <f t="shared" ref="X50" si="229">IF(M50="","",invoice_currency_symbol)</f>
        <v/>
      </c>
      <c r="Y50" s="913" t="str">
        <f t="shared" si="16"/>
        <v/>
      </c>
      <c r="Z50" s="916"/>
      <c r="AA50" s="271" t="str" cm="1">
        <f t="array" ref="AA50">IF(M50="","",IF(P50=AN50,1,Slookup(MID(AN50,1,3)*1,UomConversion!$D$8:$J$500,5,UomConversion!$E$8:$E$500,MID(P50,1,3)*1,UomConversion!$J$8:$J$500,1)))</f>
        <v/>
      </c>
      <c r="AB50" s="271" t="str">
        <f t="shared" si="4"/>
        <v/>
      </c>
      <c r="AC50" s="271" t="str">
        <f t="shared" si="17"/>
        <v/>
      </c>
      <c r="AD50" s="271" t="str">
        <f t="shared" si="18"/>
        <v/>
      </c>
      <c r="AE50" s="271" t="str">
        <f t="shared" si="5"/>
        <v/>
      </c>
      <c r="AF50" s="271" t="str">
        <f t="shared" ref="AF50" si="230">IFERROR(IF(M50="","",IF(invoice_price_type_id=1,VLOOKUP(I50,product_list,13,FALSE),IF(invoice_price_type_id=2,VLOOKUP(I50,product_list,14,FALSE),IF(invoice_price_type_id=3,VLOOKUP(I50,product_list,15,FALSE),IF(invoice_price_type_id=4,VLOOKUP(I50,product_list,16,FALSE),IF(invoice_price_type_id=5,VLOOKUP(I50,product_list,12,FALSE),"")))))),"")</f>
        <v/>
      </c>
      <c r="AG50" s="271" t="str">
        <f t="shared" si="7"/>
        <v/>
      </c>
      <c r="AH50" s="271" t="s">
        <v>214</v>
      </c>
      <c r="AI50" s="271" t="s">
        <v>214</v>
      </c>
      <c r="AJ50" s="271" t="s">
        <v>214</v>
      </c>
      <c r="AK50" s="271" t="s">
        <v>214</v>
      </c>
      <c r="AL50" s="271" t="s">
        <v>214</v>
      </c>
      <c r="AM50" s="271" t="s">
        <v>214</v>
      </c>
      <c r="AN50" s="271" t="str">
        <f t="shared" si="8"/>
        <v/>
      </c>
      <c r="AO50" s="271" t="str">
        <f>IF(OR(ISNA(MATCH(MID(AN50,1,3)*1,UomConversion!$D$8:$D$500,0)),M50=""),"",IF(AT50="","",AT50))</f>
        <v/>
      </c>
      <c r="AP50" s="271" t="str">
        <f>IF(AND(AQ50&gt;0,COUNTIFS(UomConversion!$D$8:$D$500,MID(AN50,1,3)*1,UomConversion!$J$8:$J$500,1)&gt;1),TEXT(AQ50,"000")&amp;"."&amp;VLOOKUP(AQ50,uom_list,5,FALSE),"")</f>
        <v/>
      </c>
      <c r="AQ50" s="271" t="str">
        <f t="shared" si="20"/>
        <v/>
      </c>
      <c r="AR50" s="271" t="str">
        <f t="shared" si="21"/>
        <v/>
      </c>
      <c r="AS50" s="271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1" t="str">
        <f t="shared" si="9"/>
        <v/>
      </c>
      <c r="AU50" s="271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1" t="str">
        <f t="shared" ref="AV50" si="231">IF(M50="","",IF(invoice_location_id=1,BA50,IF(invoice_location_id=2,BB50,0)))</f>
        <v/>
      </c>
      <c r="AW50" s="271" t="s">
        <v>214</v>
      </c>
      <c r="AX50" s="271" t="str">
        <f t="shared" si="23"/>
        <v/>
      </c>
      <c r="AY50" s="271" t="str">
        <f>IF(M50="","",SUMIFS($AX$8:AX50,$I$8:I50,I50))</f>
        <v/>
      </c>
      <c r="AZ50" s="271" t="str">
        <f t="shared" si="24"/>
        <v/>
      </c>
      <c r="BA50" s="271" t="s">
        <v>214</v>
      </c>
      <c r="BB50" s="271" t="s">
        <v>214</v>
      </c>
    </row>
    <row r="51" spans="1:54" ht="27" customHeight="1">
      <c r="A51" s="583"/>
      <c r="B51" s="945"/>
      <c r="C51" s="648"/>
      <c r="D51" s="648"/>
      <c r="E51" s="648"/>
      <c r="F51" s="966"/>
      <c r="I51" s="378" t="str">
        <f t="shared" si="11"/>
        <v/>
      </c>
      <c r="J51" s="907" t="str">
        <f t="shared" si="131"/>
        <v/>
      </c>
      <c r="K51" s="910" t="str">
        <f t="shared" si="0"/>
        <v/>
      </c>
      <c r="L51" s="911"/>
      <c r="M51" s="908"/>
      <c r="N51" s="906"/>
      <c r="O51" s="906"/>
      <c r="P51" s="905"/>
      <c r="Q51" s="904"/>
      <c r="R51" s="912"/>
      <c r="S51" s="890" t="str">
        <f t="shared" ref="S51" si="232">IF(M51="","",invoice_currency_symbol)</f>
        <v/>
      </c>
      <c r="T51" s="914"/>
      <c r="U51" s="915" t="str">
        <f t="shared" si="13"/>
        <v/>
      </c>
      <c r="V51" s="918" t="str">
        <f t="shared" ref="V51" si="233">IF(W51=0,"",invoice_currency_symbol)</f>
        <v/>
      </c>
      <c r="W51" s="919"/>
      <c r="X51" s="920" t="str">
        <f t="shared" ref="X51" si="234">IF(M51="","",invoice_currency_symbol)</f>
        <v/>
      </c>
      <c r="Y51" s="913" t="str">
        <f t="shared" si="16"/>
        <v/>
      </c>
      <c r="Z51" s="916"/>
      <c r="AA51" s="271" t="str" cm="1">
        <f t="array" ref="AA51">IF(M51="","",IF(P51=AN51,1,Slookup(MID(AN51,1,3)*1,UomConversion!$D$8:$J$500,5,UomConversion!$E$8:$E$500,MID(P51,1,3)*1,UomConversion!$J$8:$J$500,1)))</f>
        <v/>
      </c>
      <c r="AB51" s="271" t="str">
        <f t="shared" si="4"/>
        <v/>
      </c>
      <c r="AC51" s="271" t="str">
        <f t="shared" si="17"/>
        <v/>
      </c>
      <c r="AD51" s="271" t="str">
        <f t="shared" si="18"/>
        <v/>
      </c>
      <c r="AE51" s="271" t="str">
        <f t="shared" si="5"/>
        <v/>
      </c>
      <c r="AF51" s="271" t="str">
        <f t="shared" ref="AF51" si="235">IFERROR(IF(M51="","",IF(invoice_price_type_id=1,VLOOKUP(I51,product_list,13,FALSE),IF(invoice_price_type_id=2,VLOOKUP(I51,product_list,14,FALSE),IF(invoice_price_type_id=3,VLOOKUP(I51,product_list,15,FALSE),IF(invoice_price_type_id=4,VLOOKUP(I51,product_list,16,FALSE),IF(invoice_price_type_id=5,VLOOKUP(I51,product_list,12,FALSE),"")))))),"")</f>
        <v/>
      </c>
      <c r="AG51" s="271" t="str">
        <f t="shared" si="7"/>
        <v/>
      </c>
      <c r="AH51" s="271" t="s">
        <v>214</v>
      </c>
      <c r="AI51" s="271" t="s">
        <v>214</v>
      </c>
      <c r="AJ51" s="271" t="s">
        <v>214</v>
      </c>
      <c r="AK51" s="271" t="s">
        <v>214</v>
      </c>
      <c r="AL51" s="271" t="s">
        <v>214</v>
      </c>
      <c r="AM51" s="271" t="s">
        <v>214</v>
      </c>
      <c r="AN51" s="271" t="str">
        <f t="shared" si="8"/>
        <v/>
      </c>
      <c r="AO51" s="271" t="str">
        <f>IF(OR(ISNA(MATCH(MID(AN51,1,3)*1,UomConversion!$D$8:$D$500,0)),M51=""),"",IF(AT51="","",AT51))</f>
        <v/>
      </c>
      <c r="AP51" s="271" t="str">
        <f>IF(AND(AQ51&gt;0,COUNTIFS(UomConversion!$D$8:$D$500,MID(AN51,1,3)*1,UomConversion!$J$8:$J$500,1)&gt;1),TEXT(AQ51,"000")&amp;"."&amp;VLOOKUP(AQ51,uom_list,5,FALSE),"")</f>
        <v/>
      </c>
      <c r="AQ51" s="271" t="str">
        <f t="shared" si="20"/>
        <v/>
      </c>
      <c r="AR51" s="271" t="str">
        <f t="shared" si="21"/>
        <v/>
      </c>
      <c r="AS51" s="271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1" t="str">
        <f t="shared" si="9"/>
        <v/>
      </c>
      <c r="AU51" s="271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1" t="str">
        <f t="shared" ref="AV51" si="236">IF(M51="","",IF(invoice_location_id=1,BA51,IF(invoice_location_id=2,BB51,0)))</f>
        <v/>
      </c>
      <c r="AW51" s="271" t="s">
        <v>214</v>
      </c>
      <c r="AX51" s="271" t="str">
        <f t="shared" si="23"/>
        <v/>
      </c>
      <c r="AY51" s="271" t="str">
        <f>IF(M51="","",SUMIFS($AX$8:AX51,$I$8:I51,I51))</f>
        <v/>
      </c>
      <c r="AZ51" s="271" t="str">
        <f t="shared" si="24"/>
        <v/>
      </c>
      <c r="BA51" s="271" t="s">
        <v>214</v>
      </c>
      <c r="BB51" s="271" t="s">
        <v>214</v>
      </c>
    </row>
    <row r="52" spans="1:54" ht="27" customHeight="1">
      <c r="A52" s="583"/>
      <c r="B52" s="945"/>
      <c r="C52" s="648"/>
      <c r="D52" s="648"/>
      <c r="E52" s="648"/>
      <c r="F52" s="966"/>
      <c r="I52" s="378" t="str">
        <f t="shared" si="11"/>
        <v/>
      </c>
      <c r="J52" s="907" t="str">
        <f t="shared" si="131"/>
        <v/>
      </c>
      <c r="K52" s="910" t="str">
        <f t="shared" si="0"/>
        <v/>
      </c>
      <c r="L52" s="911"/>
      <c r="M52" s="908"/>
      <c r="N52" s="906"/>
      <c r="O52" s="906"/>
      <c r="P52" s="905"/>
      <c r="Q52" s="904"/>
      <c r="R52" s="912"/>
      <c r="S52" s="890" t="str">
        <f t="shared" ref="S52" si="237">IF(M52="","",invoice_currency_symbol)</f>
        <v/>
      </c>
      <c r="T52" s="914"/>
      <c r="U52" s="915" t="str">
        <f t="shared" si="13"/>
        <v/>
      </c>
      <c r="V52" s="918" t="str">
        <f t="shared" ref="V52" si="238">IF(W52=0,"",invoice_currency_symbol)</f>
        <v/>
      </c>
      <c r="W52" s="919"/>
      <c r="X52" s="920" t="str">
        <f t="shared" ref="X52" si="239">IF(M52="","",invoice_currency_symbol)</f>
        <v/>
      </c>
      <c r="Y52" s="913" t="str">
        <f t="shared" si="16"/>
        <v/>
      </c>
      <c r="Z52" s="916"/>
      <c r="AA52" s="271" t="str" cm="1">
        <f t="array" ref="AA52">IF(M52="","",IF(P52=AN52,1,Slookup(MID(AN52,1,3)*1,UomConversion!$D$8:$J$500,5,UomConversion!$E$8:$E$500,MID(P52,1,3)*1,UomConversion!$J$8:$J$500,1)))</f>
        <v/>
      </c>
      <c r="AB52" s="271" t="str">
        <f t="shared" si="4"/>
        <v/>
      </c>
      <c r="AC52" s="271" t="str">
        <f t="shared" si="17"/>
        <v/>
      </c>
      <c r="AD52" s="271" t="str">
        <f t="shared" si="18"/>
        <v/>
      </c>
      <c r="AE52" s="271" t="str">
        <f t="shared" si="5"/>
        <v/>
      </c>
      <c r="AF52" s="271" t="str">
        <f t="shared" ref="AF52" si="240">IFERROR(IF(M52="","",IF(invoice_price_type_id=1,VLOOKUP(I52,product_list,13,FALSE),IF(invoice_price_type_id=2,VLOOKUP(I52,product_list,14,FALSE),IF(invoice_price_type_id=3,VLOOKUP(I52,product_list,15,FALSE),IF(invoice_price_type_id=4,VLOOKUP(I52,product_list,16,FALSE),IF(invoice_price_type_id=5,VLOOKUP(I52,product_list,12,FALSE),"")))))),"")</f>
        <v/>
      </c>
      <c r="AG52" s="271" t="str">
        <f t="shared" si="7"/>
        <v/>
      </c>
      <c r="AH52" s="271" t="s">
        <v>214</v>
      </c>
      <c r="AI52" s="271" t="s">
        <v>214</v>
      </c>
      <c r="AJ52" s="271" t="s">
        <v>214</v>
      </c>
      <c r="AK52" s="271" t="s">
        <v>214</v>
      </c>
      <c r="AL52" s="271" t="s">
        <v>214</v>
      </c>
      <c r="AM52" s="271" t="s">
        <v>214</v>
      </c>
      <c r="AN52" s="271" t="str">
        <f t="shared" si="8"/>
        <v/>
      </c>
      <c r="AO52" s="271" t="str">
        <f>IF(OR(ISNA(MATCH(MID(AN52,1,3)*1,UomConversion!$D$8:$D$500,0)),M52=""),"",IF(AT52="","",AT52))</f>
        <v/>
      </c>
      <c r="AP52" s="271" t="str">
        <f>IF(AND(AQ52&gt;0,COUNTIFS(UomConversion!$D$8:$D$500,MID(AN52,1,3)*1,UomConversion!$J$8:$J$500,1)&gt;1),TEXT(AQ52,"000")&amp;"."&amp;VLOOKUP(AQ52,uom_list,5,FALSE),"")</f>
        <v/>
      </c>
      <c r="AQ52" s="271" t="str">
        <f t="shared" si="20"/>
        <v/>
      </c>
      <c r="AR52" s="271" t="str">
        <f t="shared" si="21"/>
        <v/>
      </c>
      <c r="AS52" s="271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1" t="str">
        <f t="shared" si="9"/>
        <v/>
      </c>
      <c r="AU52" s="271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1" t="str">
        <f t="shared" ref="AV52" si="241">IF(M52="","",IF(invoice_location_id=1,BA52,IF(invoice_location_id=2,BB52,0)))</f>
        <v/>
      </c>
      <c r="AW52" s="271" t="s">
        <v>214</v>
      </c>
      <c r="AX52" s="271" t="str">
        <f t="shared" si="23"/>
        <v/>
      </c>
      <c r="AY52" s="271" t="str">
        <f>IF(M52="","",SUMIFS($AX$8:AX52,$I$8:I52,I52))</f>
        <v/>
      </c>
      <c r="AZ52" s="271" t="str">
        <f t="shared" si="24"/>
        <v/>
      </c>
      <c r="BA52" s="271" t="s">
        <v>214</v>
      </c>
      <c r="BB52" s="271" t="s">
        <v>214</v>
      </c>
    </row>
    <row r="53" spans="1:54" ht="27" customHeight="1">
      <c r="A53" s="583"/>
      <c r="B53" s="948"/>
      <c r="C53" s="648"/>
      <c r="D53" s="648"/>
      <c r="E53" s="648"/>
      <c r="F53" s="963"/>
      <c r="G53" s="212"/>
      <c r="H53" s="628"/>
      <c r="I53" s="378" t="str">
        <f t="shared" si="11"/>
        <v/>
      </c>
      <c r="J53" s="907" t="str">
        <f t="shared" si="131"/>
        <v/>
      </c>
      <c r="K53" s="910" t="str">
        <f t="shared" si="0"/>
        <v/>
      </c>
      <c r="L53" s="911"/>
      <c r="M53" s="908"/>
      <c r="N53" s="906"/>
      <c r="O53" s="906"/>
      <c r="P53" s="905"/>
      <c r="Q53" s="904"/>
      <c r="R53" s="912"/>
      <c r="S53" s="890" t="str">
        <f t="shared" ref="S53" si="242">IF(M53="","",invoice_currency_symbol)</f>
        <v/>
      </c>
      <c r="T53" s="914"/>
      <c r="U53" s="915" t="str">
        <f t="shared" si="13"/>
        <v/>
      </c>
      <c r="V53" s="918" t="str">
        <f t="shared" ref="V53" si="243">IF(W53=0,"",invoice_currency_symbol)</f>
        <v/>
      </c>
      <c r="W53" s="919"/>
      <c r="X53" s="920" t="str">
        <f t="shared" ref="X53" si="244">IF(M53="","",invoice_currency_symbol)</f>
        <v/>
      </c>
      <c r="Y53" s="913" t="str">
        <f t="shared" si="16"/>
        <v/>
      </c>
      <c r="Z53" s="916"/>
      <c r="AA53" s="271" t="str" cm="1">
        <f t="array" ref="AA53">IF(M53="","",IF(P53=AN53,1,Slookup(MID(AN53,1,3)*1,UomConversion!$D$8:$J$500,5,UomConversion!$E$8:$E$500,MID(P53,1,3)*1,UomConversion!$J$8:$J$500,1)))</f>
        <v/>
      </c>
      <c r="AB53" s="271" t="str">
        <f t="shared" si="4"/>
        <v/>
      </c>
      <c r="AC53" s="271" t="str">
        <f t="shared" si="17"/>
        <v/>
      </c>
      <c r="AD53" s="271" t="str">
        <f t="shared" si="18"/>
        <v/>
      </c>
      <c r="AE53" s="271" t="str">
        <f t="shared" si="5"/>
        <v/>
      </c>
      <c r="AF53" s="271" t="str">
        <f t="shared" ref="AF53" si="245">IFERROR(IF(M53="","",IF(invoice_price_type_id=1,VLOOKUP(I53,product_list,13,FALSE),IF(invoice_price_type_id=2,VLOOKUP(I53,product_list,14,FALSE),IF(invoice_price_type_id=3,VLOOKUP(I53,product_list,15,FALSE),IF(invoice_price_type_id=4,VLOOKUP(I53,product_list,16,FALSE),IF(invoice_price_type_id=5,VLOOKUP(I53,product_list,12,FALSE),"")))))),"")</f>
        <v/>
      </c>
      <c r="AG53" s="271" t="str">
        <f t="shared" si="7"/>
        <v/>
      </c>
      <c r="AH53" s="271" t="s">
        <v>214</v>
      </c>
      <c r="AI53" s="271" t="s">
        <v>214</v>
      </c>
      <c r="AJ53" s="271" t="s">
        <v>214</v>
      </c>
      <c r="AK53" s="271" t="s">
        <v>214</v>
      </c>
      <c r="AL53" s="271" t="s">
        <v>214</v>
      </c>
      <c r="AM53" s="271" t="s">
        <v>214</v>
      </c>
      <c r="AN53" s="271" t="str">
        <f t="shared" si="8"/>
        <v/>
      </c>
      <c r="AO53" s="271" t="str">
        <f>IF(OR(ISNA(MATCH(MID(AN53,1,3)*1,UomConversion!$D$8:$D$500,0)),M53=""),"",IF(AT53="","",AT53))</f>
        <v/>
      </c>
      <c r="AP53" s="271" t="str">
        <f>IF(AND(AQ53&gt;0,COUNTIFS(UomConversion!$D$8:$D$500,MID(AN53,1,3)*1,UomConversion!$J$8:$J$500,1)&gt;1),TEXT(AQ53,"000")&amp;"."&amp;VLOOKUP(AQ53,uom_list,5,FALSE),"")</f>
        <v/>
      </c>
      <c r="AQ53" s="271" t="str">
        <f t="shared" si="20"/>
        <v/>
      </c>
      <c r="AR53" s="271" t="str">
        <f t="shared" si="21"/>
        <v/>
      </c>
      <c r="AS53" s="271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1" t="str">
        <f t="shared" si="9"/>
        <v/>
      </c>
      <c r="AU53" s="271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1" t="str">
        <f t="shared" ref="AV53" si="246">IF(M53="","",IF(invoice_location_id=1,BA53,IF(invoice_location_id=2,BB53,0)))</f>
        <v/>
      </c>
      <c r="AW53" s="271" t="s">
        <v>214</v>
      </c>
      <c r="AX53" s="271" t="str">
        <f t="shared" si="23"/>
        <v/>
      </c>
      <c r="AY53" s="271" t="str">
        <f>IF(M53="","",SUMIFS($AX$8:AX53,$I$8:I53,I53))</f>
        <v/>
      </c>
      <c r="AZ53" s="271" t="str">
        <f t="shared" si="24"/>
        <v/>
      </c>
      <c r="BA53" s="271" t="s">
        <v>214</v>
      </c>
      <c r="BB53" s="271" t="s">
        <v>214</v>
      </c>
    </row>
    <row r="54" spans="1:54" ht="27" customHeight="1">
      <c r="A54" s="583"/>
      <c r="B54" s="948"/>
      <c r="C54" s="648"/>
      <c r="D54" s="648"/>
      <c r="E54" s="648"/>
      <c r="F54" s="963"/>
      <c r="G54" s="212"/>
      <c r="H54" s="628"/>
      <c r="I54" s="378" t="str">
        <f t="shared" si="11"/>
        <v/>
      </c>
      <c r="J54" s="907" t="str">
        <f t="shared" si="131"/>
        <v/>
      </c>
      <c r="K54" s="910" t="str">
        <f t="shared" si="0"/>
        <v/>
      </c>
      <c r="L54" s="911"/>
      <c r="M54" s="908"/>
      <c r="N54" s="906"/>
      <c r="O54" s="906"/>
      <c r="P54" s="905"/>
      <c r="Q54" s="904"/>
      <c r="R54" s="912"/>
      <c r="S54" s="890" t="str">
        <f t="shared" ref="S54" si="247">IF(M54="","",invoice_currency_symbol)</f>
        <v/>
      </c>
      <c r="T54" s="914"/>
      <c r="U54" s="915" t="str">
        <f t="shared" si="13"/>
        <v/>
      </c>
      <c r="V54" s="918" t="str">
        <f t="shared" ref="V54" si="248">IF(W54=0,"",invoice_currency_symbol)</f>
        <v/>
      </c>
      <c r="W54" s="919"/>
      <c r="X54" s="920" t="str">
        <f t="shared" ref="X54" si="249">IF(M54="","",invoice_currency_symbol)</f>
        <v/>
      </c>
      <c r="Y54" s="913" t="str">
        <f t="shared" si="16"/>
        <v/>
      </c>
      <c r="Z54" s="916"/>
      <c r="AA54" s="271" t="str" cm="1">
        <f t="array" ref="AA54">IF(M54="","",IF(P54=AN54,1,Slookup(MID(AN54,1,3)*1,UomConversion!$D$8:$J$500,5,UomConversion!$E$8:$E$500,MID(P54,1,3)*1,UomConversion!$J$8:$J$500,1)))</f>
        <v/>
      </c>
      <c r="AB54" s="271" t="str">
        <f t="shared" si="4"/>
        <v/>
      </c>
      <c r="AC54" s="271" t="str">
        <f t="shared" si="17"/>
        <v/>
      </c>
      <c r="AD54" s="271" t="str">
        <f t="shared" si="18"/>
        <v/>
      </c>
      <c r="AE54" s="271" t="str">
        <f t="shared" si="5"/>
        <v/>
      </c>
      <c r="AF54" s="271" t="str">
        <f t="shared" ref="AF54" si="250">IFERROR(IF(M54="","",IF(invoice_price_type_id=1,VLOOKUP(I54,product_list,13,FALSE),IF(invoice_price_type_id=2,VLOOKUP(I54,product_list,14,FALSE),IF(invoice_price_type_id=3,VLOOKUP(I54,product_list,15,FALSE),IF(invoice_price_type_id=4,VLOOKUP(I54,product_list,16,FALSE),IF(invoice_price_type_id=5,VLOOKUP(I54,product_list,12,FALSE),"")))))),"")</f>
        <v/>
      </c>
      <c r="AG54" s="271" t="str">
        <f t="shared" si="7"/>
        <v/>
      </c>
      <c r="AH54" s="271" t="s">
        <v>214</v>
      </c>
      <c r="AI54" s="271" t="s">
        <v>214</v>
      </c>
      <c r="AJ54" s="271" t="s">
        <v>214</v>
      </c>
      <c r="AK54" s="271" t="s">
        <v>214</v>
      </c>
      <c r="AL54" s="271" t="s">
        <v>214</v>
      </c>
      <c r="AM54" s="271" t="s">
        <v>214</v>
      </c>
      <c r="AN54" s="271" t="str">
        <f t="shared" si="8"/>
        <v/>
      </c>
      <c r="AO54" s="271" t="str">
        <f>IF(OR(ISNA(MATCH(MID(AN54,1,3)*1,UomConversion!$D$8:$D$500,0)),M54=""),"",IF(AT54="","",AT54))</f>
        <v/>
      </c>
      <c r="AP54" s="271" t="str">
        <f>IF(AND(AQ54&gt;0,COUNTIFS(UomConversion!$D$8:$D$500,MID(AN54,1,3)*1,UomConversion!$J$8:$J$500,1)&gt;1),TEXT(AQ54,"000")&amp;"."&amp;VLOOKUP(AQ54,uom_list,5,FALSE),"")</f>
        <v/>
      </c>
      <c r="AQ54" s="271" t="str">
        <f t="shared" si="20"/>
        <v/>
      </c>
      <c r="AR54" s="271" t="str">
        <f t="shared" si="21"/>
        <v/>
      </c>
      <c r="AS54" s="271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1" t="str">
        <f t="shared" si="9"/>
        <v/>
      </c>
      <c r="AU54" s="271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1" t="str">
        <f t="shared" ref="AV54" si="251">IF(M54="","",IF(invoice_location_id=1,BA54,IF(invoice_location_id=2,BB54,0)))</f>
        <v/>
      </c>
      <c r="AW54" s="271" t="s">
        <v>214</v>
      </c>
      <c r="AX54" s="271" t="str">
        <f t="shared" si="23"/>
        <v/>
      </c>
      <c r="AY54" s="271" t="str">
        <f>IF(M54="","",SUMIFS($AX$8:AX54,$I$8:I54,I54))</f>
        <v/>
      </c>
      <c r="AZ54" s="271" t="str">
        <f t="shared" si="24"/>
        <v/>
      </c>
      <c r="BA54" s="271" t="s">
        <v>214</v>
      </c>
      <c r="BB54" s="271" t="s">
        <v>214</v>
      </c>
    </row>
    <row r="55" spans="1:54" ht="27" customHeight="1">
      <c r="A55" s="583"/>
      <c r="B55" s="948"/>
      <c r="C55" s="648"/>
      <c r="D55" s="648"/>
      <c r="E55" s="648"/>
      <c r="F55" s="963"/>
      <c r="G55" s="212"/>
      <c r="H55" s="628"/>
      <c r="I55" s="378" t="str">
        <f t="shared" si="11"/>
        <v/>
      </c>
      <c r="J55" s="907" t="str">
        <f t="shared" si="131"/>
        <v/>
      </c>
      <c r="K55" s="910" t="str">
        <f t="shared" si="0"/>
        <v/>
      </c>
      <c r="L55" s="911"/>
      <c r="M55" s="908"/>
      <c r="N55" s="906"/>
      <c r="O55" s="906"/>
      <c r="P55" s="905"/>
      <c r="Q55" s="904"/>
      <c r="R55" s="912"/>
      <c r="S55" s="890" t="str">
        <f t="shared" ref="S55" si="252">IF(M55="","",invoice_currency_symbol)</f>
        <v/>
      </c>
      <c r="T55" s="914"/>
      <c r="U55" s="915" t="str">
        <f t="shared" si="13"/>
        <v/>
      </c>
      <c r="V55" s="918" t="str">
        <f t="shared" ref="V55" si="253">IF(W55=0,"",invoice_currency_symbol)</f>
        <v/>
      </c>
      <c r="W55" s="919"/>
      <c r="X55" s="920" t="str">
        <f t="shared" ref="X55" si="254">IF(M55="","",invoice_currency_symbol)</f>
        <v/>
      </c>
      <c r="Y55" s="913" t="str">
        <f t="shared" si="16"/>
        <v/>
      </c>
      <c r="Z55" s="916"/>
      <c r="AA55" s="271" t="str" cm="1">
        <f t="array" ref="AA55">IF(M55="","",IF(P55=AN55,1,Slookup(MID(AN55,1,3)*1,UomConversion!$D$8:$J$500,5,UomConversion!$E$8:$E$500,MID(P55,1,3)*1,UomConversion!$J$8:$J$500,1)))</f>
        <v/>
      </c>
      <c r="AB55" s="271" t="str">
        <f t="shared" si="4"/>
        <v/>
      </c>
      <c r="AC55" s="271" t="str">
        <f t="shared" si="17"/>
        <v/>
      </c>
      <c r="AD55" s="271" t="str">
        <f t="shared" si="18"/>
        <v/>
      </c>
      <c r="AE55" s="271" t="str">
        <f t="shared" si="5"/>
        <v/>
      </c>
      <c r="AF55" s="271" t="str">
        <f t="shared" ref="AF55" si="255">IFERROR(IF(M55="","",IF(invoice_price_type_id=1,VLOOKUP(I55,product_list,13,FALSE),IF(invoice_price_type_id=2,VLOOKUP(I55,product_list,14,FALSE),IF(invoice_price_type_id=3,VLOOKUP(I55,product_list,15,FALSE),IF(invoice_price_type_id=4,VLOOKUP(I55,product_list,16,FALSE),IF(invoice_price_type_id=5,VLOOKUP(I55,product_list,12,FALSE),"")))))),"")</f>
        <v/>
      </c>
      <c r="AG55" s="271" t="str">
        <f t="shared" si="7"/>
        <v/>
      </c>
      <c r="AH55" s="271" t="s">
        <v>214</v>
      </c>
      <c r="AI55" s="271" t="s">
        <v>214</v>
      </c>
      <c r="AJ55" s="271" t="s">
        <v>214</v>
      </c>
      <c r="AK55" s="271" t="s">
        <v>214</v>
      </c>
      <c r="AL55" s="271" t="s">
        <v>214</v>
      </c>
      <c r="AM55" s="271" t="s">
        <v>214</v>
      </c>
      <c r="AN55" s="271" t="str">
        <f t="shared" si="8"/>
        <v/>
      </c>
      <c r="AO55" s="271" t="str">
        <f>IF(OR(ISNA(MATCH(MID(AN55,1,3)*1,UomConversion!$D$8:$D$500,0)),M55=""),"",IF(AT55="","",AT55))</f>
        <v/>
      </c>
      <c r="AP55" s="271" t="str">
        <f>IF(AND(AQ55&gt;0,COUNTIFS(UomConversion!$D$8:$D$500,MID(AN55,1,3)*1,UomConversion!$J$8:$J$500,1)&gt;1),TEXT(AQ55,"000")&amp;"."&amp;VLOOKUP(AQ55,uom_list,5,FALSE),"")</f>
        <v/>
      </c>
      <c r="AQ55" s="271" t="str">
        <f t="shared" si="20"/>
        <v/>
      </c>
      <c r="AR55" s="271" t="str">
        <f t="shared" si="21"/>
        <v/>
      </c>
      <c r="AS55" s="271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1" t="str">
        <f t="shared" si="9"/>
        <v/>
      </c>
      <c r="AU55" s="271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1" t="str">
        <f t="shared" ref="AV55" si="256">IF(M55="","",IF(invoice_location_id=1,BA55,IF(invoice_location_id=2,BB55,0)))</f>
        <v/>
      </c>
      <c r="AW55" s="271" t="s">
        <v>214</v>
      </c>
      <c r="AX55" s="271" t="str">
        <f t="shared" si="23"/>
        <v/>
      </c>
      <c r="AY55" s="271" t="str">
        <f>IF(M55="","",SUMIFS($AX$8:AX55,$I$8:I55,I55))</f>
        <v/>
      </c>
      <c r="AZ55" s="271" t="str">
        <f t="shared" si="24"/>
        <v/>
      </c>
      <c r="BA55" s="271" t="s">
        <v>214</v>
      </c>
      <c r="BB55" s="271" t="s">
        <v>214</v>
      </c>
    </row>
    <row r="56" spans="1:54" ht="27" customHeight="1">
      <c r="A56" s="583"/>
      <c r="B56" s="948"/>
      <c r="C56" s="648"/>
      <c r="D56" s="648"/>
      <c r="E56" s="648"/>
      <c r="F56" s="963"/>
      <c r="G56" s="212"/>
      <c r="H56" s="628"/>
      <c r="I56" s="378" t="str">
        <f t="shared" si="11"/>
        <v/>
      </c>
      <c r="J56" s="907" t="str">
        <f t="shared" si="131"/>
        <v/>
      </c>
      <c r="K56" s="910" t="str">
        <f t="shared" si="0"/>
        <v/>
      </c>
      <c r="L56" s="911"/>
      <c r="M56" s="908"/>
      <c r="N56" s="906"/>
      <c r="O56" s="906"/>
      <c r="P56" s="905"/>
      <c r="Q56" s="904"/>
      <c r="R56" s="912"/>
      <c r="S56" s="890" t="str">
        <f t="shared" ref="S56" si="257">IF(M56="","",invoice_currency_symbol)</f>
        <v/>
      </c>
      <c r="T56" s="914"/>
      <c r="U56" s="915" t="str">
        <f t="shared" si="13"/>
        <v/>
      </c>
      <c r="V56" s="918" t="str">
        <f t="shared" ref="V56" si="258">IF(W56=0,"",invoice_currency_symbol)</f>
        <v/>
      </c>
      <c r="W56" s="919"/>
      <c r="X56" s="920" t="str">
        <f t="shared" ref="X56" si="259">IF(M56="","",invoice_currency_symbol)</f>
        <v/>
      </c>
      <c r="Y56" s="913" t="str">
        <f t="shared" si="16"/>
        <v/>
      </c>
      <c r="Z56" s="916"/>
      <c r="AA56" s="271" t="str" cm="1">
        <f t="array" ref="AA56">IF(M56="","",IF(P56=AN56,1,Slookup(MID(AN56,1,3)*1,UomConversion!$D$8:$J$500,5,UomConversion!$E$8:$E$500,MID(P56,1,3)*1,UomConversion!$J$8:$J$500,1)))</f>
        <v/>
      </c>
      <c r="AB56" s="271" t="str">
        <f t="shared" si="4"/>
        <v/>
      </c>
      <c r="AC56" s="271" t="str">
        <f t="shared" si="17"/>
        <v/>
      </c>
      <c r="AD56" s="271" t="str">
        <f t="shared" si="18"/>
        <v/>
      </c>
      <c r="AE56" s="271" t="str">
        <f t="shared" si="5"/>
        <v/>
      </c>
      <c r="AF56" s="271" t="str">
        <f t="shared" ref="AF56" si="260">IFERROR(IF(M56="","",IF(invoice_price_type_id=1,VLOOKUP(I56,product_list,13,FALSE),IF(invoice_price_type_id=2,VLOOKUP(I56,product_list,14,FALSE),IF(invoice_price_type_id=3,VLOOKUP(I56,product_list,15,FALSE),IF(invoice_price_type_id=4,VLOOKUP(I56,product_list,16,FALSE),IF(invoice_price_type_id=5,VLOOKUP(I56,product_list,12,FALSE),"")))))),"")</f>
        <v/>
      </c>
      <c r="AG56" s="271" t="str">
        <f t="shared" si="7"/>
        <v/>
      </c>
      <c r="AH56" s="271" t="s">
        <v>214</v>
      </c>
      <c r="AI56" s="271" t="s">
        <v>214</v>
      </c>
      <c r="AJ56" s="271" t="s">
        <v>214</v>
      </c>
      <c r="AK56" s="271" t="s">
        <v>214</v>
      </c>
      <c r="AL56" s="271" t="s">
        <v>214</v>
      </c>
      <c r="AM56" s="271" t="s">
        <v>214</v>
      </c>
      <c r="AN56" s="271" t="str">
        <f t="shared" si="8"/>
        <v/>
      </c>
      <c r="AO56" s="271" t="str">
        <f>IF(OR(ISNA(MATCH(MID(AN56,1,3)*1,UomConversion!$D$8:$D$500,0)),M56=""),"",IF(AT56="","",AT56))</f>
        <v/>
      </c>
      <c r="AP56" s="271" t="str">
        <f>IF(AND(AQ56&gt;0,COUNTIFS(UomConversion!$D$8:$D$500,MID(AN56,1,3)*1,UomConversion!$J$8:$J$500,1)&gt;1),TEXT(AQ56,"000")&amp;"."&amp;VLOOKUP(AQ56,uom_list,5,FALSE),"")</f>
        <v/>
      </c>
      <c r="AQ56" s="271" t="str">
        <f t="shared" si="20"/>
        <v/>
      </c>
      <c r="AR56" s="271" t="str">
        <f t="shared" si="21"/>
        <v/>
      </c>
      <c r="AS56" s="271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1" t="str">
        <f t="shared" si="9"/>
        <v/>
      </c>
      <c r="AU56" s="271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1" t="str">
        <f t="shared" ref="AV56" si="261">IF(M56="","",IF(invoice_location_id=1,BA56,IF(invoice_location_id=2,BB56,0)))</f>
        <v/>
      </c>
      <c r="AW56" s="271" t="s">
        <v>214</v>
      </c>
      <c r="AX56" s="271" t="str">
        <f t="shared" si="23"/>
        <v/>
      </c>
      <c r="AY56" s="271" t="str">
        <f>IF(M56="","",SUMIFS($AX$8:AX56,$I$8:I56,I56))</f>
        <v/>
      </c>
      <c r="AZ56" s="271" t="str">
        <f t="shared" si="24"/>
        <v/>
      </c>
      <c r="BA56" s="271" t="s">
        <v>214</v>
      </c>
      <c r="BB56" s="271" t="s">
        <v>214</v>
      </c>
    </row>
    <row r="57" spans="1:54" ht="27" customHeight="1">
      <c r="A57" s="583"/>
      <c r="B57" s="948"/>
      <c r="C57" s="648"/>
      <c r="D57" s="648"/>
      <c r="E57" s="648"/>
      <c r="F57" s="963"/>
      <c r="G57" s="212"/>
      <c r="H57" s="628"/>
      <c r="I57" s="378" t="str">
        <f t="shared" si="11"/>
        <v/>
      </c>
      <c r="J57" s="907" t="str">
        <f t="shared" si="131"/>
        <v/>
      </c>
      <c r="K57" s="910" t="str">
        <f t="shared" si="0"/>
        <v/>
      </c>
      <c r="L57" s="911"/>
      <c r="M57" s="908"/>
      <c r="N57" s="906"/>
      <c r="O57" s="906"/>
      <c r="P57" s="905"/>
      <c r="Q57" s="904"/>
      <c r="R57" s="912"/>
      <c r="S57" s="890" t="str">
        <f t="shared" ref="S57" si="262">IF(M57="","",invoice_currency_symbol)</f>
        <v/>
      </c>
      <c r="T57" s="914"/>
      <c r="U57" s="915" t="str">
        <f t="shared" si="13"/>
        <v/>
      </c>
      <c r="V57" s="918" t="str">
        <f t="shared" ref="V57" si="263">IF(W57=0,"",invoice_currency_symbol)</f>
        <v/>
      </c>
      <c r="W57" s="919"/>
      <c r="X57" s="920" t="str">
        <f t="shared" ref="X57" si="264">IF(M57="","",invoice_currency_symbol)</f>
        <v/>
      </c>
      <c r="Y57" s="913" t="str">
        <f t="shared" si="16"/>
        <v/>
      </c>
      <c r="Z57" s="916"/>
      <c r="AA57" s="271" t="str" cm="1">
        <f t="array" ref="AA57">IF(M57="","",IF(P57=AN57,1,Slookup(MID(AN57,1,3)*1,UomConversion!$D$8:$J$500,5,UomConversion!$E$8:$E$500,MID(P57,1,3)*1,UomConversion!$J$8:$J$500,1)))</f>
        <v/>
      </c>
      <c r="AB57" s="271" t="str">
        <f t="shared" si="4"/>
        <v/>
      </c>
      <c r="AC57" s="271" t="str">
        <f t="shared" si="17"/>
        <v/>
      </c>
      <c r="AD57" s="271" t="str">
        <f t="shared" si="18"/>
        <v/>
      </c>
      <c r="AE57" s="271" t="str">
        <f t="shared" si="5"/>
        <v/>
      </c>
      <c r="AF57" s="271" t="str">
        <f t="shared" ref="AF57" si="265">IFERROR(IF(M57="","",IF(invoice_price_type_id=1,VLOOKUP(I57,product_list,13,FALSE),IF(invoice_price_type_id=2,VLOOKUP(I57,product_list,14,FALSE),IF(invoice_price_type_id=3,VLOOKUP(I57,product_list,15,FALSE),IF(invoice_price_type_id=4,VLOOKUP(I57,product_list,16,FALSE),IF(invoice_price_type_id=5,VLOOKUP(I57,product_list,12,FALSE),"")))))),"")</f>
        <v/>
      </c>
      <c r="AG57" s="271" t="str">
        <f t="shared" si="7"/>
        <v/>
      </c>
      <c r="AH57" s="271" t="s">
        <v>214</v>
      </c>
      <c r="AI57" s="271" t="s">
        <v>214</v>
      </c>
      <c r="AJ57" s="271" t="s">
        <v>214</v>
      </c>
      <c r="AK57" s="271" t="s">
        <v>214</v>
      </c>
      <c r="AL57" s="271" t="s">
        <v>214</v>
      </c>
      <c r="AM57" s="271" t="s">
        <v>214</v>
      </c>
      <c r="AN57" s="271" t="str">
        <f t="shared" si="8"/>
        <v/>
      </c>
      <c r="AO57" s="271" t="str">
        <f>IF(OR(ISNA(MATCH(MID(AN57,1,3)*1,UomConversion!$D$8:$D$500,0)),M57=""),"",IF(AT57="","",AT57))</f>
        <v/>
      </c>
      <c r="AP57" s="271" t="str">
        <f>IF(AND(AQ57&gt;0,COUNTIFS(UomConversion!$D$8:$D$500,MID(AN57,1,3)*1,UomConversion!$J$8:$J$500,1)&gt;1),TEXT(AQ57,"000")&amp;"."&amp;VLOOKUP(AQ57,uom_list,5,FALSE),"")</f>
        <v/>
      </c>
      <c r="AQ57" s="271" t="str">
        <f t="shared" si="20"/>
        <v/>
      </c>
      <c r="AR57" s="271" t="str">
        <f t="shared" si="21"/>
        <v/>
      </c>
      <c r="AS57" s="271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1" t="str">
        <f t="shared" si="9"/>
        <v/>
      </c>
      <c r="AU57" s="271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1" t="str">
        <f t="shared" ref="AV57" si="266">IF(M57="","",IF(invoice_location_id=1,BA57,IF(invoice_location_id=2,BB57,0)))</f>
        <v/>
      </c>
      <c r="AW57" s="271" t="s">
        <v>214</v>
      </c>
      <c r="AX57" s="271" t="str">
        <f t="shared" si="23"/>
        <v/>
      </c>
      <c r="AY57" s="271" t="str">
        <f>IF(M57="","",SUMIFS($AX$8:AX57,$I$8:I57,I57))</f>
        <v/>
      </c>
      <c r="AZ57" s="271" t="str">
        <f t="shared" si="24"/>
        <v/>
      </c>
      <c r="BA57" s="271" t="s">
        <v>214</v>
      </c>
      <c r="BB57" s="271" t="s">
        <v>214</v>
      </c>
    </row>
    <row r="58" spans="1:54" ht="27" customHeight="1">
      <c r="A58" s="583"/>
      <c r="B58" s="948"/>
      <c r="C58" s="648"/>
      <c r="D58" s="648"/>
      <c r="E58" s="648"/>
      <c r="F58" s="963"/>
      <c r="G58" s="212"/>
      <c r="H58" s="628"/>
      <c r="I58" s="378" t="str">
        <f t="shared" si="11"/>
        <v/>
      </c>
      <c r="J58" s="907" t="str">
        <f t="shared" si="131"/>
        <v/>
      </c>
      <c r="K58" s="910" t="str">
        <f t="shared" si="0"/>
        <v/>
      </c>
      <c r="L58" s="911"/>
      <c r="M58" s="908"/>
      <c r="N58" s="906"/>
      <c r="O58" s="906"/>
      <c r="P58" s="905"/>
      <c r="Q58" s="904"/>
      <c r="R58" s="912"/>
      <c r="S58" s="890" t="str">
        <f t="shared" ref="S58" si="267">IF(M58="","",invoice_currency_symbol)</f>
        <v/>
      </c>
      <c r="T58" s="914"/>
      <c r="U58" s="915" t="str">
        <f t="shared" si="13"/>
        <v/>
      </c>
      <c r="V58" s="918" t="str">
        <f t="shared" ref="V58" si="268">IF(W58=0,"",invoice_currency_symbol)</f>
        <v/>
      </c>
      <c r="W58" s="919"/>
      <c r="X58" s="920" t="str">
        <f t="shared" ref="X58" si="269">IF(M58="","",invoice_currency_symbol)</f>
        <v/>
      </c>
      <c r="Y58" s="913" t="str">
        <f t="shared" si="16"/>
        <v/>
      </c>
      <c r="Z58" s="916"/>
      <c r="AA58" s="271" t="str" cm="1">
        <f t="array" ref="AA58">IF(M58="","",IF(P58=AN58,1,Slookup(MID(AN58,1,3)*1,UomConversion!$D$8:$J$500,5,UomConversion!$E$8:$E$500,MID(P58,1,3)*1,UomConversion!$J$8:$J$500,1)))</f>
        <v/>
      </c>
      <c r="AB58" s="271" t="str">
        <f t="shared" si="4"/>
        <v/>
      </c>
      <c r="AC58" s="271" t="str">
        <f t="shared" si="17"/>
        <v/>
      </c>
      <c r="AD58" s="271" t="str">
        <f t="shared" si="18"/>
        <v/>
      </c>
      <c r="AE58" s="271" t="str">
        <f t="shared" si="5"/>
        <v/>
      </c>
      <c r="AF58" s="271" t="str">
        <f t="shared" ref="AF58" si="270">IFERROR(IF(M58="","",IF(invoice_price_type_id=1,VLOOKUP(I58,product_list,13,FALSE),IF(invoice_price_type_id=2,VLOOKUP(I58,product_list,14,FALSE),IF(invoice_price_type_id=3,VLOOKUP(I58,product_list,15,FALSE),IF(invoice_price_type_id=4,VLOOKUP(I58,product_list,16,FALSE),IF(invoice_price_type_id=5,VLOOKUP(I58,product_list,12,FALSE),"")))))),"")</f>
        <v/>
      </c>
      <c r="AG58" s="271" t="str">
        <f t="shared" si="7"/>
        <v/>
      </c>
      <c r="AH58" s="271" t="s">
        <v>214</v>
      </c>
      <c r="AI58" s="271" t="s">
        <v>214</v>
      </c>
      <c r="AJ58" s="271" t="s">
        <v>214</v>
      </c>
      <c r="AK58" s="271" t="s">
        <v>214</v>
      </c>
      <c r="AL58" s="271" t="s">
        <v>214</v>
      </c>
      <c r="AM58" s="271" t="s">
        <v>214</v>
      </c>
      <c r="AN58" s="271" t="str">
        <f t="shared" si="8"/>
        <v/>
      </c>
      <c r="AO58" s="271" t="str">
        <f>IF(OR(ISNA(MATCH(MID(AN58,1,3)*1,UomConversion!$D$8:$D$500,0)),M58=""),"",IF(AT58="","",AT58))</f>
        <v/>
      </c>
      <c r="AP58" s="271" t="str">
        <f>IF(AND(AQ58&gt;0,COUNTIFS(UomConversion!$D$8:$D$500,MID(AN58,1,3)*1,UomConversion!$J$8:$J$500,1)&gt;1),TEXT(AQ58,"000")&amp;"."&amp;VLOOKUP(AQ58,uom_list,5,FALSE),"")</f>
        <v/>
      </c>
      <c r="AQ58" s="271" t="str">
        <f t="shared" si="20"/>
        <v/>
      </c>
      <c r="AR58" s="271" t="str">
        <f t="shared" si="21"/>
        <v/>
      </c>
      <c r="AS58" s="271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1" t="str">
        <f t="shared" si="9"/>
        <v/>
      </c>
      <c r="AU58" s="271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1" t="str">
        <f t="shared" ref="AV58" si="271">IF(M58="","",IF(invoice_location_id=1,BA58,IF(invoice_location_id=2,BB58,0)))</f>
        <v/>
      </c>
      <c r="AW58" s="271" t="s">
        <v>214</v>
      </c>
      <c r="AX58" s="271" t="str">
        <f t="shared" si="23"/>
        <v/>
      </c>
      <c r="AY58" s="271" t="str">
        <f>IF(M58="","",SUMIFS($AX$8:AX58,$I$8:I58,I58))</f>
        <v/>
      </c>
      <c r="AZ58" s="271" t="str">
        <f t="shared" si="24"/>
        <v/>
      </c>
      <c r="BA58" s="271" t="s">
        <v>214</v>
      </c>
      <c r="BB58" s="271" t="s">
        <v>214</v>
      </c>
    </row>
    <row r="59" spans="1:54" ht="27" customHeight="1">
      <c r="A59" s="583"/>
      <c r="B59" s="948"/>
      <c r="C59" s="648"/>
      <c r="D59" s="648"/>
      <c r="E59" s="648"/>
      <c r="F59" s="963"/>
      <c r="G59" s="212"/>
      <c r="H59" s="628"/>
      <c r="I59" s="378" t="str">
        <f t="shared" si="11"/>
        <v/>
      </c>
      <c r="J59" s="907" t="str">
        <f t="shared" si="131"/>
        <v/>
      </c>
      <c r="K59" s="910" t="str">
        <f t="shared" si="0"/>
        <v/>
      </c>
      <c r="L59" s="911"/>
      <c r="M59" s="908"/>
      <c r="N59" s="906"/>
      <c r="O59" s="906"/>
      <c r="P59" s="905"/>
      <c r="Q59" s="904"/>
      <c r="R59" s="912"/>
      <c r="S59" s="890" t="str">
        <f t="shared" ref="S59" si="272">IF(M59="","",invoice_currency_symbol)</f>
        <v/>
      </c>
      <c r="T59" s="914"/>
      <c r="U59" s="915" t="str">
        <f t="shared" si="13"/>
        <v/>
      </c>
      <c r="V59" s="918" t="str">
        <f t="shared" ref="V59" si="273">IF(W59=0,"",invoice_currency_symbol)</f>
        <v/>
      </c>
      <c r="W59" s="919"/>
      <c r="X59" s="920" t="str">
        <f t="shared" ref="X59" si="274">IF(M59="","",invoice_currency_symbol)</f>
        <v/>
      </c>
      <c r="Y59" s="913" t="str">
        <f t="shared" si="16"/>
        <v/>
      </c>
      <c r="Z59" s="916"/>
      <c r="AA59" s="271" t="str" cm="1">
        <f t="array" ref="AA59">IF(M59="","",IF(P59=AN59,1,Slookup(MID(AN59,1,3)*1,UomConversion!$D$8:$J$500,5,UomConversion!$E$8:$E$500,MID(P59,1,3)*1,UomConversion!$J$8:$J$500,1)))</f>
        <v/>
      </c>
      <c r="AB59" s="271" t="str">
        <f t="shared" si="4"/>
        <v/>
      </c>
      <c r="AC59" s="271" t="str">
        <f t="shared" si="17"/>
        <v/>
      </c>
      <c r="AD59" s="271" t="str">
        <f t="shared" si="18"/>
        <v/>
      </c>
      <c r="AE59" s="271" t="str">
        <f t="shared" si="5"/>
        <v/>
      </c>
      <c r="AF59" s="271" t="str">
        <f t="shared" ref="AF59" si="275">IFERROR(IF(M59="","",IF(invoice_price_type_id=1,VLOOKUP(I59,product_list,13,FALSE),IF(invoice_price_type_id=2,VLOOKUP(I59,product_list,14,FALSE),IF(invoice_price_type_id=3,VLOOKUP(I59,product_list,15,FALSE),IF(invoice_price_type_id=4,VLOOKUP(I59,product_list,16,FALSE),IF(invoice_price_type_id=5,VLOOKUP(I59,product_list,12,FALSE),"")))))),"")</f>
        <v/>
      </c>
      <c r="AG59" s="271" t="str">
        <f t="shared" si="7"/>
        <v/>
      </c>
      <c r="AH59" s="271" t="s">
        <v>214</v>
      </c>
      <c r="AI59" s="271" t="s">
        <v>214</v>
      </c>
      <c r="AJ59" s="271" t="s">
        <v>214</v>
      </c>
      <c r="AK59" s="271" t="s">
        <v>214</v>
      </c>
      <c r="AL59" s="271" t="s">
        <v>214</v>
      </c>
      <c r="AM59" s="271" t="s">
        <v>214</v>
      </c>
      <c r="AN59" s="271" t="str">
        <f t="shared" si="8"/>
        <v/>
      </c>
      <c r="AO59" s="271" t="str">
        <f>IF(OR(ISNA(MATCH(MID(AN59,1,3)*1,UomConversion!$D$8:$D$500,0)),M59=""),"",IF(AT59="","",AT59))</f>
        <v/>
      </c>
      <c r="AP59" s="271" t="str">
        <f>IF(AND(AQ59&gt;0,COUNTIFS(UomConversion!$D$8:$D$500,MID(AN59,1,3)*1,UomConversion!$J$8:$J$500,1)&gt;1),TEXT(AQ59,"000")&amp;"."&amp;VLOOKUP(AQ59,uom_list,5,FALSE),"")</f>
        <v/>
      </c>
      <c r="AQ59" s="271" t="str">
        <f t="shared" si="20"/>
        <v/>
      </c>
      <c r="AR59" s="271" t="str">
        <f t="shared" si="21"/>
        <v/>
      </c>
      <c r="AS59" s="271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1" t="str">
        <f t="shared" si="9"/>
        <v/>
      </c>
      <c r="AU59" s="271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1" t="str">
        <f t="shared" ref="AV59" si="276">IF(M59="","",IF(invoice_location_id=1,BA59,IF(invoice_location_id=2,BB59,0)))</f>
        <v/>
      </c>
      <c r="AW59" s="271" t="s">
        <v>214</v>
      </c>
      <c r="AX59" s="271" t="str">
        <f t="shared" si="23"/>
        <v/>
      </c>
      <c r="AY59" s="271" t="str">
        <f>IF(M59="","",SUMIFS($AX$8:AX59,$I$8:I59,I59))</f>
        <v/>
      </c>
      <c r="AZ59" s="271" t="str">
        <f t="shared" si="24"/>
        <v/>
      </c>
      <c r="BA59" s="271" t="s">
        <v>214</v>
      </c>
      <c r="BB59" s="271" t="s">
        <v>214</v>
      </c>
    </row>
    <row r="60" spans="1:54" ht="27" customHeight="1">
      <c r="A60" s="583"/>
      <c r="B60" s="948"/>
      <c r="C60" s="648"/>
      <c r="D60" s="648"/>
      <c r="E60" s="648"/>
      <c r="F60" s="963"/>
      <c r="G60" s="212"/>
      <c r="H60" s="628"/>
      <c r="I60" s="378" t="str">
        <f t="shared" si="11"/>
        <v/>
      </c>
      <c r="J60" s="907" t="str">
        <f t="shared" si="131"/>
        <v/>
      </c>
      <c r="K60" s="910" t="str">
        <f t="shared" si="0"/>
        <v/>
      </c>
      <c r="L60" s="911"/>
      <c r="M60" s="908"/>
      <c r="N60" s="906"/>
      <c r="O60" s="906"/>
      <c r="P60" s="905"/>
      <c r="Q60" s="904"/>
      <c r="R60" s="912"/>
      <c r="S60" s="890" t="str">
        <f t="shared" ref="S60" si="277">IF(M60="","",invoice_currency_symbol)</f>
        <v/>
      </c>
      <c r="T60" s="914"/>
      <c r="U60" s="915" t="str">
        <f t="shared" si="13"/>
        <v/>
      </c>
      <c r="V60" s="918" t="str">
        <f t="shared" ref="V60" si="278">IF(W60=0,"",invoice_currency_symbol)</f>
        <v/>
      </c>
      <c r="W60" s="919"/>
      <c r="X60" s="920" t="str">
        <f t="shared" ref="X60" si="279">IF(M60="","",invoice_currency_symbol)</f>
        <v/>
      </c>
      <c r="Y60" s="913" t="str">
        <f t="shared" si="16"/>
        <v/>
      </c>
      <c r="Z60" s="916"/>
      <c r="AA60" s="271" t="str" cm="1">
        <f t="array" ref="AA60">IF(M60="","",IF(P60=AN60,1,Slookup(MID(AN60,1,3)*1,UomConversion!$D$8:$J$500,5,UomConversion!$E$8:$E$500,MID(P60,1,3)*1,UomConversion!$J$8:$J$500,1)))</f>
        <v/>
      </c>
      <c r="AB60" s="271" t="str">
        <f t="shared" si="4"/>
        <v/>
      </c>
      <c r="AC60" s="271" t="str">
        <f t="shared" si="17"/>
        <v/>
      </c>
      <c r="AD60" s="271" t="str">
        <f t="shared" si="18"/>
        <v/>
      </c>
      <c r="AE60" s="271" t="str">
        <f t="shared" si="5"/>
        <v/>
      </c>
      <c r="AF60" s="271" t="str">
        <f t="shared" ref="AF60" si="280">IFERROR(IF(M60="","",IF(invoice_price_type_id=1,VLOOKUP(I60,product_list,13,FALSE),IF(invoice_price_type_id=2,VLOOKUP(I60,product_list,14,FALSE),IF(invoice_price_type_id=3,VLOOKUP(I60,product_list,15,FALSE),IF(invoice_price_type_id=4,VLOOKUP(I60,product_list,16,FALSE),IF(invoice_price_type_id=5,VLOOKUP(I60,product_list,12,FALSE),"")))))),"")</f>
        <v/>
      </c>
      <c r="AG60" s="271" t="str">
        <f t="shared" si="7"/>
        <v/>
      </c>
      <c r="AH60" s="271" t="s">
        <v>214</v>
      </c>
      <c r="AI60" s="271" t="s">
        <v>214</v>
      </c>
      <c r="AJ60" s="271" t="s">
        <v>214</v>
      </c>
      <c r="AK60" s="271" t="s">
        <v>214</v>
      </c>
      <c r="AL60" s="271" t="s">
        <v>214</v>
      </c>
      <c r="AM60" s="271" t="s">
        <v>214</v>
      </c>
      <c r="AN60" s="271" t="str">
        <f t="shared" si="8"/>
        <v/>
      </c>
      <c r="AO60" s="271" t="str">
        <f>IF(OR(ISNA(MATCH(MID(AN60,1,3)*1,UomConversion!$D$8:$D$500,0)),M60=""),"",IF(AT60="","",AT60))</f>
        <v/>
      </c>
      <c r="AP60" s="271" t="str">
        <f>IF(AND(AQ60&gt;0,COUNTIFS(UomConversion!$D$8:$D$500,MID(AN60,1,3)*1,UomConversion!$J$8:$J$500,1)&gt;1),TEXT(AQ60,"000")&amp;"."&amp;VLOOKUP(AQ60,uom_list,5,FALSE),"")</f>
        <v/>
      </c>
      <c r="AQ60" s="271" t="str">
        <f t="shared" si="20"/>
        <v/>
      </c>
      <c r="AR60" s="271" t="str">
        <f t="shared" si="21"/>
        <v/>
      </c>
      <c r="AS60" s="271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1" t="str">
        <f t="shared" si="9"/>
        <v/>
      </c>
      <c r="AU60" s="271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1" t="str">
        <f t="shared" ref="AV60" si="281">IF(M60="","",IF(invoice_location_id=1,BA60,IF(invoice_location_id=2,BB60,0)))</f>
        <v/>
      </c>
      <c r="AW60" s="271" t="s">
        <v>214</v>
      </c>
      <c r="AX60" s="271" t="str">
        <f t="shared" si="23"/>
        <v/>
      </c>
      <c r="AY60" s="271" t="str">
        <f>IF(M60="","",SUMIFS($AX$8:AX60,$I$8:I60,I60))</f>
        <v/>
      </c>
      <c r="AZ60" s="271" t="str">
        <f t="shared" si="24"/>
        <v/>
      </c>
      <c r="BA60" s="271" t="s">
        <v>214</v>
      </c>
      <c r="BB60" s="271" t="s">
        <v>214</v>
      </c>
    </row>
    <row r="61" spans="1:54" ht="27" customHeight="1">
      <c r="A61" s="583"/>
      <c r="B61" s="948"/>
      <c r="C61" s="648"/>
      <c r="D61" s="648"/>
      <c r="E61" s="648"/>
      <c r="F61" s="963"/>
      <c r="G61" s="212"/>
      <c r="H61" s="628"/>
      <c r="I61" s="378" t="str">
        <f t="shared" si="11"/>
        <v/>
      </c>
      <c r="J61" s="907" t="str">
        <f t="shared" si="131"/>
        <v/>
      </c>
      <c r="K61" s="910" t="str">
        <f t="shared" si="0"/>
        <v/>
      </c>
      <c r="L61" s="911"/>
      <c r="M61" s="908"/>
      <c r="N61" s="906"/>
      <c r="O61" s="906"/>
      <c r="P61" s="905"/>
      <c r="Q61" s="904"/>
      <c r="R61" s="912"/>
      <c r="S61" s="890" t="str">
        <f t="shared" ref="S61" si="282">IF(M61="","",invoice_currency_symbol)</f>
        <v/>
      </c>
      <c r="T61" s="914"/>
      <c r="U61" s="915" t="str">
        <f t="shared" si="13"/>
        <v/>
      </c>
      <c r="V61" s="918" t="str">
        <f t="shared" ref="V61" si="283">IF(W61=0,"",invoice_currency_symbol)</f>
        <v/>
      </c>
      <c r="W61" s="919"/>
      <c r="X61" s="920" t="str">
        <f t="shared" ref="X61" si="284">IF(M61="","",invoice_currency_symbol)</f>
        <v/>
      </c>
      <c r="Y61" s="913" t="str">
        <f t="shared" si="16"/>
        <v/>
      </c>
      <c r="Z61" s="916"/>
      <c r="AA61" s="271" t="str" cm="1">
        <f t="array" ref="AA61">IF(M61="","",IF(P61=AN61,1,Slookup(MID(AN61,1,3)*1,UomConversion!$D$8:$J$500,5,UomConversion!$E$8:$E$500,MID(P61,1,3)*1,UomConversion!$J$8:$J$500,1)))</f>
        <v/>
      </c>
      <c r="AB61" s="271" t="str">
        <f t="shared" si="4"/>
        <v/>
      </c>
      <c r="AC61" s="271" t="str">
        <f t="shared" si="17"/>
        <v/>
      </c>
      <c r="AD61" s="271" t="str">
        <f t="shared" si="18"/>
        <v/>
      </c>
      <c r="AE61" s="271" t="str">
        <f t="shared" si="5"/>
        <v/>
      </c>
      <c r="AF61" s="271" t="str">
        <f t="shared" ref="AF61" si="285">IFERROR(IF(M61="","",IF(invoice_price_type_id=1,VLOOKUP(I61,product_list,13,FALSE),IF(invoice_price_type_id=2,VLOOKUP(I61,product_list,14,FALSE),IF(invoice_price_type_id=3,VLOOKUP(I61,product_list,15,FALSE),IF(invoice_price_type_id=4,VLOOKUP(I61,product_list,16,FALSE),IF(invoice_price_type_id=5,VLOOKUP(I61,product_list,12,FALSE),"")))))),"")</f>
        <v/>
      </c>
      <c r="AG61" s="271" t="str">
        <f t="shared" si="7"/>
        <v/>
      </c>
      <c r="AH61" s="271" t="s">
        <v>214</v>
      </c>
      <c r="AI61" s="271" t="s">
        <v>214</v>
      </c>
      <c r="AJ61" s="271" t="s">
        <v>214</v>
      </c>
      <c r="AK61" s="271" t="s">
        <v>214</v>
      </c>
      <c r="AL61" s="271" t="s">
        <v>214</v>
      </c>
      <c r="AM61" s="271" t="s">
        <v>214</v>
      </c>
      <c r="AN61" s="271" t="str">
        <f t="shared" si="8"/>
        <v/>
      </c>
      <c r="AO61" s="271" t="str">
        <f>IF(OR(ISNA(MATCH(MID(AN61,1,3)*1,UomConversion!$D$8:$D$500,0)),M61=""),"",IF(AT61="","",AT61))</f>
        <v/>
      </c>
      <c r="AP61" s="271" t="str">
        <f>IF(AND(AQ61&gt;0,COUNTIFS(UomConversion!$D$8:$D$500,MID(AN61,1,3)*1,UomConversion!$J$8:$J$500,1)&gt;1),TEXT(AQ61,"000")&amp;"."&amp;VLOOKUP(AQ61,uom_list,5,FALSE),"")</f>
        <v/>
      </c>
      <c r="AQ61" s="271" t="str">
        <f t="shared" si="20"/>
        <v/>
      </c>
      <c r="AR61" s="271" t="str">
        <f t="shared" si="21"/>
        <v/>
      </c>
      <c r="AS61" s="271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1" t="str">
        <f t="shared" si="9"/>
        <v/>
      </c>
      <c r="AU61" s="271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1" t="str">
        <f t="shared" ref="AV61" si="286">IF(M61="","",IF(invoice_location_id=1,BA61,IF(invoice_location_id=2,BB61,0)))</f>
        <v/>
      </c>
      <c r="AW61" s="271" t="s">
        <v>214</v>
      </c>
      <c r="AX61" s="271" t="str">
        <f t="shared" si="23"/>
        <v/>
      </c>
      <c r="AY61" s="271" t="str">
        <f>IF(M61="","",SUMIFS($AX$8:AX61,$I$8:I61,I61))</f>
        <v/>
      </c>
      <c r="AZ61" s="271" t="str">
        <f t="shared" si="24"/>
        <v/>
      </c>
      <c r="BA61" s="271" t="s">
        <v>214</v>
      </c>
      <c r="BB61" s="271" t="s">
        <v>214</v>
      </c>
    </row>
    <row r="62" spans="1:54" ht="27" customHeight="1">
      <c r="A62" s="583"/>
      <c r="B62" s="948"/>
      <c r="C62" s="648"/>
      <c r="D62" s="648"/>
      <c r="E62" s="648"/>
      <c r="F62" s="963"/>
      <c r="G62" s="212"/>
      <c r="H62" s="628"/>
      <c r="I62" s="378" t="str">
        <f t="shared" si="11"/>
        <v/>
      </c>
      <c r="J62" s="907" t="str">
        <f t="shared" si="131"/>
        <v/>
      </c>
      <c r="K62" s="910" t="str">
        <f t="shared" si="0"/>
        <v/>
      </c>
      <c r="L62" s="911"/>
      <c r="M62" s="908"/>
      <c r="N62" s="906"/>
      <c r="O62" s="906"/>
      <c r="P62" s="905"/>
      <c r="Q62" s="904"/>
      <c r="R62" s="912"/>
      <c r="S62" s="890" t="str">
        <f t="shared" ref="S62" si="287">IF(M62="","",invoice_currency_symbol)</f>
        <v/>
      </c>
      <c r="T62" s="914"/>
      <c r="U62" s="915" t="str">
        <f t="shared" si="13"/>
        <v/>
      </c>
      <c r="V62" s="918" t="str">
        <f t="shared" ref="V62" si="288">IF(W62=0,"",invoice_currency_symbol)</f>
        <v/>
      </c>
      <c r="W62" s="919"/>
      <c r="X62" s="920" t="str">
        <f t="shared" ref="X62" si="289">IF(M62="","",invoice_currency_symbol)</f>
        <v/>
      </c>
      <c r="Y62" s="913" t="str">
        <f t="shared" si="16"/>
        <v/>
      </c>
      <c r="Z62" s="916"/>
      <c r="AA62" s="271" t="str" cm="1">
        <f t="array" ref="AA62">IF(M62="","",IF(P62=AN62,1,Slookup(MID(AN62,1,3)*1,UomConversion!$D$8:$J$500,5,UomConversion!$E$8:$E$500,MID(P62,1,3)*1,UomConversion!$J$8:$J$500,1)))</f>
        <v/>
      </c>
      <c r="AB62" s="271" t="str">
        <f t="shared" si="4"/>
        <v/>
      </c>
      <c r="AC62" s="271" t="str">
        <f t="shared" si="17"/>
        <v/>
      </c>
      <c r="AD62" s="271" t="str">
        <f t="shared" si="18"/>
        <v/>
      </c>
      <c r="AE62" s="271" t="str">
        <f t="shared" si="5"/>
        <v/>
      </c>
      <c r="AF62" s="271" t="str">
        <f t="shared" ref="AF62" si="290">IFERROR(IF(M62="","",IF(invoice_price_type_id=1,VLOOKUP(I62,product_list,13,FALSE),IF(invoice_price_type_id=2,VLOOKUP(I62,product_list,14,FALSE),IF(invoice_price_type_id=3,VLOOKUP(I62,product_list,15,FALSE),IF(invoice_price_type_id=4,VLOOKUP(I62,product_list,16,FALSE),IF(invoice_price_type_id=5,VLOOKUP(I62,product_list,12,FALSE),"")))))),"")</f>
        <v/>
      </c>
      <c r="AG62" s="271" t="str">
        <f t="shared" si="7"/>
        <v/>
      </c>
      <c r="AH62" s="271" t="s">
        <v>214</v>
      </c>
      <c r="AI62" s="271" t="s">
        <v>214</v>
      </c>
      <c r="AJ62" s="271" t="s">
        <v>214</v>
      </c>
      <c r="AK62" s="271" t="s">
        <v>214</v>
      </c>
      <c r="AL62" s="271" t="s">
        <v>214</v>
      </c>
      <c r="AM62" s="271" t="s">
        <v>214</v>
      </c>
      <c r="AN62" s="271" t="str">
        <f t="shared" si="8"/>
        <v/>
      </c>
      <c r="AO62" s="271" t="str">
        <f>IF(OR(ISNA(MATCH(MID(AN62,1,3)*1,UomConversion!$D$8:$D$500,0)),M62=""),"",IF(AT62="","",AT62))</f>
        <v/>
      </c>
      <c r="AP62" s="271" t="str">
        <f>IF(AND(AQ62&gt;0,COUNTIFS(UomConversion!$D$8:$D$500,MID(AN62,1,3)*1,UomConversion!$J$8:$J$500,1)&gt;1),TEXT(AQ62,"000")&amp;"."&amp;VLOOKUP(AQ62,uom_list,5,FALSE),"")</f>
        <v/>
      </c>
      <c r="AQ62" s="271" t="str">
        <f t="shared" si="20"/>
        <v/>
      </c>
      <c r="AR62" s="271" t="str">
        <f t="shared" si="21"/>
        <v/>
      </c>
      <c r="AS62" s="271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1" t="str">
        <f t="shared" si="9"/>
        <v/>
      </c>
      <c r="AU62" s="271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1" t="str">
        <f t="shared" ref="AV62" si="291">IF(M62="","",IF(invoice_location_id=1,BA62,IF(invoice_location_id=2,BB62,0)))</f>
        <v/>
      </c>
      <c r="AW62" s="271" t="s">
        <v>214</v>
      </c>
      <c r="AX62" s="271" t="str">
        <f t="shared" si="23"/>
        <v/>
      </c>
      <c r="AY62" s="271" t="str">
        <f>IF(M62="","",SUMIFS($AX$8:AX62,$I$8:I62,I62))</f>
        <v/>
      </c>
      <c r="AZ62" s="271" t="str">
        <f t="shared" si="24"/>
        <v/>
      </c>
      <c r="BA62" s="271" t="s">
        <v>214</v>
      </c>
      <c r="BB62" s="271" t="s">
        <v>214</v>
      </c>
    </row>
    <row r="63" spans="1:54" ht="27" customHeight="1">
      <c r="A63" s="583"/>
      <c r="B63" s="948"/>
      <c r="C63" s="648"/>
      <c r="D63" s="648"/>
      <c r="E63" s="648"/>
      <c r="F63" s="963"/>
      <c r="G63" s="212"/>
      <c r="H63" s="628"/>
      <c r="I63" s="378" t="str">
        <f t="shared" si="11"/>
        <v/>
      </c>
      <c r="J63" s="907" t="str">
        <f t="shared" si="131"/>
        <v/>
      </c>
      <c r="K63" s="910" t="str">
        <f t="shared" si="0"/>
        <v/>
      </c>
      <c r="L63" s="911"/>
      <c r="M63" s="908"/>
      <c r="N63" s="906"/>
      <c r="O63" s="906"/>
      <c r="P63" s="905"/>
      <c r="Q63" s="904"/>
      <c r="R63" s="912"/>
      <c r="S63" s="890" t="str">
        <f t="shared" ref="S63" si="292">IF(M63="","",invoice_currency_symbol)</f>
        <v/>
      </c>
      <c r="T63" s="914"/>
      <c r="U63" s="915" t="str">
        <f t="shared" si="13"/>
        <v/>
      </c>
      <c r="V63" s="918" t="str">
        <f t="shared" ref="V63" si="293">IF(W63=0,"",invoice_currency_symbol)</f>
        <v/>
      </c>
      <c r="W63" s="919"/>
      <c r="X63" s="920" t="str">
        <f t="shared" ref="X63" si="294">IF(M63="","",invoice_currency_symbol)</f>
        <v/>
      </c>
      <c r="Y63" s="913" t="str">
        <f t="shared" si="16"/>
        <v/>
      </c>
      <c r="Z63" s="916"/>
      <c r="AA63" s="271" t="str" cm="1">
        <f t="array" ref="AA63">IF(M63="","",IF(P63=AN63,1,Slookup(MID(AN63,1,3)*1,UomConversion!$D$8:$J$500,5,UomConversion!$E$8:$E$500,MID(P63,1,3)*1,UomConversion!$J$8:$J$500,1)))</f>
        <v/>
      </c>
      <c r="AB63" s="271" t="str">
        <f t="shared" si="4"/>
        <v/>
      </c>
      <c r="AC63" s="271" t="str">
        <f t="shared" si="17"/>
        <v/>
      </c>
      <c r="AD63" s="271" t="str">
        <f t="shared" si="18"/>
        <v/>
      </c>
      <c r="AE63" s="271" t="str">
        <f t="shared" si="5"/>
        <v/>
      </c>
      <c r="AF63" s="271" t="str">
        <f t="shared" ref="AF63" si="295">IFERROR(IF(M63="","",IF(invoice_price_type_id=1,VLOOKUP(I63,product_list,13,FALSE),IF(invoice_price_type_id=2,VLOOKUP(I63,product_list,14,FALSE),IF(invoice_price_type_id=3,VLOOKUP(I63,product_list,15,FALSE),IF(invoice_price_type_id=4,VLOOKUP(I63,product_list,16,FALSE),IF(invoice_price_type_id=5,VLOOKUP(I63,product_list,12,FALSE),"")))))),"")</f>
        <v/>
      </c>
      <c r="AG63" s="271" t="str">
        <f t="shared" si="7"/>
        <v/>
      </c>
      <c r="AH63" s="271" t="s">
        <v>214</v>
      </c>
      <c r="AI63" s="271" t="s">
        <v>214</v>
      </c>
      <c r="AJ63" s="271" t="s">
        <v>214</v>
      </c>
      <c r="AK63" s="271" t="s">
        <v>214</v>
      </c>
      <c r="AL63" s="271" t="s">
        <v>214</v>
      </c>
      <c r="AM63" s="271" t="s">
        <v>214</v>
      </c>
      <c r="AN63" s="271" t="str">
        <f t="shared" si="8"/>
        <v/>
      </c>
      <c r="AO63" s="271" t="str">
        <f>IF(OR(ISNA(MATCH(MID(AN63,1,3)*1,UomConversion!$D$8:$D$500,0)),M63=""),"",IF(AT63="","",AT63))</f>
        <v/>
      </c>
      <c r="AP63" s="271" t="str">
        <f>IF(AND(AQ63&gt;0,COUNTIFS(UomConversion!$D$8:$D$500,MID(AN63,1,3)*1,UomConversion!$J$8:$J$500,1)&gt;1),TEXT(AQ63,"000")&amp;"."&amp;VLOOKUP(AQ63,uom_list,5,FALSE),"")</f>
        <v/>
      </c>
      <c r="AQ63" s="271" t="str">
        <f t="shared" si="20"/>
        <v/>
      </c>
      <c r="AR63" s="271" t="str">
        <f t="shared" si="21"/>
        <v/>
      </c>
      <c r="AS63" s="271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1" t="str">
        <f t="shared" si="9"/>
        <v/>
      </c>
      <c r="AU63" s="271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1" t="str">
        <f t="shared" ref="AV63" si="296">IF(M63="","",IF(invoice_location_id=1,BA63,IF(invoice_location_id=2,BB63,0)))</f>
        <v/>
      </c>
      <c r="AW63" s="271" t="s">
        <v>214</v>
      </c>
      <c r="AX63" s="271" t="str">
        <f t="shared" si="23"/>
        <v/>
      </c>
      <c r="AY63" s="271" t="str">
        <f>IF(M63="","",SUMIFS($AX$8:AX63,$I$8:I63,I63))</f>
        <v/>
      </c>
      <c r="AZ63" s="271" t="str">
        <f t="shared" si="24"/>
        <v/>
      </c>
      <c r="BA63" s="271" t="s">
        <v>214</v>
      </c>
      <c r="BB63" s="271" t="s">
        <v>214</v>
      </c>
    </row>
    <row r="64" spans="1:54" ht="27" customHeight="1">
      <c r="A64" s="583"/>
      <c r="B64" s="948"/>
      <c r="C64" s="648"/>
      <c r="D64" s="648"/>
      <c r="E64" s="648"/>
      <c r="F64" s="963"/>
      <c r="G64" s="212"/>
      <c r="H64" s="628"/>
      <c r="I64" s="378" t="str">
        <f t="shared" si="11"/>
        <v/>
      </c>
      <c r="J64" s="907" t="str">
        <f t="shared" si="131"/>
        <v/>
      </c>
      <c r="K64" s="910" t="str">
        <f t="shared" si="0"/>
        <v/>
      </c>
      <c r="L64" s="911"/>
      <c r="M64" s="908"/>
      <c r="N64" s="906"/>
      <c r="O64" s="906"/>
      <c r="P64" s="905"/>
      <c r="Q64" s="904"/>
      <c r="R64" s="912"/>
      <c r="S64" s="890" t="str">
        <f t="shared" ref="S64" si="297">IF(M64="","",invoice_currency_symbol)</f>
        <v/>
      </c>
      <c r="T64" s="914"/>
      <c r="U64" s="915" t="str">
        <f t="shared" si="13"/>
        <v/>
      </c>
      <c r="V64" s="918" t="str">
        <f t="shared" ref="V64" si="298">IF(W64=0,"",invoice_currency_symbol)</f>
        <v/>
      </c>
      <c r="W64" s="919"/>
      <c r="X64" s="920" t="str">
        <f t="shared" ref="X64" si="299">IF(M64="","",invoice_currency_symbol)</f>
        <v/>
      </c>
      <c r="Y64" s="913" t="str">
        <f t="shared" si="16"/>
        <v/>
      </c>
      <c r="Z64" s="916"/>
      <c r="AA64" s="271" t="str" cm="1">
        <f t="array" ref="AA64">IF(M64="","",IF(P64=AN64,1,Slookup(MID(AN64,1,3)*1,UomConversion!$D$8:$J$500,5,UomConversion!$E$8:$E$500,MID(P64,1,3)*1,UomConversion!$J$8:$J$500,1)))</f>
        <v/>
      </c>
      <c r="AB64" s="271" t="str">
        <f t="shared" si="4"/>
        <v/>
      </c>
      <c r="AC64" s="271" t="str">
        <f t="shared" si="17"/>
        <v/>
      </c>
      <c r="AD64" s="271" t="str">
        <f t="shared" si="18"/>
        <v/>
      </c>
      <c r="AE64" s="271" t="str">
        <f t="shared" si="5"/>
        <v/>
      </c>
      <c r="AF64" s="271" t="str">
        <f t="shared" ref="AF64" si="300">IFERROR(IF(M64="","",IF(invoice_price_type_id=1,VLOOKUP(I64,product_list,13,FALSE),IF(invoice_price_type_id=2,VLOOKUP(I64,product_list,14,FALSE),IF(invoice_price_type_id=3,VLOOKUP(I64,product_list,15,FALSE),IF(invoice_price_type_id=4,VLOOKUP(I64,product_list,16,FALSE),IF(invoice_price_type_id=5,VLOOKUP(I64,product_list,12,FALSE),"")))))),"")</f>
        <v/>
      </c>
      <c r="AG64" s="271" t="str">
        <f t="shared" si="7"/>
        <v/>
      </c>
      <c r="AH64" s="271" t="s">
        <v>214</v>
      </c>
      <c r="AI64" s="271" t="s">
        <v>214</v>
      </c>
      <c r="AJ64" s="271" t="s">
        <v>214</v>
      </c>
      <c r="AK64" s="271" t="s">
        <v>214</v>
      </c>
      <c r="AL64" s="271" t="s">
        <v>214</v>
      </c>
      <c r="AM64" s="271" t="s">
        <v>214</v>
      </c>
      <c r="AN64" s="271" t="str">
        <f t="shared" si="8"/>
        <v/>
      </c>
      <c r="AO64" s="271" t="str">
        <f>IF(OR(ISNA(MATCH(MID(AN64,1,3)*1,UomConversion!$D$8:$D$500,0)),M64=""),"",IF(AT64="","",AT64))</f>
        <v/>
      </c>
      <c r="AP64" s="271" t="str">
        <f>IF(AND(AQ64&gt;0,COUNTIFS(UomConversion!$D$8:$D$500,MID(AN64,1,3)*1,UomConversion!$J$8:$J$500,1)&gt;1),TEXT(AQ64,"000")&amp;"."&amp;VLOOKUP(AQ64,uom_list,5,FALSE),"")</f>
        <v/>
      </c>
      <c r="AQ64" s="271" t="str">
        <f t="shared" si="20"/>
        <v/>
      </c>
      <c r="AR64" s="271" t="str">
        <f t="shared" si="21"/>
        <v/>
      </c>
      <c r="AS64" s="271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1" t="str">
        <f t="shared" si="9"/>
        <v/>
      </c>
      <c r="AU64" s="271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1" t="str">
        <f t="shared" ref="AV64" si="301">IF(M64="","",IF(invoice_location_id=1,BA64,IF(invoice_location_id=2,BB64,0)))</f>
        <v/>
      </c>
      <c r="AW64" s="271" t="s">
        <v>214</v>
      </c>
      <c r="AX64" s="271" t="str">
        <f t="shared" si="23"/>
        <v/>
      </c>
      <c r="AY64" s="271" t="str">
        <f>IF(M64="","",SUMIFS($AX$8:AX64,$I$8:I64,I64))</f>
        <v/>
      </c>
      <c r="AZ64" s="271" t="str">
        <f t="shared" si="24"/>
        <v/>
      </c>
      <c r="BA64" s="271" t="s">
        <v>214</v>
      </c>
      <c r="BB64" s="271" t="s">
        <v>214</v>
      </c>
    </row>
    <row r="65" spans="1:54" ht="27" customHeight="1">
      <c r="A65" s="583"/>
      <c r="B65" s="948"/>
      <c r="C65" s="648"/>
      <c r="D65" s="648"/>
      <c r="E65" s="648"/>
      <c r="F65" s="963"/>
      <c r="G65" s="212"/>
      <c r="H65" s="628"/>
      <c r="I65" s="378" t="str">
        <f t="shared" si="11"/>
        <v/>
      </c>
      <c r="J65" s="907" t="str">
        <f t="shared" si="131"/>
        <v/>
      </c>
      <c r="K65" s="910" t="str">
        <f t="shared" si="0"/>
        <v/>
      </c>
      <c r="L65" s="911"/>
      <c r="M65" s="908"/>
      <c r="N65" s="906"/>
      <c r="O65" s="906"/>
      <c r="P65" s="905"/>
      <c r="Q65" s="904"/>
      <c r="R65" s="912"/>
      <c r="S65" s="890" t="str">
        <f t="shared" ref="S65" si="302">IF(M65="","",invoice_currency_symbol)</f>
        <v/>
      </c>
      <c r="T65" s="914"/>
      <c r="U65" s="915" t="str">
        <f t="shared" si="13"/>
        <v/>
      </c>
      <c r="V65" s="918" t="str">
        <f t="shared" ref="V65" si="303">IF(W65=0,"",invoice_currency_symbol)</f>
        <v/>
      </c>
      <c r="W65" s="919"/>
      <c r="X65" s="920" t="str">
        <f t="shared" ref="X65" si="304">IF(M65="","",invoice_currency_symbol)</f>
        <v/>
      </c>
      <c r="Y65" s="913" t="str">
        <f t="shared" si="16"/>
        <v/>
      </c>
      <c r="Z65" s="916"/>
      <c r="AA65" s="271" t="str" cm="1">
        <f t="array" ref="AA65">IF(M65="","",IF(P65=AN65,1,Slookup(MID(AN65,1,3)*1,UomConversion!$D$8:$J$500,5,UomConversion!$E$8:$E$500,MID(P65,1,3)*1,UomConversion!$J$8:$J$500,1)))</f>
        <v/>
      </c>
      <c r="AB65" s="271" t="str">
        <f t="shared" si="4"/>
        <v/>
      </c>
      <c r="AC65" s="271" t="str">
        <f t="shared" si="17"/>
        <v/>
      </c>
      <c r="AD65" s="271" t="str">
        <f t="shared" si="18"/>
        <v/>
      </c>
      <c r="AE65" s="271" t="str">
        <f t="shared" si="5"/>
        <v/>
      </c>
      <c r="AF65" s="271" t="str">
        <f t="shared" ref="AF65" si="305">IFERROR(IF(M65="","",IF(invoice_price_type_id=1,VLOOKUP(I65,product_list,13,FALSE),IF(invoice_price_type_id=2,VLOOKUP(I65,product_list,14,FALSE),IF(invoice_price_type_id=3,VLOOKUP(I65,product_list,15,FALSE),IF(invoice_price_type_id=4,VLOOKUP(I65,product_list,16,FALSE),IF(invoice_price_type_id=5,VLOOKUP(I65,product_list,12,FALSE),"")))))),"")</f>
        <v/>
      </c>
      <c r="AG65" s="271" t="str">
        <f t="shared" si="7"/>
        <v/>
      </c>
      <c r="AH65" s="271" t="s">
        <v>214</v>
      </c>
      <c r="AI65" s="271" t="s">
        <v>214</v>
      </c>
      <c r="AJ65" s="271" t="s">
        <v>214</v>
      </c>
      <c r="AK65" s="271" t="s">
        <v>214</v>
      </c>
      <c r="AL65" s="271" t="s">
        <v>214</v>
      </c>
      <c r="AM65" s="271" t="s">
        <v>214</v>
      </c>
      <c r="AN65" s="271" t="str">
        <f t="shared" si="8"/>
        <v/>
      </c>
      <c r="AO65" s="271" t="str">
        <f>IF(OR(ISNA(MATCH(MID(AN65,1,3)*1,UomConversion!$D$8:$D$500,0)),M65=""),"",IF(AT65="","",AT65))</f>
        <v/>
      </c>
      <c r="AP65" s="271" t="str">
        <f>IF(AND(AQ65&gt;0,COUNTIFS(UomConversion!$D$8:$D$500,MID(AN65,1,3)*1,UomConversion!$J$8:$J$500,1)&gt;1),TEXT(AQ65,"000")&amp;"."&amp;VLOOKUP(AQ65,uom_list,5,FALSE),"")</f>
        <v/>
      </c>
      <c r="AQ65" s="271" t="str">
        <f t="shared" si="20"/>
        <v/>
      </c>
      <c r="AR65" s="271" t="str">
        <f t="shared" si="21"/>
        <v/>
      </c>
      <c r="AS65" s="271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1" t="str">
        <f t="shared" si="9"/>
        <v/>
      </c>
      <c r="AU65" s="271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1" t="str">
        <f t="shared" ref="AV65" si="306">IF(M65="","",IF(invoice_location_id=1,BA65,IF(invoice_location_id=2,BB65,0)))</f>
        <v/>
      </c>
      <c r="AW65" s="271" t="s">
        <v>214</v>
      </c>
      <c r="AX65" s="271" t="str">
        <f t="shared" si="23"/>
        <v/>
      </c>
      <c r="AY65" s="271" t="str">
        <f>IF(M65="","",SUMIFS($AX$8:AX65,$I$8:I65,I65))</f>
        <v/>
      </c>
      <c r="AZ65" s="271" t="str">
        <f t="shared" si="24"/>
        <v/>
      </c>
      <c r="BA65" s="271" t="s">
        <v>214</v>
      </c>
      <c r="BB65" s="271" t="s">
        <v>214</v>
      </c>
    </row>
    <row r="66" spans="1:54" ht="27" customHeight="1">
      <c r="A66" s="583"/>
      <c r="B66" s="948"/>
      <c r="C66" s="648"/>
      <c r="D66" s="648"/>
      <c r="E66" s="648"/>
      <c r="F66" s="963"/>
      <c r="G66" s="212"/>
      <c r="H66" s="628"/>
      <c r="I66" s="378" t="str">
        <f t="shared" si="11"/>
        <v/>
      </c>
      <c r="J66" s="907" t="str">
        <f t="shared" si="131"/>
        <v/>
      </c>
      <c r="K66" s="910" t="str">
        <f t="shared" si="0"/>
        <v/>
      </c>
      <c r="L66" s="911"/>
      <c r="M66" s="908"/>
      <c r="N66" s="906"/>
      <c r="O66" s="906"/>
      <c r="P66" s="905"/>
      <c r="Q66" s="904"/>
      <c r="R66" s="912"/>
      <c r="S66" s="890" t="str">
        <f t="shared" ref="S66" si="307">IF(M66="","",invoice_currency_symbol)</f>
        <v/>
      </c>
      <c r="T66" s="914"/>
      <c r="U66" s="915" t="str">
        <f t="shared" si="13"/>
        <v/>
      </c>
      <c r="V66" s="918" t="str">
        <f t="shared" ref="V66" si="308">IF(W66=0,"",invoice_currency_symbol)</f>
        <v/>
      </c>
      <c r="W66" s="919"/>
      <c r="X66" s="920" t="str">
        <f t="shared" ref="X66" si="309">IF(M66="","",invoice_currency_symbol)</f>
        <v/>
      </c>
      <c r="Y66" s="913" t="str">
        <f t="shared" si="16"/>
        <v/>
      </c>
      <c r="Z66" s="916"/>
      <c r="AA66" s="271" t="str" cm="1">
        <f t="array" ref="AA66">IF(M66="","",IF(P66=AN66,1,Slookup(MID(AN66,1,3)*1,UomConversion!$D$8:$J$500,5,UomConversion!$E$8:$E$500,MID(P66,1,3)*1,UomConversion!$J$8:$J$500,1)))</f>
        <v/>
      </c>
      <c r="AB66" s="271" t="str">
        <f t="shared" si="4"/>
        <v/>
      </c>
      <c r="AC66" s="271" t="str">
        <f t="shared" si="17"/>
        <v/>
      </c>
      <c r="AD66" s="271" t="str">
        <f t="shared" si="18"/>
        <v/>
      </c>
      <c r="AE66" s="271" t="str">
        <f t="shared" si="5"/>
        <v/>
      </c>
      <c r="AF66" s="271" t="str">
        <f t="shared" ref="AF66" si="310">IFERROR(IF(M66="","",IF(invoice_price_type_id=1,VLOOKUP(I66,product_list,13,FALSE),IF(invoice_price_type_id=2,VLOOKUP(I66,product_list,14,FALSE),IF(invoice_price_type_id=3,VLOOKUP(I66,product_list,15,FALSE),IF(invoice_price_type_id=4,VLOOKUP(I66,product_list,16,FALSE),IF(invoice_price_type_id=5,VLOOKUP(I66,product_list,12,FALSE),"")))))),"")</f>
        <v/>
      </c>
      <c r="AG66" s="271" t="str">
        <f t="shared" si="7"/>
        <v/>
      </c>
      <c r="AH66" s="271" t="s">
        <v>214</v>
      </c>
      <c r="AI66" s="271" t="s">
        <v>214</v>
      </c>
      <c r="AJ66" s="271" t="s">
        <v>214</v>
      </c>
      <c r="AK66" s="271" t="s">
        <v>214</v>
      </c>
      <c r="AL66" s="271" t="s">
        <v>214</v>
      </c>
      <c r="AM66" s="271" t="s">
        <v>214</v>
      </c>
      <c r="AN66" s="271" t="str">
        <f t="shared" si="8"/>
        <v/>
      </c>
      <c r="AO66" s="271" t="str">
        <f>IF(OR(ISNA(MATCH(MID(AN66,1,3)*1,UomConversion!$D$8:$D$500,0)),M66=""),"",IF(AT66="","",AT66))</f>
        <v/>
      </c>
      <c r="AP66" s="271" t="str">
        <f>IF(AND(AQ66&gt;0,COUNTIFS(UomConversion!$D$8:$D$500,MID(AN66,1,3)*1,UomConversion!$J$8:$J$500,1)&gt;1),TEXT(AQ66,"000")&amp;"."&amp;VLOOKUP(AQ66,uom_list,5,FALSE),"")</f>
        <v/>
      </c>
      <c r="AQ66" s="271" t="str">
        <f t="shared" si="20"/>
        <v/>
      </c>
      <c r="AR66" s="271" t="str">
        <f t="shared" si="21"/>
        <v/>
      </c>
      <c r="AS66" s="271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1" t="str">
        <f t="shared" si="9"/>
        <v/>
      </c>
      <c r="AU66" s="271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1" t="str">
        <f t="shared" ref="AV66" si="311">IF(M66="","",IF(invoice_location_id=1,BA66,IF(invoice_location_id=2,BB66,0)))</f>
        <v/>
      </c>
      <c r="AW66" s="271" t="s">
        <v>214</v>
      </c>
      <c r="AX66" s="271" t="str">
        <f t="shared" si="23"/>
        <v/>
      </c>
      <c r="AY66" s="271" t="str">
        <f>IF(M66="","",SUMIFS($AX$8:AX66,$I$8:I66,I66))</f>
        <v/>
      </c>
      <c r="AZ66" s="271" t="str">
        <f t="shared" si="24"/>
        <v/>
      </c>
      <c r="BA66" s="271" t="s">
        <v>214</v>
      </c>
      <c r="BB66" s="271" t="s">
        <v>214</v>
      </c>
    </row>
    <row r="67" spans="1:54" ht="27" customHeight="1">
      <c r="A67" s="583"/>
      <c r="B67" s="948"/>
      <c r="C67" s="648"/>
      <c r="D67" s="648"/>
      <c r="E67" s="648"/>
      <c r="F67" s="963"/>
      <c r="G67" s="212"/>
      <c r="H67" s="628"/>
      <c r="I67" s="378" t="str">
        <f t="shared" si="11"/>
        <v/>
      </c>
      <c r="J67" s="907" t="str">
        <f t="shared" si="131"/>
        <v/>
      </c>
      <c r="K67" s="910" t="str">
        <f t="shared" si="0"/>
        <v/>
      </c>
      <c r="L67" s="911"/>
      <c r="M67" s="908"/>
      <c r="N67" s="906"/>
      <c r="O67" s="906"/>
      <c r="P67" s="905"/>
      <c r="Q67" s="904"/>
      <c r="R67" s="912"/>
      <c r="S67" s="890" t="str">
        <f t="shared" ref="S67" si="312">IF(M67="","",invoice_currency_symbol)</f>
        <v/>
      </c>
      <c r="T67" s="914"/>
      <c r="U67" s="915" t="str">
        <f t="shared" si="13"/>
        <v/>
      </c>
      <c r="V67" s="918" t="str">
        <f t="shared" ref="V67" si="313">IF(W67=0,"",invoice_currency_symbol)</f>
        <v/>
      </c>
      <c r="W67" s="919"/>
      <c r="X67" s="920" t="str">
        <f t="shared" ref="X67" si="314">IF(M67="","",invoice_currency_symbol)</f>
        <v/>
      </c>
      <c r="Y67" s="913" t="str">
        <f t="shared" si="16"/>
        <v/>
      </c>
      <c r="Z67" s="916"/>
      <c r="AA67" s="271" t="str" cm="1">
        <f t="array" ref="AA67">IF(M67="","",IF(P67=AN67,1,Slookup(MID(AN67,1,3)*1,UomConversion!$D$8:$J$500,5,UomConversion!$E$8:$E$500,MID(P67,1,3)*1,UomConversion!$J$8:$J$500,1)))</f>
        <v/>
      </c>
      <c r="AB67" s="271" t="str">
        <f t="shared" si="4"/>
        <v/>
      </c>
      <c r="AC67" s="271" t="str">
        <f t="shared" si="17"/>
        <v/>
      </c>
      <c r="AD67" s="271" t="str">
        <f t="shared" si="18"/>
        <v/>
      </c>
      <c r="AE67" s="271" t="str">
        <f t="shared" si="5"/>
        <v/>
      </c>
      <c r="AF67" s="271" t="str">
        <f t="shared" ref="AF67" si="315">IFERROR(IF(M67="","",IF(invoice_price_type_id=1,VLOOKUP(I67,product_list,13,FALSE),IF(invoice_price_type_id=2,VLOOKUP(I67,product_list,14,FALSE),IF(invoice_price_type_id=3,VLOOKUP(I67,product_list,15,FALSE),IF(invoice_price_type_id=4,VLOOKUP(I67,product_list,16,FALSE),IF(invoice_price_type_id=5,VLOOKUP(I67,product_list,12,FALSE),"")))))),"")</f>
        <v/>
      </c>
      <c r="AG67" s="271" t="str">
        <f t="shared" si="7"/>
        <v/>
      </c>
      <c r="AH67" s="271" t="s">
        <v>214</v>
      </c>
      <c r="AI67" s="271" t="s">
        <v>214</v>
      </c>
      <c r="AJ67" s="271" t="s">
        <v>214</v>
      </c>
      <c r="AK67" s="271" t="s">
        <v>214</v>
      </c>
      <c r="AL67" s="271" t="s">
        <v>214</v>
      </c>
      <c r="AM67" s="271" t="s">
        <v>214</v>
      </c>
      <c r="AN67" s="271" t="str">
        <f t="shared" si="8"/>
        <v/>
      </c>
      <c r="AO67" s="271" t="str">
        <f>IF(OR(ISNA(MATCH(MID(AN67,1,3)*1,UomConversion!$D$8:$D$500,0)),M67=""),"",IF(AT67="","",AT67))</f>
        <v/>
      </c>
      <c r="AP67" s="271" t="str">
        <f>IF(AND(AQ67&gt;0,COUNTIFS(UomConversion!$D$8:$D$500,MID(AN67,1,3)*1,UomConversion!$J$8:$J$500,1)&gt;1),TEXT(AQ67,"000")&amp;"."&amp;VLOOKUP(AQ67,uom_list,5,FALSE),"")</f>
        <v/>
      </c>
      <c r="AQ67" s="271" t="str">
        <f t="shared" si="20"/>
        <v/>
      </c>
      <c r="AR67" s="271" t="str">
        <f t="shared" si="21"/>
        <v/>
      </c>
      <c r="AS67" s="271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1" t="str">
        <f t="shared" si="9"/>
        <v/>
      </c>
      <c r="AU67" s="271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1" t="str">
        <f t="shared" ref="AV67" si="316">IF(M67="","",IF(invoice_location_id=1,BA67,IF(invoice_location_id=2,BB67,0)))</f>
        <v/>
      </c>
      <c r="AW67" s="271" t="s">
        <v>214</v>
      </c>
      <c r="AX67" s="271" t="str">
        <f t="shared" si="23"/>
        <v/>
      </c>
      <c r="AY67" s="271" t="str">
        <f>IF(M67="","",SUMIFS($AX$8:AX67,$I$8:I67,I67))</f>
        <v/>
      </c>
      <c r="AZ67" s="271" t="str">
        <f t="shared" si="24"/>
        <v/>
      </c>
      <c r="BA67" s="271" t="s">
        <v>214</v>
      </c>
      <c r="BB67" s="271" t="s">
        <v>214</v>
      </c>
    </row>
    <row r="68" spans="1:54" ht="27" customHeight="1">
      <c r="A68" s="583"/>
      <c r="B68" s="948"/>
      <c r="C68" s="648"/>
      <c r="D68" s="648"/>
      <c r="E68" s="648"/>
      <c r="F68" s="963"/>
      <c r="G68" s="212"/>
      <c r="H68" s="628"/>
      <c r="I68" s="378" t="str">
        <f t="shared" si="11"/>
        <v/>
      </c>
      <c r="J68" s="907" t="str">
        <f t="shared" si="131"/>
        <v/>
      </c>
      <c r="K68" s="910" t="str">
        <f t="shared" si="0"/>
        <v/>
      </c>
      <c r="L68" s="911"/>
      <c r="M68" s="908"/>
      <c r="N68" s="906"/>
      <c r="O68" s="906"/>
      <c r="P68" s="905"/>
      <c r="Q68" s="904"/>
      <c r="R68" s="912"/>
      <c r="S68" s="890" t="str">
        <f t="shared" ref="S68" si="317">IF(M68="","",invoice_currency_symbol)</f>
        <v/>
      </c>
      <c r="T68" s="914"/>
      <c r="U68" s="915" t="str">
        <f t="shared" si="13"/>
        <v/>
      </c>
      <c r="V68" s="918" t="str">
        <f t="shared" ref="V68" si="318">IF(W68=0,"",invoice_currency_symbol)</f>
        <v/>
      </c>
      <c r="W68" s="919"/>
      <c r="X68" s="920" t="str">
        <f t="shared" ref="X68" si="319">IF(M68="","",invoice_currency_symbol)</f>
        <v/>
      </c>
      <c r="Y68" s="913" t="str">
        <f t="shared" si="16"/>
        <v/>
      </c>
      <c r="Z68" s="916"/>
      <c r="AA68" s="271" t="str" cm="1">
        <f t="array" ref="AA68">IF(M68="","",IF(P68=AN68,1,Slookup(MID(AN68,1,3)*1,UomConversion!$D$8:$J$500,5,UomConversion!$E$8:$E$500,MID(P68,1,3)*1,UomConversion!$J$8:$J$500,1)))</f>
        <v/>
      </c>
      <c r="AB68" s="271" t="str">
        <f t="shared" si="4"/>
        <v/>
      </c>
      <c r="AC68" s="271" t="str">
        <f t="shared" si="17"/>
        <v/>
      </c>
      <c r="AD68" s="271" t="str">
        <f t="shared" si="18"/>
        <v/>
      </c>
      <c r="AE68" s="271" t="str">
        <f t="shared" si="5"/>
        <v/>
      </c>
      <c r="AF68" s="271" t="str">
        <f t="shared" ref="AF68" si="320">IFERROR(IF(M68="","",IF(invoice_price_type_id=1,VLOOKUP(I68,product_list,13,FALSE),IF(invoice_price_type_id=2,VLOOKUP(I68,product_list,14,FALSE),IF(invoice_price_type_id=3,VLOOKUP(I68,product_list,15,FALSE),IF(invoice_price_type_id=4,VLOOKUP(I68,product_list,16,FALSE),IF(invoice_price_type_id=5,VLOOKUP(I68,product_list,12,FALSE),"")))))),"")</f>
        <v/>
      </c>
      <c r="AG68" s="271" t="str">
        <f t="shared" si="7"/>
        <v/>
      </c>
      <c r="AH68" s="271" t="s">
        <v>214</v>
      </c>
      <c r="AI68" s="271" t="s">
        <v>214</v>
      </c>
      <c r="AJ68" s="271" t="s">
        <v>214</v>
      </c>
      <c r="AK68" s="271" t="s">
        <v>214</v>
      </c>
      <c r="AL68" s="271" t="s">
        <v>214</v>
      </c>
      <c r="AM68" s="271" t="s">
        <v>214</v>
      </c>
      <c r="AN68" s="271" t="str">
        <f t="shared" si="8"/>
        <v/>
      </c>
      <c r="AO68" s="271" t="str">
        <f>IF(OR(ISNA(MATCH(MID(AN68,1,3)*1,UomConversion!$D$8:$D$500,0)),M68=""),"",IF(AT68="","",AT68))</f>
        <v/>
      </c>
      <c r="AP68" s="271" t="str">
        <f>IF(AND(AQ68&gt;0,COUNTIFS(UomConversion!$D$8:$D$500,MID(AN68,1,3)*1,UomConversion!$J$8:$J$500,1)&gt;1),TEXT(AQ68,"000")&amp;"."&amp;VLOOKUP(AQ68,uom_list,5,FALSE),"")</f>
        <v/>
      </c>
      <c r="AQ68" s="271" t="str">
        <f t="shared" si="20"/>
        <v/>
      </c>
      <c r="AR68" s="271" t="str">
        <f t="shared" si="21"/>
        <v/>
      </c>
      <c r="AS68" s="271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1" t="str">
        <f t="shared" si="9"/>
        <v/>
      </c>
      <c r="AU68" s="271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1" t="str">
        <f t="shared" ref="AV68" si="321">IF(M68="","",IF(invoice_location_id=1,BA68,IF(invoice_location_id=2,BB68,0)))</f>
        <v/>
      </c>
      <c r="AW68" s="271" t="s">
        <v>214</v>
      </c>
      <c r="AX68" s="271" t="str">
        <f t="shared" si="23"/>
        <v/>
      </c>
      <c r="AY68" s="271" t="str">
        <f>IF(M68="","",SUMIFS($AX$8:AX68,$I$8:I68,I68))</f>
        <v/>
      </c>
      <c r="AZ68" s="271" t="str">
        <f t="shared" si="24"/>
        <v/>
      </c>
      <c r="BA68" s="271" t="s">
        <v>214</v>
      </c>
      <c r="BB68" s="271" t="s">
        <v>214</v>
      </c>
    </row>
    <row r="69" spans="1:54" ht="27" customHeight="1">
      <c r="A69" s="583"/>
      <c r="B69" s="948"/>
      <c r="C69" s="648"/>
      <c r="D69" s="648"/>
      <c r="E69" s="648"/>
      <c r="F69" s="963"/>
      <c r="G69" s="212"/>
      <c r="H69" s="628"/>
      <c r="I69" s="378" t="str">
        <f t="shared" si="11"/>
        <v/>
      </c>
      <c r="J69" s="907" t="str">
        <f t="shared" si="131"/>
        <v/>
      </c>
      <c r="K69" s="910" t="str">
        <f t="shared" si="0"/>
        <v/>
      </c>
      <c r="L69" s="911"/>
      <c r="M69" s="908"/>
      <c r="N69" s="906"/>
      <c r="O69" s="906"/>
      <c r="P69" s="905"/>
      <c r="Q69" s="904"/>
      <c r="R69" s="912"/>
      <c r="S69" s="890" t="str">
        <f t="shared" ref="S69" si="322">IF(M69="","",invoice_currency_symbol)</f>
        <v/>
      </c>
      <c r="T69" s="914"/>
      <c r="U69" s="915" t="str">
        <f t="shared" si="13"/>
        <v/>
      </c>
      <c r="V69" s="918" t="str">
        <f t="shared" ref="V69" si="323">IF(W69=0,"",invoice_currency_symbol)</f>
        <v/>
      </c>
      <c r="W69" s="919"/>
      <c r="X69" s="920" t="str">
        <f t="shared" ref="X69" si="324">IF(M69="","",invoice_currency_symbol)</f>
        <v/>
      </c>
      <c r="Y69" s="913" t="str">
        <f t="shared" si="16"/>
        <v/>
      </c>
      <c r="Z69" s="916"/>
      <c r="AA69" s="271" t="str" cm="1">
        <f t="array" ref="AA69">IF(M69="","",IF(P69=AN69,1,Slookup(MID(AN69,1,3)*1,UomConversion!$D$8:$J$500,5,UomConversion!$E$8:$E$500,MID(P69,1,3)*1,UomConversion!$J$8:$J$500,1)))</f>
        <v/>
      </c>
      <c r="AB69" s="271" t="str">
        <f t="shared" si="4"/>
        <v/>
      </c>
      <c r="AC69" s="271" t="str">
        <f t="shared" si="17"/>
        <v/>
      </c>
      <c r="AD69" s="271" t="str">
        <f t="shared" si="18"/>
        <v/>
      </c>
      <c r="AE69" s="271" t="str">
        <f t="shared" si="5"/>
        <v/>
      </c>
      <c r="AF69" s="271" t="str">
        <f t="shared" ref="AF69" si="325">IFERROR(IF(M69="","",IF(invoice_price_type_id=1,VLOOKUP(I69,product_list,13,FALSE),IF(invoice_price_type_id=2,VLOOKUP(I69,product_list,14,FALSE),IF(invoice_price_type_id=3,VLOOKUP(I69,product_list,15,FALSE),IF(invoice_price_type_id=4,VLOOKUP(I69,product_list,16,FALSE),IF(invoice_price_type_id=5,VLOOKUP(I69,product_list,12,FALSE),"")))))),"")</f>
        <v/>
      </c>
      <c r="AG69" s="271" t="str">
        <f t="shared" si="7"/>
        <v/>
      </c>
      <c r="AH69" s="271" t="s">
        <v>214</v>
      </c>
      <c r="AI69" s="271" t="s">
        <v>214</v>
      </c>
      <c r="AJ69" s="271" t="s">
        <v>214</v>
      </c>
      <c r="AK69" s="271" t="s">
        <v>214</v>
      </c>
      <c r="AL69" s="271" t="s">
        <v>214</v>
      </c>
      <c r="AM69" s="271" t="s">
        <v>214</v>
      </c>
      <c r="AN69" s="271" t="str">
        <f t="shared" si="8"/>
        <v/>
      </c>
      <c r="AO69" s="271" t="str">
        <f>IF(OR(ISNA(MATCH(MID(AN69,1,3)*1,UomConversion!$D$8:$D$500,0)),M69=""),"",IF(AT69="","",AT69))</f>
        <v/>
      </c>
      <c r="AP69" s="271" t="str">
        <f>IF(AND(AQ69&gt;0,COUNTIFS(UomConversion!$D$8:$D$500,MID(AN69,1,3)*1,UomConversion!$J$8:$J$500,1)&gt;1),TEXT(AQ69,"000")&amp;"."&amp;VLOOKUP(AQ69,uom_list,5,FALSE),"")</f>
        <v/>
      </c>
      <c r="AQ69" s="271" t="str">
        <f t="shared" si="20"/>
        <v/>
      </c>
      <c r="AR69" s="271" t="str">
        <f t="shared" si="21"/>
        <v/>
      </c>
      <c r="AS69" s="271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1" t="str">
        <f t="shared" si="9"/>
        <v/>
      </c>
      <c r="AU69" s="271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1" t="str">
        <f t="shared" ref="AV69" si="326">IF(M69="","",IF(invoice_location_id=1,BA69,IF(invoice_location_id=2,BB69,0)))</f>
        <v/>
      </c>
      <c r="AW69" s="271" t="s">
        <v>214</v>
      </c>
      <c r="AX69" s="271" t="str">
        <f t="shared" si="23"/>
        <v/>
      </c>
      <c r="AY69" s="271" t="str">
        <f>IF(M69="","",SUMIFS($AX$8:AX69,$I$8:I69,I69))</f>
        <v/>
      </c>
      <c r="AZ69" s="271" t="str">
        <f t="shared" si="24"/>
        <v/>
      </c>
      <c r="BA69" s="271" t="s">
        <v>214</v>
      </c>
      <c r="BB69" s="271" t="s">
        <v>214</v>
      </c>
    </row>
    <row r="70" spans="1:54" ht="27" customHeight="1">
      <c r="A70" s="583"/>
      <c r="B70" s="948"/>
      <c r="C70" s="648"/>
      <c r="D70" s="648"/>
      <c r="E70" s="648"/>
      <c r="F70" s="963"/>
      <c r="G70" s="212"/>
      <c r="H70" s="628"/>
      <c r="I70" s="378" t="str">
        <f t="shared" si="11"/>
        <v/>
      </c>
      <c r="J70" s="907" t="str">
        <f t="shared" si="131"/>
        <v/>
      </c>
      <c r="K70" s="910" t="str">
        <f t="shared" si="0"/>
        <v/>
      </c>
      <c r="L70" s="911"/>
      <c r="M70" s="908"/>
      <c r="N70" s="906"/>
      <c r="O70" s="906"/>
      <c r="P70" s="905"/>
      <c r="Q70" s="904"/>
      <c r="R70" s="912"/>
      <c r="S70" s="890" t="str">
        <f t="shared" ref="S70" si="327">IF(M70="","",invoice_currency_symbol)</f>
        <v/>
      </c>
      <c r="T70" s="914"/>
      <c r="U70" s="915" t="str">
        <f t="shared" si="13"/>
        <v/>
      </c>
      <c r="V70" s="918" t="str">
        <f t="shared" ref="V70" si="328">IF(W70=0,"",invoice_currency_symbol)</f>
        <v/>
      </c>
      <c r="W70" s="919"/>
      <c r="X70" s="920" t="str">
        <f t="shared" ref="X70" si="329">IF(M70="","",invoice_currency_symbol)</f>
        <v/>
      </c>
      <c r="Y70" s="913" t="str">
        <f t="shared" si="16"/>
        <v/>
      </c>
      <c r="Z70" s="916"/>
      <c r="AA70" s="271" t="str" cm="1">
        <f t="array" ref="AA70">IF(M70="","",IF(P70=AN70,1,Slookup(MID(AN70,1,3)*1,UomConversion!$D$8:$J$500,5,UomConversion!$E$8:$E$500,MID(P70,1,3)*1,UomConversion!$J$8:$J$500,1)))</f>
        <v/>
      </c>
      <c r="AB70" s="271" t="str">
        <f t="shared" si="4"/>
        <v/>
      </c>
      <c r="AC70" s="271" t="str">
        <f t="shared" si="17"/>
        <v/>
      </c>
      <c r="AD70" s="271" t="str">
        <f t="shared" si="18"/>
        <v/>
      </c>
      <c r="AE70" s="271" t="str">
        <f t="shared" si="5"/>
        <v/>
      </c>
      <c r="AF70" s="271" t="str">
        <f t="shared" ref="AF70" si="330">IFERROR(IF(M70="","",IF(invoice_price_type_id=1,VLOOKUP(I70,product_list,13,FALSE),IF(invoice_price_type_id=2,VLOOKUP(I70,product_list,14,FALSE),IF(invoice_price_type_id=3,VLOOKUP(I70,product_list,15,FALSE),IF(invoice_price_type_id=4,VLOOKUP(I70,product_list,16,FALSE),IF(invoice_price_type_id=5,VLOOKUP(I70,product_list,12,FALSE),"")))))),"")</f>
        <v/>
      </c>
      <c r="AG70" s="271" t="str">
        <f t="shared" si="7"/>
        <v/>
      </c>
      <c r="AH70" s="271" t="s">
        <v>214</v>
      </c>
      <c r="AI70" s="271" t="s">
        <v>214</v>
      </c>
      <c r="AJ70" s="271" t="s">
        <v>214</v>
      </c>
      <c r="AK70" s="271" t="s">
        <v>214</v>
      </c>
      <c r="AL70" s="271" t="s">
        <v>214</v>
      </c>
      <c r="AM70" s="271" t="s">
        <v>214</v>
      </c>
      <c r="AN70" s="271" t="str">
        <f t="shared" si="8"/>
        <v/>
      </c>
      <c r="AO70" s="271" t="str">
        <f>IF(OR(ISNA(MATCH(MID(AN70,1,3)*1,UomConversion!$D$8:$D$500,0)),M70=""),"",IF(AT70="","",AT70))</f>
        <v/>
      </c>
      <c r="AP70" s="271" t="str">
        <f>IF(AND(AQ70&gt;0,COUNTIFS(UomConversion!$D$8:$D$500,MID(AN70,1,3)*1,UomConversion!$J$8:$J$500,1)&gt;1),TEXT(AQ70,"000")&amp;"."&amp;VLOOKUP(AQ70,uom_list,5,FALSE),"")</f>
        <v/>
      </c>
      <c r="AQ70" s="271" t="str">
        <f t="shared" si="20"/>
        <v/>
      </c>
      <c r="AR70" s="271" t="str">
        <f t="shared" si="21"/>
        <v/>
      </c>
      <c r="AS70" s="271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1" t="str">
        <f t="shared" si="9"/>
        <v/>
      </c>
      <c r="AU70" s="271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1" t="str">
        <f t="shared" ref="AV70" si="331">IF(M70="","",IF(invoice_location_id=1,BA70,IF(invoice_location_id=2,BB70,0)))</f>
        <v/>
      </c>
      <c r="AW70" s="271" t="s">
        <v>214</v>
      </c>
      <c r="AX70" s="271" t="str">
        <f t="shared" si="23"/>
        <v/>
      </c>
      <c r="AY70" s="271" t="str">
        <f>IF(M70="","",SUMIFS($AX$8:AX70,$I$8:I70,I70))</f>
        <v/>
      </c>
      <c r="AZ70" s="271" t="str">
        <f t="shared" si="24"/>
        <v/>
      </c>
      <c r="BA70" s="271" t="s">
        <v>214</v>
      </c>
      <c r="BB70" s="271" t="s">
        <v>214</v>
      </c>
    </row>
    <row r="71" spans="1:54" ht="27" customHeight="1">
      <c r="A71" s="583"/>
      <c r="B71" s="948"/>
      <c r="C71" s="648"/>
      <c r="D71" s="648"/>
      <c r="E71" s="648"/>
      <c r="F71" s="963"/>
      <c r="G71" s="212"/>
      <c r="H71" s="628"/>
      <c r="I71" s="378" t="str">
        <f t="shared" si="11"/>
        <v/>
      </c>
      <c r="J71" s="907" t="str">
        <f t="shared" si="131"/>
        <v/>
      </c>
      <c r="K71" s="910" t="str">
        <f t="shared" si="0"/>
        <v/>
      </c>
      <c r="L71" s="911"/>
      <c r="M71" s="908"/>
      <c r="N71" s="906"/>
      <c r="O71" s="906"/>
      <c r="P71" s="905"/>
      <c r="Q71" s="904"/>
      <c r="R71" s="912"/>
      <c r="S71" s="890" t="str">
        <f t="shared" ref="S71" si="332">IF(M71="","",invoice_currency_symbol)</f>
        <v/>
      </c>
      <c r="T71" s="914"/>
      <c r="U71" s="915" t="str">
        <f t="shared" si="13"/>
        <v/>
      </c>
      <c r="V71" s="918" t="str">
        <f t="shared" ref="V71" si="333">IF(W71=0,"",invoice_currency_symbol)</f>
        <v/>
      </c>
      <c r="W71" s="919"/>
      <c r="X71" s="920" t="str">
        <f t="shared" ref="X71" si="334">IF(M71="","",invoice_currency_symbol)</f>
        <v/>
      </c>
      <c r="Y71" s="913" t="str">
        <f t="shared" si="16"/>
        <v/>
      </c>
      <c r="Z71" s="916"/>
      <c r="AA71" s="271" t="str" cm="1">
        <f t="array" ref="AA71">IF(M71="","",IF(P71=AN71,1,Slookup(MID(AN71,1,3)*1,UomConversion!$D$8:$J$500,5,UomConversion!$E$8:$E$500,MID(P71,1,3)*1,UomConversion!$J$8:$J$500,1)))</f>
        <v/>
      </c>
      <c r="AB71" s="271" t="str">
        <f t="shared" si="4"/>
        <v/>
      </c>
      <c r="AC71" s="271" t="str">
        <f t="shared" si="17"/>
        <v/>
      </c>
      <c r="AD71" s="271" t="str">
        <f t="shared" si="18"/>
        <v/>
      </c>
      <c r="AE71" s="271" t="str">
        <f t="shared" si="5"/>
        <v/>
      </c>
      <c r="AF71" s="271" t="str">
        <f t="shared" ref="AF71" si="335">IFERROR(IF(M71="","",IF(invoice_price_type_id=1,VLOOKUP(I71,product_list,13,FALSE),IF(invoice_price_type_id=2,VLOOKUP(I71,product_list,14,FALSE),IF(invoice_price_type_id=3,VLOOKUP(I71,product_list,15,FALSE),IF(invoice_price_type_id=4,VLOOKUP(I71,product_list,16,FALSE),IF(invoice_price_type_id=5,VLOOKUP(I71,product_list,12,FALSE),"")))))),"")</f>
        <v/>
      </c>
      <c r="AG71" s="271" t="str">
        <f t="shared" si="7"/>
        <v/>
      </c>
      <c r="AH71" s="271" t="s">
        <v>214</v>
      </c>
      <c r="AI71" s="271" t="s">
        <v>214</v>
      </c>
      <c r="AJ71" s="271" t="s">
        <v>214</v>
      </c>
      <c r="AK71" s="271" t="s">
        <v>214</v>
      </c>
      <c r="AL71" s="271" t="s">
        <v>214</v>
      </c>
      <c r="AM71" s="271" t="s">
        <v>214</v>
      </c>
      <c r="AN71" s="271" t="str">
        <f t="shared" si="8"/>
        <v/>
      </c>
      <c r="AO71" s="271" t="str">
        <f>IF(OR(ISNA(MATCH(MID(AN71,1,3)*1,UomConversion!$D$8:$D$500,0)),M71=""),"",IF(AT71="","",AT71))</f>
        <v/>
      </c>
      <c r="AP71" s="271" t="str">
        <f>IF(AND(AQ71&gt;0,COUNTIFS(UomConversion!$D$8:$D$500,MID(AN71,1,3)*1,UomConversion!$J$8:$J$500,1)&gt;1),TEXT(AQ71,"000")&amp;"."&amp;VLOOKUP(AQ71,uom_list,5,FALSE),"")</f>
        <v/>
      </c>
      <c r="AQ71" s="271" t="str">
        <f t="shared" si="20"/>
        <v/>
      </c>
      <c r="AR71" s="271" t="str">
        <f t="shared" si="21"/>
        <v/>
      </c>
      <c r="AS71" s="271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1" t="str">
        <f t="shared" si="9"/>
        <v/>
      </c>
      <c r="AU71" s="271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1" t="str">
        <f t="shared" ref="AV71" si="336">IF(M71="","",IF(invoice_location_id=1,BA71,IF(invoice_location_id=2,BB71,0)))</f>
        <v/>
      </c>
      <c r="AW71" s="271" t="s">
        <v>214</v>
      </c>
      <c r="AX71" s="271" t="str">
        <f t="shared" si="23"/>
        <v/>
      </c>
      <c r="AY71" s="271" t="str">
        <f>IF(M71="","",SUMIFS($AX$8:AX71,$I$8:I71,I71))</f>
        <v/>
      </c>
      <c r="AZ71" s="271" t="str">
        <f t="shared" si="24"/>
        <v/>
      </c>
      <c r="BA71" s="271" t="s">
        <v>214</v>
      </c>
      <c r="BB71" s="271" t="s">
        <v>214</v>
      </c>
    </row>
    <row r="72" spans="1:54" ht="27" customHeight="1">
      <c r="A72" s="583"/>
      <c r="B72" s="948"/>
      <c r="C72" s="648"/>
      <c r="D72" s="648"/>
      <c r="E72" s="648"/>
      <c r="F72" s="963"/>
      <c r="G72" s="212"/>
      <c r="H72" s="628"/>
      <c r="I72" s="378" t="str">
        <f t="shared" si="11"/>
        <v/>
      </c>
      <c r="J72" s="907" t="str">
        <f t="shared" si="131"/>
        <v/>
      </c>
      <c r="K72" s="910" t="str">
        <f t="shared" ref="K72:K87" si="337">IF(M72="","",VLOOKUP(I72,product_list,2,FALSE))</f>
        <v/>
      </c>
      <c r="L72" s="911"/>
      <c r="M72" s="908"/>
      <c r="N72" s="906"/>
      <c r="O72" s="906"/>
      <c r="P72" s="905"/>
      <c r="Q72" s="904"/>
      <c r="R72" s="912"/>
      <c r="S72" s="890" t="str">
        <f t="shared" ref="S72" si="338">IF(M72="","",invoice_currency_symbol)</f>
        <v/>
      </c>
      <c r="T72" s="914"/>
      <c r="U72" s="915" t="str">
        <f t="shared" si="13"/>
        <v/>
      </c>
      <c r="V72" s="918" t="str">
        <f t="shared" ref="V72" si="339">IF(W72=0,"",invoice_currency_symbol)</f>
        <v/>
      </c>
      <c r="W72" s="919"/>
      <c r="X72" s="920" t="str">
        <f t="shared" ref="X72" si="340">IF(M72="","",invoice_currency_symbol)</f>
        <v/>
      </c>
      <c r="Y72" s="913" t="str">
        <f t="shared" si="16"/>
        <v/>
      </c>
      <c r="Z72" s="916"/>
      <c r="AA72" s="271" t="str" cm="1">
        <f t="array" ref="AA72">IF(M72="","",IF(P72=AN72,1,Slookup(MID(AN72,1,3)*1,UomConversion!$D$8:$J$500,5,UomConversion!$E$8:$E$500,MID(P72,1,3)*1,UomConversion!$J$8:$J$500,1)))</f>
        <v/>
      </c>
      <c r="AB72" s="271" t="str">
        <f t="shared" ref="AB72:AB87" si="341">IF(AND(M72="",ISNA(VLOOKUP(I72,product_list,19,FALSE))),"",VLOOKUP(I72,product_list,19,FALSE))</f>
        <v/>
      </c>
      <c r="AC72" s="271" t="str">
        <f t="shared" si="17"/>
        <v/>
      </c>
      <c r="AD72" s="271" t="str">
        <f t="shared" si="18"/>
        <v/>
      </c>
      <c r="AE72" s="271" t="str">
        <f t="shared" ref="AE72:AE87" si="342">IF(M72="","",VLOOKUP(I72,product_list,12,FALSE))</f>
        <v/>
      </c>
      <c r="AF72" s="271" t="str">
        <f t="shared" ref="AF72" si="343">IFERROR(IF(M72="","",IF(invoice_price_type_id=1,VLOOKUP(I72,product_list,13,FALSE),IF(invoice_price_type_id=2,VLOOKUP(I72,product_list,14,FALSE),IF(invoice_price_type_id=3,VLOOKUP(I72,product_list,15,FALSE),IF(invoice_price_type_id=4,VLOOKUP(I72,product_list,16,FALSE),IF(invoice_price_type_id=5,VLOOKUP(I72,product_list,12,FALSE),"")))))),"")</f>
        <v/>
      </c>
      <c r="AG72" s="271" t="str">
        <f t="shared" ref="AG72:AG87" si="344">IF(M72="","",VLOOKUP(I72,product_list,20,FALSE))</f>
        <v/>
      </c>
      <c r="AH72" s="271" t="s">
        <v>214</v>
      </c>
      <c r="AI72" s="271" t="s">
        <v>214</v>
      </c>
      <c r="AJ72" s="271" t="s">
        <v>214</v>
      </c>
      <c r="AK72" s="271" t="s">
        <v>214</v>
      </c>
      <c r="AL72" s="271" t="s">
        <v>214</v>
      </c>
      <c r="AM72" s="271" t="s">
        <v>214</v>
      </c>
      <c r="AN72" s="271" t="str">
        <f t="shared" ref="AN72:AN87" si="345">IF(M72="","",VLOOKUP(I72,product_list,11,FALSE))</f>
        <v/>
      </c>
      <c r="AO72" s="271" t="str">
        <f>IF(OR(ISNA(MATCH(MID(AN72,1,3)*1,UomConversion!$D$8:$D$500,0)),M72=""),"",IF(AT72="","",AT72))</f>
        <v/>
      </c>
      <c r="AP72" s="271" t="str">
        <f>IF(AND(AQ72&gt;0,COUNTIFS(UomConversion!$D$8:$D$500,MID(AN72,1,3)*1,UomConversion!$J$8:$J$500,1)&gt;1),TEXT(AQ72,"000")&amp;"."&amp;VLOOKUP(AQ72,uom_list,5,FALSE),"")</f>
        <v/>
      </c>
      <c r="AQ72" s="271" t="str">
        <f t="shared" si="20"/>
        <v/>
      </c>
      <c r="AR72" s="271" t="str">
        <f t="shared" si="21"/>
        <v/>
      </c>
      <c r="AS72" s="271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1" t="str">
        <f t="shared" ref="AT72:AT87" si="34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1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1" t="str">
        <f t="shared" ref="AV72" si="347">IF(M72="","",IF(invoice_location_id=1,BA72,IF(invoice_location_id=2,BB72,0)))</f>
        <v/>
      </c>
      <c r="AW72" s="271" t="s">
        <v>214</v>
      </c>
      <c r="AX72" s="271" t="str">
        <f t="shared" si="23"/>
        <v/>
      </c>
      <c r="AY72" s="271" t="str">
        <f>IF(M72="","",SUMIFS($AX$8:AX72,$I$8:I72,I72))</f>
        <v/>
      </c>
      <c r="AZ72" s="271" t="str">
        <f t="shared" si="24"/>
        <v/>
      </c>
      <c r="BA72" s="271" t="s">
        <v>214</v>
      </c>
      <c r="BB72" s="271" t="s">
        <v>214</v>
      </c>
    </row>
    <row r="73" spans="1:54" ht="27" customHeight="1">
      <c r="A73" s="583"/>
      <c r="B73" s="948"/>
      <c r="C73" s="648"/>
      <c r="D73" s="648"/>
      <c r="E73" s="648"/>
      <c r="F73" s="963"/>
      <c r="G73" s="212"/>
      <c r="H73" s="628"/>
      <c r="I73" s="378" t="str">
        <f t="shared" ref="I73:I87" si="348">IF(M73="","",MID(M73,1,5)*1)</f>
        <v/>
      </c>
      <c r="J73" s="907" t="str">
        <f t="shared" si="131"/>
        <v/>
      </c>
      <c r="K73" s="910" t="str">
        <f t="shared" si="337"/>
        <v/>
      </c>
      <c r="L73" s="911"/>
      <c r="M73" s="908"/>
      <c r="N73" s="906"/>
      <c r="O73" s="906"/>
      <c r="P73" s="905"/>
      <c r="Q73" s="904"/>
      <c r="R73" s="912"/>
      <c r="S73" s="890" t="str">
        <f t="shared" ref="S73" si="349">IF(M73="","",invoice_currency_symbol)</f>
        <v/>
      </c>
      <c r="T73" s="914"/>
      <c r="U73" s="915" t="str">
        <f t="shared" ref="U73:U87" si="350">IF(M73="","",ROUND(IF(AS73&gt;0,AS73,IF(P73=AN73,AF73,IF(P73=AO73,ROUND(AF73/AA73,9),IF(P73=AP73,ROUND(AF73/AB73,9))))),2))</f>
        <v/>
      </c>
      <c r="V73" s="918" t="str">
        <f t="shared" ref="V73" si="351">IF(W73=0,"",invoice_currency_symbol)</f>
        <v/>
      </c>
      <c r="W73" s="919"/>
      <c r="X73" s="920" t="str">
        <f t="shared" ref="X73" si="352">IF(M73="","",invoice_currency_symbol)</f>
        <v/>
      </c>
      <c r="Y73" s="913" t="str">
        <f t="shared" ref="Y73:Y87" si="353">IF(M73="","",ROUND(IF(T73&gt;0,N73*T73-W73,N73*U73-W73),2))</f>
        <v/>
      </c>
      <c r="Z73" s="916"/>
      <c r="AA73" s="271" t="str" cm="1">
        <f t="array" ref="AA73">IF(M73="","",IF(P73=AN73,1,Slookup(MID(AN73,1,3)*1,UomConversion!$D$8:$J$500,5,UomConversion!$E$8:$E$500,MID(P73,1,3)*1,UomConversion!$J$8:$J$500,1)))</f>
        <v/>
      </c>
      <c r="AB73" s="271" t="str">
        <f t="shared" si="341"/>
        <v/>
      </c>
      <c r="AC73" s="271" t="str">
        <f t="shared" ref="AC73:AC87" si="354">IF(M73="","",W73)</f>
        <v/>
      </c>
      <c r="AD73" s="271" t="str">
        <f t="shared" ref="AD73:AD87" si="355">IF(M73="","",IF(P73=AN73,AE73,IF(P73=AO73,ROUND(AE73/AA73,9),IF(P73=AP73,ROUND(AE73/AB73,9)))))</f>
        <v/>
      </c>
      <c r="AE73" s="271" t="str">
        <f t="shared" si="342"/>
        <v/>
      </c>
      <c r="AF73" s="271" t="str">
        <f t="shared" ref="AF73" si="356">IFERROR(IF(M73="","",IF(invoice_price_type_id=1,VLOOKUP(I73,product_list,13,FALSE),IF(invoice_price_type_id=2,VLOOKUP(I73,product_list,14,FALSE),IF(invoice_price_type_id=3,VLOOKUP(I73,product_list,15,FALSE),IF(invoice_price_type_id=4,VLOOKUP(I73,product_list,16,FALSE),IF(invoice_price_type_id=5,VLOOKUP(I73,product_list,12,FALSE),"")))))),"")</f>
        <v/>
      </c>
      <c r="AG73" s="271" t="str">
        <f t="shared" si="344"/>
        <v/>
      </c>
      <c r="AH73" s="271" t="s">
        <v>214</v>
      </c>
      <c r="AI73" s="271" t="s">
        <v>214</v>
      </c>
      <c r="AJ73" s="271" t="s">
        <v>214</v>
      </c>
      <c r="AK73" s="271" t="s">
        <v>214</v>
      </c>
      <c r="AL73" s="271" t="s">
        <v>214</v>
      </c>
      <c r="AM73" s="271" t="s">
        <v>214</v>
      </c>
      <c r="AN73" s="271" t="str">
        <f t="shared" si="345"/>
        <v/>
      </c>
      <c r="AO73" s="271" t="str">
        <f>IF(OR(ISNA(MATCH(MID(AN73,1,3)*1,UomConversion!$D$8:$D$500,0)),M73=""),"",IF(AT73="","",AT73))</f>
        <v/>
      </c>
      <c r="AP73" s="271" t="str">
        <f>IF(AND(AQ73&gt;0,COUNTIFS(UomConversion!$D$8:$D$500,MID(AN73,1,3)*1,UomConversion!$J$8:$J$500,1)&gt;1),TEXT(AQ73,"000")&amp;"."&amp;VLOOKUP(AQ73,uom_list,5,FALSE),"")</f>
        <v/>
      </c>
      <c r="AQ73" s="271" t="str">
        <f t="shared" ref="AQ73:AQ87" si="357">IF(AND(AU73&gt;0,M73&lt;&gt;""),AU73,"")</f>
        <v/>
      </c>
      <c r="AR73" s="271" t="str">
        <f t="shared" ref="AR73:AR87" si="358">IF(M73="","",IF(AA73&gt;0,AB73/AA73,""))</f>
        <v/>
      </c>
      <c r="AS73" s="271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1" t="str">
        <f t="shared" si="346"/>
        <v/>
      </c>
      <c r="AU73" s="271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1" t="str">
        <f t="shared" ref="AV73" si="359">IF(M73="","",IF(invoice_location_id=1,BA73,IF(invoice_location_id=2,BB73,0)))</f>
        <v/>
      </c>
      <c r="AW73" s="271" t="s">
        <v>214</v>
      </c>
      <c r="AX73" s="271" t="str">
        <f t="shared" ref="AX73:AX87" si="360">IF(M73="","",IF((N73+O73)*(AB73/AA73)&gt;0,(N73+O73)*(AB73/AA73),0))</f>
        <v/>
      </c>
      <c r="AY73" s="271" t="str">
        <f>IF(M73="","",SUMIFS($AX$8:AX73,$I$8:I73,I73))</f>
        <v/>
      </c>
      <c r="AZ73" s="271" t="str">
        <f t="shared" ref="AZ73:AZ87" si="361">IF(M73="","",AL73-AY73)</f>
        <v/>
      </c>
      <c r="BA73" s="271" t="s">
        <v>214</v>
      </c>
      <c r="BB73" s="271" t="s">
        <v>214</v>
      </c>
    </row>
    <row r="74" spans="1:54" ht="27" customHeight="1">
      <c r="A74" s="583"/>
      <c r="B74" s="948"/>
      <c r="C74" s="648"/>
      <c r="D74" s="648"/>
      <c r="E74" s="648"/>
      <c r="F74" s="963"/>
      <c r="G74" s="212"/>
      <c r="H74" s="628"/>
      <c r="I74" s="378" t="str">
        <f t="shared" si="348"/>
        <v/>
      </c>
      <c r="J74" s="907" t="str">
        <f t="shared" si="131"/>
        <v/>
      </c>
      <c r="K74" s="910" t="str">
        <f t="shared" si="337"/>
        <v/>
      </c>
      <c r="L74" s="911"/>
      <c r="M74" s="908"/>
      <c r="N74" s="906"/>
      <c r="O74" s="906"/>
      <c r="P74" s="905"/>
      <c r="Q74" s="904"/>
      <c r="R74" s="912"/>
      <c r="S74" s="890" t="str">
        <f t="shared" ref="S74" si="362">IF(M74="","",invoice_currency_symbol)</f>
        <v/>
      </c>
      <c r="T74" s="914"/>
      <c r="U74" s="915" t="str">
        <f t="shared" si="350"/>
        <v/>
      </c>
      <c r="V74" s="918" t="str">
        <f t="shared" ref="V74" si="363">IF(W74=0,"",invoice_currency_symbol)</f>
        <v/>
      </c>
      <c r="W74" s="919"/>
      <c r="X74" s="920" t="str">
        <f t="shared" ref="X74" si="364">IF(M74="","",invoice_currency_symbol)</f>
        <v/>
      </c>
      <c r="Y74" s="913" t="str">
        <f t="shared" si="353"/>
        <v/>
      </c>
      <c r="Z74" s="916"/>
      <c r="AA74" s="271" t="str" cm="1">
        <f t="array" ref="AA74">IF(M74="","",IF(P74=AN74,1,Slookup(MID(AN74,1,3)*1,UomConversion!$D$8:$J$500,5,UomConversion!$E$8:$E$500,MID(P74,1,3)*1,UomConversion!$J$8:$J$500,1)))</f>
        <v/>
      </c>
      <c r="AB74" s="271" t="str">
        <f t="shared" si="341"/>
        <v/>
      </c>
      <c r="AC74" s="271" t="str">
        <f t="shared" si="354"/>
        <v/>
      </c>
      <c r="AD74" s="271" t="str">
        <f t="shared" si="355"/>
        <v/>
      </c>
      <c r="AE74" s="271" t="str">
        <f t="shared" si="342"/>
        <v/>
      </c>
      <c r="AF74" s="271" t="str">
        <f t="shared" ref="AF74" si="365">IFERROR(IF(M74="","",IF(invoice_price_type_id=1,VLOOKUP(I74,product_list,13,FALSE),IF(invoice_price_type_id=2,VLOOKUP(I74,product_list,14,FALSE),IF(invoice_price_type_id=3,VLOOKUP(I74,product_list,15,FALSE),IF(invoice_price_type_id=4,VLOOKUP(I74,product_list,16,FALSE),IF(invoice_price_type_id=5,VLOOKUP(I74,product_list,12,FALSE),"")))))),"")</f>
        <v/>
      </c>
      <c r="AG74" s="271" t="str">
        <f t="shared" si="344"/>
        <v/>
      </c>
      <c r="AH74" s="271" t="s">
        <v>214</v>
      </c>
      <c r="AI74" s="271" t="s">
        <v>214</v>
      </c>
      <c r="AJ74" s="271" t="s">
        <v>214</v>
      </c>
      <c r="AK74" s="271" t="s">
        <v>214</v>
      </c>
      <c r="AL74" s="271" t="s">
        <v>214</v>
      </c>
      <c r="AM74" s="271" t="s">
        <v>214</v>
      </c>
      <c r="AN74" s="271" t="str">
        <f t="shared" si="345"/>
        <v/>
      </c>
      <c r="AO74" s="271" t="str">
        <f>IF(OR(ISNA(MATCH(MID(AN74,1,3)*1,UomConversion!$D$8:$D$500,0)),M74=""),"",IF(AT74="","",AT74))</f>
        <v/>
      </c>
      <c r="AP74" s="271" t="str">
        <f>IF(AND(AQ74&gt;0,COUNTIFS(UomConversion!$D$8:$D$500,MID(AN74,1,3)*1,UomConversion!$J$8:$J$500,1)&gt;1),TEXT(AQ74,"000")&amp;"."&amp;VLOOKUP(AQ74,uom_list,5,FALSE),"")</f>
        <v/>
      </c>
      <c r="AQ74" s="271" t="str">
        <f t="shared" si="357"/>
        <v/>
      </c>
      <c r="AR74" s="271" t="str">
        <f t="shared" si="358"/>
        <v/>
      </c>
      <c r="AS74" s="271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1" t="str">
        <f t="shared" si="346"/>
        <v/>
      </c>
      <c r="AU74" s="271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1" t="str">
        <f t="shared" ref="AV74" si="366">IF(M74="","",IF(invoice_location_id=1,BA74,IF(invoice_location_id=2,BB74,0)))</f>
        <v/>
      </c>
      <c r="AW74" s="271" t="s">
        <v>214</v>
      </c>
      <c r="AX74" s="271" t="str">
        <f t="shared" si="360"/>
        <v/>
      </c>
      <c r="AY74" s="271" t="str">
        <f>IF(M74="","",SUMIFS($AX$8:AX74,$I$8:I74,I74))</f>
        <v/>
      </c>
      <c r="AZ74" s="271" t="str">
        <f t="shared" si="361"/>
        <v/>
      </c>
      <c r="BA74" s="271" t="s">
        <v>214</v>
      </c>
      <c r="BB74" s="271" t="s">
        <v>214</v>
      </c>
    </row>
    <row r="75" spans="1:54" ht="27" customHeight="1">
      <c r="A75" s="583"/>
      <c r="B75" s="948"/>
      <c r="C75" s="648"/>
      <c r="D75" s="648"/>
      <c r="E75" s="648"/>
      <c r="F75" s="963"/>
      <c r="G75" s="212"/>
      <c r="H75" s="628"/>
      <c r="I75" s="378" t="str">
        <f t="shared" si="348"/>
        <v/>
      </c>
      <c r="J75" s="907" t="str">
        <f t="shared" si="131"/>
        <v/>
      </c>
      <c r="K75" s="910" t="str">
        <f t="shared" si="337"/>
        <v/>
      </c>
      <c r="L75" s="911"/>
      <c r="M75" s="908"/>
      <c r="N75" s="906"/>
      <c r="O75" s="906"/>
      <c r="P75" s="905"/>
      <c r="Q75" s="904"/>
      <c r="R75" s="912"/>
      <c r="S75" s="890" t="str">
        <f t="shared" ref="S75" si="367">IF(M75="","",invoice_currency_symbol)</f>
        <v/>
      </c>
      <c r="T75" s="914"/>
      <c r="U75" s="915" t="str">
        <f t="shared" si="350"/>
        <v/>
      </c>
      <c r="V75" s="918" t="str">
        <f t="shared" ref="V75" si="368">IF(W75=0,"",invoice_currency_symbol)</f>
        <v/>
      </c>
      <c r="W75" s="919"/>
      <c r="X75" s="920" t="str">
        <f t="shared" ref="X75" si="369">IF(M75="","",invoice_currency_symbol)</f>
        <v/>
      </c>
      <c r="Y75" s="913" t="str">
        <f t="shared" si="353"/>
        <v/>
      </c>
      <c r="Z75" s="916"/>
      <c r="AA75" s="271" t="str" cm="1">
        <f t="array" ref="AA75">IF(M75="","",IF(P75=AN75,1,Slookup(MID(AN75,1,3)*1,UomConversion!$D$8:$J$500,5,UomConversion!$E$8:$E$500,MID(P75,1,3)*1,UomConversion!$J$8:$J$500,1)))</f>
        <v/>
      </c>
      <c r="AB75" s="271" t="str">
        <f t="shared" si="341"/>
        <v/>
      </c>
      <c r="AC75" s="271" t="str">
        <f t="shared" si="354"/>
        <v/>
      </c>
      <c r="AD75" s="271" t="str">
        <f t="shared" si="355"/>
        <v/>
      </c>
      <c r="AE75" s="271" t="str">
        <f t="shared" si="342"/>
        <v/>
      </c>
      <c r="AF75" s="271" t="str">
        <f t="shared" ref="AF75" si="370">IFERROR(IF(M75="","",IF(invoice_price_type_id=1,VLOOKUP(I75,product_list,13,FALSE),IF(invoice_price_type_id=2,VLOOKUP(I75,product_list,14,FALSE),IF(invoice_price_type_id=3,VLOOKUP(I75,product_list,15,FALSE),IF(invoice_price_type_id=4,VLOOKUP(I75,product_list,16,FALSE),IF(invoice_price_type_id=5,VLOOKUP(I75,product_list,12,FALSE),"")))))),"")</f>
        <v/>
      </c>
      <c r="AG75" s="271" t="str">
        <f t="shared" si="344"/>
        <v/>
      </c>
      <c r="AH75" s="271" t="s">
        <v>214</v>
      </c>
      <c r="AI75" s="271" t="s">
        <v>214</v>
      </c>
      <c r="AJ75" s="271" t="s">
        <v>214</v>
      </c>
      <c r="AK75" s="271" t="s">
        <v>214</v>
      </c>
      <c r="AL75" s="271" t="s">
        <v>214</v>
      </c>
      <c r="AM75" s="271" t="s">
        <v>214</v>
      </c>
      <c r="AN75" s="271" t="str">
        <f t="shared" si="345"/>
        <v/>
      </c>
      <c r="AO75" s="271" t="str">
        <f>IF(OR(ISNA(MATCH(MID(AN75,1,3)*1,UomConversion!$D$8:$D$500,0)),M75=""),"",IF(AT75="","",AT75))</f>
        <v/>
      </c>
      <c r="AP75" s="271" t="str">
        <f>IF(AND(AQ75&gt;0,COUNTIFS(UomConversion!$D$8:$D$500,MID(AN75,1,3)*1,UomConversion!$J$8:$J$500,1)&gt;1),TEXT(AQ75,"000")&amp;"."&amp;VLOOKUP(AQ75,uom_list,5,FALSE),"")</f>
        <v/>
      </c>
      <c r="AQ75" s="271" t="str">
        <f t="shared" si="357"/>
        <v/>
      </c>
      <c r="AR75" s="271" t="str">
        <f t="shared" si="358"/>
        <v/>
      </c>
      <c r="AS75" s="271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1" t="str">
        <f t="shared" si="346"/>
        <v/>
      </c>
      <c r="AU75" s="271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1" t="str">
        <f t="shared" ref="AV75" si="371">IF(M75="","",IF(invoice_location_id=1,BA75,IF(invoice_location_id=2,BB75,0)))</f>
        <v/>
      </c>
      <c r="AW75" s="271" t="s">
        <v>214</v>
      </c>
      <c r="AX75" s="271" t="str">
        <f t="shared" si="360"/>
        <v/>
      </c>
      <c r="AY75" s="271" t="str">
        <f>IF(M75="","",SUMIFS($AX$8:AX75,$I$8:I75,I75))</f>
        <v/>
      </c>
      <c r="AZ75" s="271" t="str">
        <f t="shared" si="361"/>
        <v/>
      </c>
      <c r="BA75" s="271" t="s">
        <v>214</v>
      </c>
      <c r="BB75" s="271" t="s">
        <v>214</v>
      </c>
    </row>
    <row r="76" spans="1:54" ht="27" customHeight="1">
      <c r="A76" s="583"/>
      <c r="B76" s="948"/>
      <c r="C76" s="648"/>
      <c r="D76" s="648"/>
      <c r="E76" s="648"/>
      <c r="F76" s="963"/>
      <c r="G76" s="212"/>
      <c r="H76" s="628"/>
      <c r="I76" s="378" t="str">
        <f t="shared" si="348"/>
        <v/>
      </c>
      <c r="J76" s="907" t="str">
        <f t="shared" si="131"/>
        <v/>
      </c>
      <c r="K76" s="910" t="str">
        <f t="shared" si="337"/>
        <v/>
      </c>
      <c r="L76" s="911"/>
      <c r="M76" s="908"/>
      <c r="N76" s="906"/>
      <c r="O76" s="906"/>
      <c r="P76" s="905"/>
      <c r="Q76" s="904"/>
      <c r="R76" s="912"/>
      <c r="S76" s="890" t="str">
        <f t="shared" ref="S76" si="372">IF(M76="","",invoice_currency_symbol)</f>
        <v/>
      </c>
      <c r="T76" s="914"/>
      <c r="U76" s="915" t="str">
        <f t="shared" si="350"/>
        <v/>
      </c>
      <c r="V76" s="918" t="str">
        <f t="shared" ref="V76" si="373">IF(W76=0,"",invoice_currency_symbol)</f>
        <v/>
      </c>
      <c r="W76" s="919"/>
      <c r="X76" s="920" t="str">
        <f t="shared" ref="X76" si="374">IF(M76="","",invoice_currency_symbol)</f>
        <v/>
      </c>
      <c r="Y76" s="913" t="str">
        <f t="shared" si="353"/>
        <v/>
      </c>
      <c r="Z76" s="916"/>
      <c r="AA76" s="271" t="str" cm="1">
        <f t="array" ref="AA76">IF(M76="","",IF(P76=AN76,1,Slookup(MID(AN76,1,3)*1,UomConversion!$D$8:$J$500,5,UomConversion!$E$8:$E$500,MID(P76,1,3)*1,UomConversion!$J$8:$J$500,1)))</f>
        <v/>
      </c>
      <c r="AB76" s="271" t="str">
        <f t="shared" si="341"/>
        <v/>
      </c>
      <c r="AC76" s="271" t="str">
        <f t="shared" si="354"/>
        <v/>
      </c>
      <c r="AD76" s="271" t="str">
        <f t="shared" si="355"/>
        <v/>
      </c>
      <c r="AE76" s="271" t="str">
        <f t="shared" si="342"/>
        <v/>
      </c>
      <c r="AF76" s="271" t="str">
        <f t="shared" ref="AF76" si="375">IFERROR(IF(M76="","",IF(invoice_price_type_id=1,VLOOKUP(I76,product_list,13,FALSE),IF(invoice_price_type_id=2,VLOOKUP(I76,product_list,14,FALSE),IF(invoice_price_type_id=3,VLOOKUP(I76,product_list,15,FALSE),IF(invoice_price_type_id=4,VLOOKUP(I76,product_list,16,FALSE),IF(invoice_price_type_id=5,VLOOKUP(I76,product_list,12,FALSE),"")))))),"")</f>
        <v/>
      </c>
      <c r="AG76" s="271" t="str">
        <f t="shared" si="344"/>
        <v/>
      </c>
      <c r="AH76" s="271" t="s">
        <v>214</v>
      </c>
      <c r="AI76" s="271" t="s">
        <v>214</v>
      </c>
      <c r="AJ76" s="271" t="s">
        <v>214</v>
      </c>
      <c r="AK76" s="271" t="s">
        <v>214</v>
      </c>
      <c r="AL76" s="271" t="s">
        <v>214</v>
      </c>
      <c r="AM76" s="271" t="s">
        <v>214</v>
      </c>
      <c r="AN76" s="271" t="str">
        <f t="shared" si="345"/>
        <v/>
      </c>
      <c r="AO76" s="271" t="str">
        <f>IF(OR(ISNA(MATCH(MID(AN76,1,3)*1,UomConversion!$D$8:$D$500,0)),M76=""),"",IF(AT76="","",AT76))</f>
        <v/>
      </c>
      <c r="AP76" s="271" t="str">
        <f>IF(AND(AQ76&gt;0,COUNTIFS(UomConversion!$D$8:$D$500,MID(AN76,1,3)*1,UomConversion!$J$8:$J$500,1)&gt;1),TEXT(AQ76,"000")&amp;"."&amp;VLOOKUP(AQ76,uom_list,5,FALSE),"")</f>
        <v/>
      </c>
      <c r="AQ76" s="271" t="str">
        <f t="shared" si="357"/>
        <v/>
      </c>
      <c r="AR76" s="271" t="str">
        <f t="shared" si="358"/>
        <v/>
      </c>
      <c r="AS76" s="271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1" t="str">
        <f t="shared" si="346"/>
        <v/>
      </c>
      <c r="AU76" s="271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1" t="str">
        <f t="shared" ref="AV76" si="376">IF(M76="","",IF(invoice_location_id=1,BA76,IF(invoice_location_id=2,BB76,0)))</f>
        <v/>
      </c>
      <c r="AW76" s="271" t="s">
        <v>214</v>
      </c>
      <c r="AX76" s="271" t="str">
        <f t="shared" si="360"/>
        <v/>
      </c>
      <c r="AY76" s="271" t="str">
        <f>IF(M76="","",SUMIFS($AX$8:AX76,$I$8:I76,I76))</f>
        <v/>
      </c>
      <c r="AZ76" s="271" t="str">
        <f t="shared" si="361"/>
        <v/>
      </c>
      <c r="BA76" s="271" t="s">
        <v>214</v>
      </c>
      <c r="BB76" s="271" t="s">
        <v>214</v>
      </c>
    </row>
    <row r="77" spans="1:54" ht="27" customHeight="1">
      <c r="A77" s="583"/>
      <c r="B77" s="948"/>
      <c r="C77" s="648"/>
      <c r="D77" s="648"/>
      <c r="E77" s="648"/>
      <c r="F77" s="963"/>
      <c r="G77" s="212"/>
      <c r="H77" s="628"/>
      <c r="I77" s="378" t="str">
        <f t="shared" si="348"/>
        <v/>
      </c>
      <c r="J77" s="907" t="str">
        <f t="shared" si="131"/>
        <v/>
      </c>
      <c r="K77" s="910" t="str">
        <f t="shared" si="337"/>
        <v/>
      </c>
      <c r="L77" s="911"/>
      <c r="M77" s="908"/>
      <c r="N77" s="906"/>
      <c r="O77" s="906"/>
      <c r="P77" s="905"/>
      <c r="Q77" s="904"/>
      <c r="R77" s="912"/>
      <c r="S77" s="890" t="str">
        <f t="shared" ref="S77" si="377">IF(M77="","",invoice_currency_symbol)</f>
        <v/>
      </c>
      <c r="T77" s="914"/>
      <c r="U77" s="915" t="str">
        <f t="shared" si="350"/>
        <v/>
      </c>
      <c r="V77" s="918" t="str">
        <f t="shared" ref="V77" si="378">IF(W77=0,"",invoice_currency_symbol)</f>
        <v/>
      </c>
      <c r="W77" s="919"/>
      <c r="X77" s="920" t="str">
        <f t="shared" ref="X77" si="379">IF(M77="","",invoice_currency_symbol)</f>
        <v/>
      </c>
      <c r="Y77" s="913" t="str">
        <f t="shared" si="353"/>
        <v/>
      </c>
      <c r="Z77" s="916"/>
      <c r="AA77" s="271" t="str" cm="1">
        <f t="array" ref="AA77">IF(M77="","",IF(P77=AN77,1,Slookup(MID(AN77,1,3)*1,UomConversion!$D$8:$J$500,5,UomConversion!$E$8:$E$500,MID(P77,1,3)*1,UomConversion!$J$8:$J$500,1)))</f>
        <v/>
      </c>
      <c r="AB77" s="271" t="str">
        <f t="shared" si="341"/>
        <v/>
      </c>
      <c r="AC77" s="271" t="str">
        <f t="shared" si="354"/>
        <v/>
      </c>
      <c r="AD77" s="271" t="str">
        <f t="shared" si="355"/>
        <v/>
      </c>
      <c r="AE77" s="271" t="str">
        <f t="shared" si="342"/>
        <v/>
      </c>
      <c r="AF77" s="271" t="str">
        <f t="shared" ref="AF77" si="380">IFERROR(IF(M77="","",IF(invoice_price_type_id=1,VLOOKUP(I77,product_list,13,FALSE),IF(invoice_price_type_id=2,VLOOKUP(I77,product_list,14,FALSE),IF(invoice_price_type_id=3,VLOOKUP(I77,product_list,15,FALSE),IF(invoice_price_type_id=4,VLOOKUP(I77,product_list,16,FALSE),IF(invoice_price_type_id=5,VLOOKUP(I77,product_list,12,FALSE),"")))))),"")</f>
        <v/>
      </c>
      <c r="AG77" s="271" t="str">
        <f t="shared" si="344"/>
        <v/>
      </c>
      <c r="AH77" s="271" t="s">
        <v>214</v>
      </c>
      <c r="AI77" s="271" t="s">
        <v>214</v>
      </c>
      <c r="AJ77" s="271" t="s">
        <v>214</v>
      </c>
      <c r="AK77" s="271" t="s">
        <v>214</v>
      </c>
      <c r="AL77" s="271" t="s">
        <v>214</v>
      </c>
      <c r="AM77" s="271" t="s">
        <v>214</v>
      </c>
      <c r="AN77" s="271" t="str">
        <f t="shared" si="345"/>
        <v/>
      </c>
      <c r="AO77" s="271" t="str">
        <f>IF(OR(ISNA(MATCH(MID(AN77,1,3)*1,UomConversion!$D$8:$D$500,0)),M77=""),"",IF(AT77="","",AT77))</f>
        <v/>
      </c>
      <c r="AP77" s="271" t="str">
        <f>IF(AND(AQ77&gt;0,COUNTIFS(UomConversion!$D$8:$D$500,MID(AN77,1,3)*1,UomConversion!$J$8:$J$500,1)&gt;1),TEXT(AQ77,"000")&amp;"."&amp;VLOOKUP(AQ77,uom_list,5,FALSE),"")</f>
        <v/>
      </c>
      <c r="AQ77" s="271" t="str">
        <f t="shared" si="357"/>
        <v/>
      </c>
      <c r="AR77" s="271" t="str">
        <f t="shared" si="358"/>
        <v/>
      </c>
      <c r="AS77" s="271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1" t="str">
        <f t="shared" si="346"/>
        <v/>
      </c>
      <c r="AU77" s="271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1" t="str">
        <f t="shared" ref="AV77" si="381">IF(M77="","",IF(invoice_location_id=1,BA77,IF(invoice_location_id=2,BB77,0)))</f>
        <v/>
      </c>
      <c r="AW77" s="271" t="s">
        <v>214</v>
      </c>
      <c r="AX77" s="271" t="str">
        <f t="shared" si="360"/>
        <v/>
      </c>
      <c r="AY77" s="271" t="str">
        <f>IF(M77="","",SUMIFS($AX$8:AX77,$I$8:I77,I77))</f>
        <v/>
      </c>
      <c r="AZ77" s="271" t="str">
        <f t="shared" si="361"/>
        <v/>
      </c>
      <c r="BA77" s="271" t="s">
        <v>214</v>
      </c>
      <c r="BB77" s="271" t="s">
        <v>214</v>
      </c>
    </row>
    <row r="78" spans="1:54" ht="27" customHeight="1">
      <c r="A78" s="583"/>
      <c r="B78" s="948"/>
      <c r="C78" s="648"/>
      <c r="D78" s="648"/>
      <c r="E78" s="648"/>
      <c r="F78" s="963"/>
      <c r="G78" s="212"/>
      <c r="H78" s="628"/>
      <c r="I78" s="378" t="str">
        <f t="shared" si="348"/>
        <v/>
      </c>
      <c r="J78" s="907" t="str">
        <f t="shared" si="131"/>
        <v/>
      </c>
      <c r="K78" s="910" t="str">
        <f t="shared" si="337"/>
        <v/>
      </c>
      <c r="L78" s="911"/>
      <c r="M78" s="908"/>
      <c r="N78" s="906"/>
      <c r="O78" s="906"/>
      <c r="P78" s="905"/>
      <c r="Q78" s="904"/>
      <c r="R78" s="912"/>
      <c r="S78" s="890" t="str">
        <f t="shared" ref="S78" si="382">IF(M78="","",invoice_currency_symbol)</f>
        <v/>
      </c>
      <c r="T78" s="914"/>
      <c r="U78" s="915" t="str">
        <f t="shared" si="350"/>
        <v/>
      </c>
      <c r="V78" s="918" t="str">
        <f t="shared" ref="V78" si="383">IF(W78=0,"",invoice_currency_symbol)</f>
        <v/>
      </c>
      <c r="W78" s="919"/>
      <c r="X78" s="920" t="str">
        <f t="shared" ref="X78" si="384">IF(M78="","",invoice_currency_symbol)</f>
        <v/>
      </c>
      <c r="Y78" s="913" t="str">
        <f t="shared" si="353"/>
        <v/>
      </c>
      <c r="Z78" s="916"/>
      <c r="AA78" s="271" t="str" cm="1">
        <f t="array" ref="AA78">IF(M78="","",IF(P78=AN78,1,Slookup(MID(AN78,1,3)*1,UomConversion!$D$8:$J$500,5,UomConversion!$E$8:$E$500,MID(P78,1,3)*1,UomConversion!$J$8:$J$500,1)))</f>
        <v/>
      </c>
      <c r="AB78" s="271" t="str">
        <f t="shared" si="341"/>
        <v/>
      </c>
      <c r="AC78" s="271" t="str">
        <f t="shared" si="354"/>
        <v/>
      </c>
      <c r="AD78" s="271" t="str">
        <f t="shared" si="355"/>
        <v/>
      </c>
      <c r="AE78" s="271" t="str">
        <f t="shared" si="342"/>
        <v/>
      </c>
      <c r="AF78" s="271" t="str">
        <f t="shared" ref="AF78" si="385">IFERROR(IF(M78="","",IF(invoice_price_type_id=1,VLOOKUP(I78,product_list,13,FALSE),IF(invoice_price_type_id=2,VLOOKUP(I78,product_list,14,FALSE),IF(invoice_price_type_id=3,VLOOKUP(I78,product_list,15,FALSE),IF(invoice_price_type_id=4,VLOOKUP(I78,product_list,16,FALSE),IF(invoice_price_type_id=5,VLOOKUP(I78,product_list,12,FALSE),"")))))),"")</f>
        <v/>
      </c>
      <c r="AG78" s="271" t="str">
        <f t="shared" si="344"/>
        <v/>
      </c>
      <c r="AH78" s="271" t="s">
        <v>214</v>
      </c>
      <c r="AI78" s="271" t="s">
        <v>214</v>
      </c>
      <c r="AJ78" s="271" t="s">
        <v>214</v>
      </c>
      <c r="AK78" s="271" t="s">
        <v>214</v>
      </c>
      <c r="AL78" s="271" t="s">
        <v>214</v>
      </c>
      <c r="AM78" s="271" t="s">
        <v>214</v>
      </c>
      <c r="AN78" s="271" t="str">
        <f t="shared" si="345"/>
        <v/>
      </c>
      <c r="AO78" s="271" t="str">
        <f>IF(OR(ISNA(MATCH(MID(AN78,1,3)*1,UomConversion!$D$8:$D$500,0)),M78=""),"",IF(AT78="","",AT78))</f>
        <v/>
      </c>
      <c r="AP78" s="271" t="str">
        <f>IF(AND(AQ78&gt;0,COUNTIFS(UomConversion!$D$8:$D$500,MID(AN78,1,3)*1,UomConversion!$J$8:$J$500,1)&gt;1),TEXT(AQ78,"000")&amp;"."&amp;VLOOKUP(AQ78,uom_list,5,FALSE),"")</f>
        <v/>
      </c>
      <c r="AQ78" s="271" t="str">
        <f t="shared" si="357"/>
        <v/>
      </c>
      <c r="AR78" s="271" t="str">
        <f t="shared" si="358"/>
        <v/>
      </c>
      <c r="AS78" s="271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1" t="str">
        <f t="shared" si="346"/>
        <v/>
      </c>
      <c r="AU78" s="271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1" t="str">
        <f t="shared" ref="AV78" si="386">IF(M78="","",IF(invoice_location_id=1,BA78,IF(invoice_location_id=2,BB78,0)))</f>
        <v/>
      </c>
      <c r="AW78" s="271" t="s">
        <v>214</v>
      </c>
      <c r="AX78" s="271" t="str">
        <f t="shared" si="360"/>
        <v/>
      </c>
      <c r="AY78" s="271" t="str">
        <f>IF(M78="","",SUMIFS($AX$8:AX78,$I$8:I78,I78))</f>
        <v/>
      </c>
      <c r="AZ78" s="271" t="str">
        <f t="shared" si="361"/>
        <v/>
      </c>
      <c r="BA78" s="271" t="s">
        <v>214</v>
      </c>
      <c r="BB78" s="271" t="s">
        <v>214</v>
      </c>
    </row>
    <row r="79" spans="1:54" ht="27" customHeight="1">
      <c r="A79" s="583"/>
      <c r="B79" s="948"/>
      <c r="C79" s="648"/>
      <c r="D79" s="648"/>
      <c r="E79" s="648"/>
      <c r="F79" s="963"/>
      <c r="G79" s="212"/>
      <c r="H79" s="628"/>
      <c r="I79" s="378" t="str">
        <f t="shared" si="348"/>
        <v/>
      </c>
      <c r="J79" s="907" t="str">
        <f t="shared" si="131"/>
        <v/>
      </c>
      <c r="K79" s="910" t="str">
        <f t="shared" si="337"/>
        <v/>
      </c>
      <c r="L79" s="911"/>
      <c r="M79" s="908"/>
      <c r="N79" s="906"/>
      <c r="O79" s="906"/>
      <c r="P79" s="905"/>
      <c r="Q79" s="904"/>
      <c r="R79" s="912"/>
      <c r="S79" s="890" t="str">
        <f t="shared" ref="S79" si="387">IF(M79="","",invoice_currency_symbol)</f>
        <v/>
      </c>
      <c r="T79" s="914"/>
      <c r="U79" s="915" t="str">
        <f t="shared" si="350"/>
        <v/>
      </c>
      <c r="V79" s="918" t="str">
        <f t="shared" ref="V79" si="388">IF(W79=0,"",invoice_currency_symbol)</f>
        <v/>
      </c>
      <c r="W79" s="919"/>
      <c r="X79" s="920" t="str">
        <f t="shared" ref="X79" si="389">IF(M79="","",invoice_currency_symbol)</f>
        <v/>
      </c>
      <c r="Y79" s="913" t="str">
        <f t="shared" si="353"/>
        <v/>
      </c>
      <c r="Z79" s="916"/>
      <c r="AA79" s="271" t="str" cm="1">
        <f t="array" ref="AA79">IF(M79="","",IF(P79=AN79,1,Slookup(MID(AN79,1,3)*1,UomConversion!$D$8:$J$500,5,UomConversion!$E$8:$E$500,MID(P79,1,3)*1,UomConversion!$J$8:$J$500,1)))</f>
        <v/>
      </c>
      <c r="AB79" s="271" t="str">
        <f t="shared" si="341"/>
        <v/>
      </c>
      <c r="AC79" s="271" t="str">
        <f t="shared" si="354"/>
        <v/>
      </c>
      <c r="AD79" s="271" t="str">
        <f t="shared" si="355"/>
        <v/>
      </c>
      <c r="AE79" s="271" t="str">
        <f t="shared" si="342"/>
        <v/>
      </c>
      <c r="AF79" s="271" t="str">
        <f t="shared" ref="AF79" si="390">IFERROR(IF(M79="","",IF(invoice_price_type_id=1,VLOOKUP(I79,product_list,13,FALSE),IF(invoice_price_type_id=2,VLOOKUP(I79,product_list,14,FALSE),IF(invoice_price_type_id=3,VLOOKUP(I79,product_list,15,FALSE),IF(invoice_price_type_id=4,VLOOKUP(I79,product_list,16,FALSE),IF(invoice_price_type_id=5,VLOOKUP(I79,product_list,12,FALSE),"")))))),"")</f>
        <v/>
      </c>
      <c r="AG79" s="271" t="str">
        <f t="shared" si="344"/>
        <v/>
      </c>
      <c r="AH79" s="271" t="s">
        <v>214</v>
      </c>
      <c r="AI79" s="271" t="s">
        <v>214</v>
      </c>
      <c r="AJ79" s="271" t="s">
        <v>214</v>
      </c>
      <c r="AK79" s="271" t="s">
        <v>214</v>
      </c>
      <c r="AL79" s="271" t="s">
        <v>214</v>
      </c>
      <c r="AM79" s="271" t="s">
        <v>214</v>
      </c>
      <c r="AN79" s="271" t="str">
        <f t="shared" si="345"/>
        <v/>
      </c>
      <c r="AO79" s="271" t="str">
        <f>IF(OR(ISNA(MATCH(MID(AN79,1,3)*1,UomConversion!$D$8:$D$500,0)),M79=""),"",IF(AT79="","",AT79))</f>
        <v/>
      </c>
      <c r="AP79" s="271" t="str">
        <f>IF(AND(AQ79&gt;0,COUNTIFS(UomConversion!$D$8:$D$500,MID(AN79,1,3)*1,UomConversion!$J$8:$J$500,1)&gt;1),TEXT(AQ79,"000")&amp;"."&amp;VLOOKUP(AQ79,uom_list,5,FALSE),"")</f>
        <v/>
      </c>
      <c r="AQ79" s="271" t="str">
        <f t="shared" si="357"/>
        <v/>
      </c>
      <c r="AR79" s="271" t="str">
        <f t="shared" si="358"/>
        <v/>
      </c>
      <c r="AS79" s="271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1" t="str">
        <f t="shared" si="346"/>
        <v/>
      </c>
      <c r="AU79" s="271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1" t="str">
        <f t="shared" ref="AV79" si="391">IF(M79="","",IF(invoice_location_id=1,BA79,IF(invoice_location_id=2,BB79,0)))</f>
        <v/>
      </c>
      <c r="AW79" s="271" t="s">
        <v>214</v>
      </c>
      <c r="AX79" s="271" t="str">
        <f t="shared" si="360"/>
        <v/>
      </c>
      <c r="AY79" s="271" t="str">
        <f>IF(M79="","",SUMIFS($AX$8:AX79,$I$8:I79,I79))</f>
        <v/>
      </c>
      <c r="AZ79" s="271" t="str">
        <f t="shared" si="361"/>
        <v/>
      </c>
      <c r="BA79" s="271" t="s">
        <v>214</v>
      </c>
      <c r="BB79" s="271" t="s">
        <v>214</v>
      </c>
    </row>
    <row r="80" spans="1:54" ht="27" customHeight="1">
      <c r="A80" s="583"/>
      <c r="B80" s="948"/>
      <c r="C80" s="648"/>
      <c r="D80" s="648"/>
      <c r="E80" s="648"/>
      <c r="F80" s="963"/>
      <c r="G80" s="212"/>
      <c r="H80" s="628"/>
      <c r="I80" s="378" t="str">
        <f t="shared" si="348"/>
        <v/>
      </c>
      <c r="J80" s="907" t="str">
        <f t="shared" si="131"/>
        <v/>
      </c>
      <c r="K80" s="910" t="str">
        <f t="shared" si="337"/>
        <v/>
      </c>
      <c r="L80" s="911"/>
      <c r="M80" s="908"/>
      <c r="N80" s="906"/>
      <c r="O80" s="906"/>
      <c r="P80" s="905"/>
      <c r="Q80" s="904"/>
      <c r="R80" s="912"/>
      <c r="S80" s="890" t="str">
        <f t="shared" ref="S80" si="392">IF(M80="","",invoice_currency_symbol)</f>
        <v/>
      </c>
      <c r="T80" s="914"/>
      <c r="U80" s="915" t="str">
        <f t="shared" si="350"/>
        <v/>
      </c>
      <c r="V80" s="918" t="str">
        <f t="shared" ref="V80" si="393">IF(W80=0,"",invoice_currency_symbol)</f>
        <v/>
      </c>
      <c r="W80" s="919"/>
      <c r="X80" s="920" t="str">
        <f t="shared" ref="X80" si="394">IF(M80="","",invoice_currency_symbol)</f>
        <v/>
      </c>
      <c r="Y80" s="913" t="str">
        <f t="shared" si="353"/>
        <v/>
      </c>
      <c r="Z80" s="916"/>
      <c r="AA80" s="271" t="str" cm="1">
        <f t="array" ref="AA80">IF(M80="","",IF(P80=AN80,1,Slookup(MID(AN80,1,3)*1,UomConversion!$D$8:$J$500,5,UomConversion!$E$8:$E$500,MID(P80,1,3)*1,UomConversion!$J$8:$J$500,1)))</f>
        <v/>
      </c>
      <c r="AB80" s="271" t="str">
        <f t="shared" si="341"/>
        <v/>
      </c>
      <c r="AC80" s="271" t="str">
        <f t="shared" si="354"/>
        <v/>
      </c>
      <c r="AD80" s="271" t="str">
        <f t="shared" si="355"/>
        <v/>
      </c>
      <c r="AE80" s="271" t="str">
        <f t="shared" si="342"/>
        <v/>
      </c>
      <c r="AF80" s="271" t="str">
        <f t="shared" ref="AF80" si="395">IFERROR(IF(M80="","",IF(invoice_price_type_id=1,VLOOKUP(I80,product_list,13,FALSE),IF(invoice_price_type_id=2,VLOOKUP(I80,product_list,14,FALSE),IF(invoice_price_type_id=3,VLOOKUP(I80,product_list,15,FALSE),IF(invoice_price_type_id=4,VLOOKUP(I80,product_list,16,FALSE),IF(invoice_price_type_id=5,VLOOKUP(I80,product_list,12,FALSE),"")))))),"")</f>
        <v/>
      </c>
      <c r="AG80" s="271" t="str">
        <f t="shared" si="344"/>
        <v/>
      </c>
      <c r="AH80" s="271" t="s">
        <v>214</v>
      </c>
      <c r="AI80" s="271" t="s">
        <v>214</v>
      </c>
      <c r="AJ80" s="271" t="s">
        <v>214</v>
      </c>
      <c r="AK80" s="271" t="s">
        <v>214</v>
      </c>
      <c r="AL80" s="271" t="s">
        <v>214</v>
      </c>
      <c r="AM80" s="271" t="s">
        <v>214</v>
      </c>
      <c r="AN80" s="271" t="str">
        <f t="shared" si="345"/>
        <v/>
      </c>
      <c r="AO80" s="271" t="str">
        <f>IF(OR(ISNA(MATCH(MID(AN80,1,3)*1,UomConversion!$D$8:$D$500,0)),M80=""),"",IF(AT80="","",AT80))</f>
        <v/>
      </c>
      <c r="AP80" s="271" t="str">
        <f>IF(AND(AQ80&gt;0,COUNTIFS(UomConversion!$D$8:$D$500,MID(AN80,1,3)*1,UomConversion!$J$8:$J$500,1)&gt;1),TEXT(AQ80,"000")&amp;"."&amp;VLOOKUP(AQ80,uom_list,5,FALSE),"")</f>
        <v/>
      </c>
      <c r="AQ80" s="271" t="str">
        <f t="shared" si="357"/>
        <v/>
      </c>
      <c r="AR80" s="271" t="str">
        <f t="shared" si="358"/>
        <v/>
      </c>
      <c r="AS80" s="271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1" t="str">
        <f t="shared" si="346"/>
        <v/>
      </c>
      <c r="AU80" s="271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1" t="str">
        <f t="shared" ref="AV80" si="396">IF(M80="","",IF(invoice_location_id=1,BA80,IF(invoice_location_id=2,BB80,0)))</f>
        <v/>
      </c>
      <c r="AW80" s="271" t="s">
        <v>214</v>
      </c>
      <c r="AX80" s="271" t="str">
        <f t="shared" si="360"/>
        <v/>
      </c>
      <c r="AY80" s="271" t="str">
        <f>IF(M80="","",SUMIFS($AX$8:AX80,$I$8:I80,I80))</f>
        <v/>
      </c>
      <c r="AZ80" s="271" t="str">
        <f t="shared" si="361"/>
        <v/>
      </c>
      <c r="BA80" s="271" t="s">
        <v>214</v>
      </c>
      <c r="BB80" s="271" t="s">
        <v>214</v>
      </c>
    </row>
    <row r="81" spans="1:54" ht="27" customHeight="1">
      <c r="A81" s="583"/>
      <c r="B81" s="948"/>
      <c r="C81" s="648"/>
      <c r="D81" s="648"/>
      <c r="E81" s="648"/>
      <c r="F81" s="963"/>
      <c r="G81" s="212"/>
      <c r="H81" s="628"/>
      <c r="I81" s="378" t="str">
        <f t="shared" si="348"/>
        <v/>
      </c>
      <c r="J81" s="907" t="str">
        <f t="shared" si="131"/>
        <v/>
      </c>
      <c r="K81" s="910" t="str">
        <f t="shared" si="337"/>
        <v/>
      </c>
      <c r="L81" s="911"/>
      <c r="M81" s="908"/>
      <c r="N81" s="906"/>
      <c r="O81" s="906"/>
      <c r="P81" s="905"/>
      <c r="Q81" s="904"/>
      <c r="R81" s="912"/>
      <c r="S81" s="890" t="str">
        <f t="shared" ref="S81" si="397">IF(M81="","",invoice_currency_symbol)</f>
        <v/>
      </c>
      <c r="T81" s="914"/>
      <c r="U81" s="915" t="str">
        <f t="shared" si="350"/>
        <v/>
      </c>
      <c r="V81" s="918" t="str">
        <f t="shared" ref="V81" si="398">IF(W81=0,"",invoice_currency_symbol)</f>
        <v/>
      </c>
      <c r="W81" s="919"/>
      <c r="X81" s="920" t="str">
        <f t="shared" ref="X81" si="399">IF(M81="","",invoice_currency_symbol)</f>
        <v/>
      </c>
      <c r="Y81" s="913" t="str">
        <f t="shared" si="353"/>
        <v/>
      </c>
      <c r="Z81" s="916"/>
      <c r="AA81" s="271" t="str" cm="1">
        <f t="array" ref="AA81">IF(M81="","",IF(P81=AN81,1,Slookup(MID(AN81,1,3)*1,UomConversion!$D$8:$J$500,5,UomConversion!$E$8:$E$500,MID(P81,1,3)*1,UomConversion!$J$8:$J$500,1)))</f>
        <v/>
      </c>
      <c r="AB81" s="271" t="str">
        <f t="shared" si="341"/>
        <v/>
      </c>
      <c r="AC81" s="271" t="str">
        <f t="shared" si="354"/>
        <v/>
      </c>
      <c r="AD81" s="271" t="str">
        <f t="shared" si="355"/>
        <v/>
      </c>
      <c r="AE81" s="271" t="str">
        <f t="shared" si="342"/>
        <v/>
      </c>
      <c r="AF81" s="271" t="str">
        <f t="shared" ref="AF81" si="400">IFERROR(IF(M81="","",IF(invoice_price_type_id=1,VLOOKUP(I81,product_list,13,FALSE),IF(invoice_price_type_id=2,VLOOKUP(I81,product_list,14,FALSE),IF(invoice_price_type_id=3,VLOOKUP(I81,product_list,15,FALSE),IF(invoice_price_type_id=4,VLOOKUP(I81,product_list,16,FALSE),IF(invoice_price_type_id=5,VLOOKUP(I81,product_list,12,FALSE),"")))))),"")</f>
        <v/>
      </c>
      <c r="AG81" s="271" t="str">
        <f t="shared" si="344"/>
        <v/>
      </c>
      <c r="AH81" s="271" t="s">
        <v>214</v>
      </c>
      <c r="AI81" s="271" t="s">
        <v>214</v>
      </c>
      <c r="AJ81" s="271" t="s">
        <v>214</v>
      </c>
      <c r="AK81" s="271" t="s">
        <v>214</v>
      </c>
      <c r="AL81" s="271" t="s">
        <v>214</v>
      </c>
      <c r="AM81" s="271" t="s">
        <v>214</v>
      </c>
      <c r="AN81" s="271" t="str">
        <f t="shared" si="345"/>
        <v/>
      </c>
      <c r="AO81" s="271" t="str">
        <f>IF(OR(ISNA(MATCH(MID(AN81,1,3)*1,UomConversion!$D$8:$D$500,0)),M81=""),"",IF(AT81="","",AT81))</f>
        <v/>
      </c>
      <c r="AP81" s="271" t="str">
        <f>IF(AND(AQ81&gt;0,COUNTIFS(UomConversion!$D$8:$D$500,MID(AN81,1,3)*1,UomConversion!$J$8:$J$500,1)&gt;1),TEXT(AQ81,"000")&amp;"."&amp;VLOOKUP(AQ81,uom_list,5,FALSE),"")</f>
        <v/>
      </c>
      <c r="AQ81" s="271" t="str">
        <f t="shared" si="357"/>
        <v/>
      </c>
      <c r="AR81" s="271" t="str">
        <f t="shared" si="358"/>
        <v/>
      </c>
      <c r="AS81" s="271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1" t="str">
        <f t="shared" si="346"/>
        <v/>
      </c>
      <c r="AU81" s="271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1" t="str">
        <f t="shared" ref="AV81" si="401">IF(M81="","",IF(invoice_location_id=1,BA81,IF(invoice_location_id=2,BB81,0)))</f>
        <v/>
      </c>
      <c r="AW81" s="271" t="s">
        <v>214</v>
      </c>
      <c r="AX81" s="271" t="str">
        <f t="shared" si="360"/>
        <v/>
      </c>
      <c r="AY81" s="271" t="str">
        <f>IF(M81="","",SUMIFS($AX$8:AX81,$I$8:I81,I81))</f>
        <v/>
      </c>
      <c r="AZ81" s="271" t="str">
        <f t="shared" si="361"/>
        <v/>
      </c>
      <c r="BA81" s="271" t="s">
        <v>214</v>
      </c>
      <c r="BB81" s="271" t="s">
        <v>214</v>
      </c>
    </row>
    <row r="82" spans="1:54" ht="27" customHeight="1">
      <c r="A82" s="583"/>
      <c r="B82" s="948"/>
      <c r="C82" s="648"/>
      <c r="D82" s="648"/>
      <c r="E82" s="648"/>
      <c r="F82" s="963"/>
      <c r="G82" s="212"/>
      <c r="H82" s="628"/>
      <c r="I82" s="378" t="str">
        <f t="shared" si="348"/>
        <v/>
      </c>
      <c r="J82" s="907" t="str">
        <f t="shared" si="131"/>
        <v/>
      </c>
      <c r="K82" s="910" t="str">
        <f t="shared" si="337"/>
        <v/>
      </c>
      <c r="L82" s="911"/>
      <c r="M82" s="908"/>
      <c r="N82" s="906"/>
      <c r="O82" s="906"/>
      <c r="P82" s="905"/>
      <c r="Q82" s="904"/>
      <c r="R82" s="912"/>
      <c r="S82" s="890" t="str">
        <f t="shared" ref="S82" si="402">IF(M82="","",invoice_currency_symbol)</f>
        <v/>
      </c>
      <c r="T82" s="914"/>
      <c r="U82" s="915" t="str">
        <f t="shared" si="350"/>
        <v/>
      </c>
      <c r="V82" s="918" t="str">
        <f t="shared" ref="V82" si="403">IF(W82=0,"",invoice_currency_symbol)</f>
        <v/>
      </c>
      <c r="W82" s="919"/>
      <c r="X82" s="920" t="str">
        <f t="shared" ref="X82" si="404">IF(M82="","",invoice_currency_symbol)</f>
        <v/>
      </c>
      <c r="Y82" s="913" t="str">
        <f t="shared" si="353"/>
        <v/>
      </c>
      <c r="Z82" s="916"/>
      <c r="AA82" s="271" t="str" cm="1">
        <f t="array" ref="AA82">IF(M82="","",IF(P82=AN82,1,Slookup(MID(AN82,1,3)*1,UomConversion!$D$8:$J$500,5,UomConversion!$E$8:$E$500,MID(P82,1,3)*1,UomConversion!$J$8:$J$500,1)))</f>
        <v/>
      </c>
      <c r="AB82" s="271" t="str">
        <f t="shared" si="341"/>
        <v/>
      </c>
      <c r="AC82" s="271" t="str">
        <f t="shared" si="354"/>
        <v/>
      </c>
      <c r="AD82" s="271" t="str">
        <f t="shared" si="355"/>
        <v/>
      </c>
      <c r="AE82" s="271" t="str">
        <f t="shared" si="342"/>
        <v/>
      </c>
      <c r="AF82" s="271" t="str">
        <f t="shared" ref="AF82" si="405">IFERROR(IF(M82="","",IF(invoice_price_type_id=1,VLOOKUP(I82,product_list,13,FALSE),IF(invoice_price_type_id=2,VLOOKUP(I82,product_list,14,FALSE),IF(invoice_price_type_id=3,VLOOKUP(I82,product_list,15,FALSE),IF(invoice_price_type_id=4,VLOOKUP(I82,product_list,16,FALSE),IF(invoice_price_type_id=5,VLOOKUP(I82,product_list,12,FALSE),"")))))),"")</f>
        <v/>
      </c>
      <c r="AG82" s="271" t="str">
        <f t="shared" si="344"/>
        <v/>
      </c>
      <c r="AH82" s="271" t="s">
        <v>214</v>
      </c>
      <c r="AI82" s="271" t="s">
        <v>214</v>
      </c>
      <c r="AJ82" s="271" t="s">
        <v>214</v>
      </c>
      <c r="AK82" s="271" t="s">
        <v>214</v>
      </c>
      <c r="AL82" s="271" t="s">
        <v>214</v>
      </c>
      <c r="AM82" s="271" t="s">
        <v>214</v>
      </c>
      <c r="AN82" s="271" t="str">
        <f t="shared" si="345"/>
        <v/>
      </c>
      <c r="AO82" s="271" t="str">
        <f>IF(OR(ISNA(MATCH(MID(AN82,1,3)*1,UomConversion!$D$8:$D$500,0)),M82=""),"",IF(AT82="","",AT82))</f>
        <v/>
      </c>
      <c r="AP82" s="271" t="str">
        <f>IF(AND(AQ82&gt;0,COUNTIFS(UomConversion!$D$8:$D$500,MID(AN82,1,3)*1,UomConversion!$J$8:$J$500,1)&gt;1),TEXT(AQ82,"000")&amp;"."&amp;VLOOKUP(AQ82,uom_list,5,FALSE),"")</f>
        <v/>
      </c>
      <c r="AQ82" s="271" t="str">
        <f t="shared" si="357"/>
        <v/>
      </c>
      <c r="AR82" s="271" t="str">
        <f t="shared" si="358"/>
        <v/>
      </c>
      <c r="AS82" s="271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1" t="str">
        <f t="shared" si="346"/>
        <v/>
      </c>
      <c r="AU82" s="271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1" t="str">
        <f t="shared" ref="AV82" si="406">IF(M82="","",IF(invoice_location_id=1,BA82,IF(invoice_location_id=2,BB82,0)))</f>
        <v/>
      </c>
      <c r="AW82" s="271" t="s">
        <v>214</v>
      </c>
      <c r="AX82" s="271" t="str">
        <f t="shared" si="360"/>
        <v/>
      </c>
      <c r="AY82" s="271" t="str">
        <f>IF(M82="","",SUMIFS($AX$8:AX82,$I$8:I82,I82))</f>
        <v/>
      </c>
      <c r="AZ82" s="271" t="str">
        <f t="shared" si="361"/>
        <v/>
      </c>
      <c r="BA82" s="271" t="s">
        <v>214</v>
      </c>
      <c r="BB82" s="271" t="s">
        <v>214</v>
      </c>
    </row>
    <row r="83" spans="1:54" ht="27" customHeight="1">
      <c r="A83" s="583"/>
      <c r="B83" s="948"/>
      <c r="C83" s="648"/>
      <c r="D83" s="648"/>
      <c r="E83" s="648"/>
      <c r="F83" s="963"/>
      <c r="G83" s="212"/>
      <c r="H83" s="628"/>
      <c r="I83" s="378" t="str">
        <f t="shared" si="348"/>
        <v/>
      </c>
      <c r="J83" s="907" t="str">
        <f t="shared" si="131"/>
        <v/>
      </c>
      <c r="K83" s="910" t="str">
        <f t="shared" si="337"/>
        <v/>
      </c>
      <c r="L83" s="911"/>
      <c r="M83" s="908"/>
      <c r="N83" s="906"/>
      <c r="O83" s="906"/>
      <c r="P83" s="905"/>
      <c r="Q83" s="904"/>
      <c r="R83" s="912"/>
      <c r="S83" s="890" t="str">
        <f t="shared" ref="S83" si="407">IF(M83="","",invoice_currency_symbol)</f>
        <v/>
      </c>
      <c r="T83" s="914"/>
      <c r="U83" s="915" t="str">
        <f t="shared" si="350"/>
        <v/>
      </c>
      <c r="V83" s="918" t="str">
        <f t="shared" ref="V83" si="408">IF(W83=0,"",invoice_currency_symbol)</f>
        <v/>
      </c>
      <c r="W83" s="919"/>
      <c r="X83" s="920" t="str">
        <f t="shared" ref="X83" si="409">IF(M83="","",invoice_currency_symbol)</f>
        <v/>
      </c>
      <c r="Y83" s="913" t="str">
        <f t="shared" si="353"/>
        <v/>
      </c>
      <c r="Z83" s="916"/>
      <c r="AA83" s="271" t="str" cm="1">
        <f t="array" ref="AA83">IF(M83="","",IF(P83=AN83,1,Slookup(MID(AN83,1,3)*1,UomConversion!$D$8:$J$500,5,UomConversion!$E$8:$E$500,MID(P83,1,3)*1,UomConversion!$J$8:$J$500,1)))</f>
        <v/>
      </c>
      <c r="AB83" s="271" t="str">
        <f t="shared" si="341"/>
        <v/>
      </c>
      <c r="AC83" s="271" t="str">
        <f t="shared" si="354"/>
        <v/>
      </c>
      <c r="AD83" s="271" t="str">
        <f t="shared" si="355"/>
        <v/>
      </c>
      <c r="AE83" s="271" t="str">
        <f t="shared" si="342"/>
        <v/>
      </c>
      <c r="AF83" s="271" t="str">
        <f t="shared" ref="AF83" si="410">IFERROR(IF(M83="","",IF(invoice_price_type_id=1,VLOOKUP(I83,product_list,13,FALSE),IF(invoice_price_type_id=2,VLOOKUP(I83,product_list,14,FALSE),IF(invoice_price_type_id=3,VLOOKUP(I83,product_list,15,FALSE),IF(invoice_price_type_id=4,VLOOKUP(I83,product_list,16,FALSE),IF(invoice_price_type_id=5,VLOOKUP(I83,product_list,12,FALSE),"")))))),"")</f>
        <v/>
      </c>
      <c r="AG83" s="271" t="str">
        <f t="shared" si="344"/>
        <v/>
      </c>
      <c r="AH83" s="271" t="s">
        <v>214</v>
      </c>
      <c r="AI83" s="271" t="s">
        <v>214</v>
      </c>
      <c r="AJ83" s="271" t="s">
        <v>214</v>
      </c>
      <c r="AK83" s="271" t="s">
        <v>214</v>
      </c>
      <c r="AL83" s="271" t="s">
        <v>214</v>
      </c>
      <c r="AM83" s="271" t="s">
        <v>214</v>
      </c>
      <c r="AN83" s="271" t="str">
        <f t="shared" si="345"/>
        <v/>
      </c>
      <c r="AO83" s="271" t="str">
        <f>IF(OR(ISNA(MATCH(MID(AN83,1,3)*1,UomConversion!$D$8:$D$500,0)),M83=""),"",IF(AT83="","",AT83))</f>
        <v/>
      </c>
      <c r="AP83" s="271" t="str">
        <f>IF(AND(AQ83&gt;0,COUNTIFS(UomConversion!$D$8:$D$500,MID(AN83,1,3)*1,UomConversion!$J$8:$J$500,1)&gt;1),TEXT(AQ83,"000")&amp;"."&amp;VLOOKUP(AQ83,uom_list,5,FALSE),"")</f>
        <v/>
      </c>
      <c r="AQ83" s="271" t="str">
        <f t="shared" si="357"/>
        <v/>
      </c>
      <c r="AR83" s="271" t="str">
        <f t="shared" si="358"/>
        <v/>
      </c>
      <c r="AS83" s="271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1" t="str">
        <f t="shared" si="346"/>
        <v/>
      </c>
      <c r="AU83" s="271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1" t="str">
        <f t="shared" ref="AV83" si="411">IF(M83="","",IF(invoice_location_id=1,BA83,IF(invoice_location_id=2,BB83,0)))</f>
        <v/>
      </c>
      <c r="AW83" s="271" t="s">
        <v>214</v>
      </c>
      <c r="AX83" s="271" t="str">
        <f t="shared" si="360"/>
        <v/>
      </c>
      <c r="AY83" s="271" t="str">
        <f>IF(M83="","",SUMIFS($AX$8:AX83,$I$8:I83,I83))</f>
        <v/>
      </c>
      <c r="AZ83" s="271" t="str">
        <f t="shared" si="361"/>
        <v/>
      </c>
      <c r="BA83" s="271" t="s">
        <v>214</v>
      </c>
      <c r="BB83" s="271" t="s">
        <v>214</v>
      </c>
    </row>
    <row r="84" spans="1:54" ht="27" customHeight="1">
      <c r="A84" s="583"/>
      <c r="B84" s="948"/>
      <c r="C84" s="648"/>
      <c r="D84" s="648"/>
      <c r="E84" s="648"/>
      <c r="F84" s="963"/>
      <c r="G84" s="212"/>
      <c r="H84" s="628"/>
      <c r="I84" s="378" t="str">
        <f t="shared" si="348"/>
        <v/>
      </c>
      <c r="J84" s="907" t="str">
        <f t="shared" si="131"/>
        <v/>
      </c>
      <c r="K84" s="910" t="str">
        <f t="shared" si="337"/>
        <v/>
      </c>
      <c r="L84" s="911"/>
      <c r="M84" s="908"/>
      <c r="N84" s="906"/>
      <c r="O84" s="906"/>
      <c r="P84" s="905"/>
      <c r="Q84" s="904"/>
      <c r="R84" s="912"/>
      <c r="S84" s="890" t="str">
        <f t="shared" ref="S84" si="412">IF(M84="","",invoice_currency_symbol)</f>
        <v/>
      </c>
      <c r="T84" s="914"/>
      <c r="U84" s="915" t="str">
        <f t="shared" si="350"/>
        <v/>
      </c>
      <c r="V84" s="918" t="str">
        <f t="shared" ref="V84" si="413">IF(W84=0,"",invoice_currency_symbol)</f>
        <v/>
      </c>
      <c r="W84" s="919"/>
      <c r="X84" s="920" t="str">
        <f t="shared" ref="X84" si="414">IF(M84="","",invoice_currency_symbol)</f>
        <v/>
      </c>
      <c r="Y84" s="913" t="str">
        <f t="shared" si="353"/>
        <v/>
      </c>
      <c r="Z84" s="916"/>
      <c r="AA84" s="271" t="str" cm="1">
        <f t="array" ref="AA84">IF(M84="","",IF(P84=AN84,1,Slookup(MID(AN84,1,3)*1,UomConversion!$D$8:$J$500,5,UomConversion!$E$8:$E$500,MID(P84,1,3)*1,UomConversion!$J$8:$J$500,1)))</f>
        <v/>
      </c>
      <c r="AB84" s="271" t="str">
        <f t="shared" si="341"/>
        <v/>
      </c>
      <c r="AC84" s="271" t="str">
        <f t="shared" si="354"/>
        <v/>
      </c>
      <c r="AD84" s="271" t="str">
        <f t="shared" si="355"/>
        <v/>
      </c>
      <c r="AE84" s="271" t="str">
        <f t="shared" si="342"/>
        <v/>
      </c>
      <c r="AF84" s="271" t="str">
        <f t="shared" ref="AF84" si="415">IFERROR(IF(M84="","",IF(invoice_price_type_id=1,VLOOKUP(I84,product_list,13,FALSE),IF(invoice_price_type_id=2,VLOOKUP(I84,product_list,14,FALSE),IF(invoice_price_type_id=3,VLOOKUP(I84,product_list,15,FALSE),IF(invoice_price_type_id=4,VLOOKUP(I84,product_list,16,FALSE),IF(invoice_price_type_id=5,VLOOKUP(I84,product_list,12,FALSE),"")))))),"")</f>
        <v/>
      </c>
      <c r="AG84" s="271" t="str">
        <f t="shared" si="344"/>
        <v/>
      </c>
      <c r="AH84" s="271" t="s">
        <v>214</v>
      </c>
      <c r="AI84" s="271" t="s">
        <v>214</v>
      </c>
      <c r="AJ84" s="271" t="s">
        <v>214</v>
      </c>
      <c r="AK84" s="271" t="s">
        <v>214</v>
      </c>
      <c r="AL84" s="271" t="s">
        <v>214</v>
      </c>
      <c r="AM84" s="271" t="s">
        <v>214</v>
      </c>
      <c r="AN84" s="271" t="str">
        <f t="shared" si="345"/>
        <v/>
      </c>
      <c r="AO84" s="271" t="str">
        <f>IF(OR(ISNA(MATCH(MID(AN84,1,3)*1,UomConversion!$D$8:$D$500,0)),M84=""),"",IF(AT84="","",AT84))</f>
        <v/>
      </c>
      <c r="AP84" s="271" t="str">
        <f>IF(AND(AQ84&gt;0,COUNTIFS(UomConversion!$D$8:$D$500,MID(AN84,1,3)*1,UomConversion!$J$8:$J$500,1)&gt;1),TEXT(AQ84,"000")&amp;"."&amp;VLOOKUP(AQ84,uom_list,5,FALSE),"")</f>
        <v/>
      </c>
      <c r="AQ84" s="271" t="str">
        <f t="shared" si="357"/>
        <v/>
      </c>
      <c r="AR84" s="271" t="str">
        <f t="shared" si="358"/>
        <v/>
      </c>
      <c r="AS84" s="271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1" t="str">
        <f t="shared" si="346"/>
        <v/>
      </c>
      <c r="AU84" s="271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1" t="str">
        <f t="shared" ref="AV84" si="416">IF(M84="","",IF(invoice_location_id=1,BA84,IF(invoice_location_id=2,BB84,0)))</f>
        <v/>
      </c>
      <c r="AW84" s="271" t="s">
        <v>214</v>
      </c>
      <c r="AX84" s="271" t="str">
        <f t="shared" si="360"/>
        <v/>
      </c>
      <c r="AY84" s="271" t="str">
        <f>IF(M84="","",SUMIFS($AX$8:AX84,$I$8:I84,I84))</f>
        <v/>
      </c>
      <c r="AZ84" s="271" t="str">
        <f t="shared" si="361"/>
        <v/>
      </c>
      <c r="BA84" s="271" t="s">
        <v>214</v>
      </c>
      <c r="BB84" s="271" t="s">
        <v>214</v>
      </c>
    </row>
    <row r="85" spans="1:54" ht="27" customHeight="1">
      <c r="A85" s="583"/>
      <c r="B85" s="948"/>
      <c r="C85" s="648"/>
      <c r="D85" s="648"/>
      <c r="E85" s="648"/>
      <c r="F85" s="963"/>
      <c r="G85" s="212"/>
      <c r="H85" s="628"/>
      <c r="I85" s="378" t="str">
        <f t="shared" si="348"/>
        <v/>
      </c>
      <c r="J85" s="907" t="str">
        <f t="shared" si="131"/>
        <v/>
      </c>
      <c r="K85" s="910" t="str">
        <f t="shared" si="337"/>
        <v/>
      </c>
      <c r="L85" s="911"/>
      <c r="M85" s="908"/>
      <c r="N85" s="906"/>
      <c r="O85" s="906"/>
      <c r="P85" s="905"/>
      <c r="Q85" s="904"/>
      <c r="R85" s="912"/>
      <c r="S85" s="890" t="str">
        <f t="shared" ref="S85" si="417">IF(M85="","",invoice_currency_symbol)</f>
        <v/>
      </c>
      <c r="T85" s="914"/>
      <c r="U85" s="915" t="str">
        <f t="shared" si="350"/>
        <v/>
      </c>
      <c r="V85" s="918" t="str">
        <f t="shared" ref="V85" si="418">IF(W85=0,"",invoice_currency_symbol)</f>
        <v/>
      </c>
      <c r="W85" s="919"/>
      <c r="X85" s="920" t="str">
        <f t="shared" ref="X85" si="419">IF(M85="","",invoice_currency_symbol)</f>
        <v/>
      </c>
      <c r="Y85" s="913" t="str">
        <f t="shared" si="353"/>
        <v/>
      </c>
      <c r="Z85" s="916"/>
      <c r="AA85" s="271" t="str" cm="1">
        <f t="array" ref="AA85">IF(M85="","",IF(P85=AN85,1,Slookup(MID(AN85,1,3)*1,UomConversion!$D$8:$J$500,5,UomConversion!$E$8:$E$500,MID(P85,1,3)*1,UomConversion!$J$8:$J$500,1)))</f>
        <v/>
      </c>
      <c r="AB85" s="271" t="str">
        <f t="shared" si="341"/>
        <v/>
      </c>
      <c r="AC85" s="271" t="str">
        <f t="shared" si="354"/>
        <v/>
      </c>
      <c r="AD85" s="271" t="str">
        <f t="shared" si="355"/>
        <v/>
      </c>
      <c r="AE85" s="271" t="str">
        <f t="shared" si="342"/>
        <v/>
      </c>
      <c r="AF85" s="271" t="str">
        <f t="shared" ref="AF85" si="420">IFERROR(IF(M85="","",IF(invoice_price_type_id=1,VLOOKUP(I85,product_list,13,FALSE),IF(invoice_price_type_id=2,VLOOKUP(I85,product_list,14,FALSE),IF(invoice_price_type_id=3,VLOOKUP(I85,product_list,15,FALSE),IF(invoice_price_type_id=4,VLOOKUP(I85,product_list,16,FALSE),IF(invoice_price_type_id=5,VLOOKUP(I85,product_list,12,FALSE),"")))))),"")</f>
        <v/>
      </c>
      <c r="AG85" s="271" t="str">
        <f t="shared" si="344"/>
        <v/>
      </c>
      <c r="AH85" s="271" t="s">
        <v>214</v>
      </c>
      <c r="AI85" s="271" t="s">
        <v>214</v>
      </c>
      <c r="AJ85" s="271" t="s">
        <v>214</v>
      </c>
      <c r="AK85" s="271" t="s">
        <v>214</v>
      </c>
      <c r="AL85" s="271" t="s">
        <v>214</v>
      </c>
      <c r="AM85" s="271" t="s">
        <v>214</v>
      </c>
      <c r="AN85" s="271" t="str">
        <f t="shared" si="345"/>
        <v/>
      </c>
      <c r="AO85" s="271" t="str">
        <f>IF(OR(ISNA(MATCH(MID(AN85,1,3)*1,UomConversion!$D$8:$D$500,0)),M85=""),"",IF(AT85="","",AT85))</f>
        <v/>
      </c>
      <c r="AP85" s="271" t="str">
        <f>IF(AND(AQ85&gt;0,COUNTIFS(UomConversion!$D$8:$D$500,MID(AN85,1,3)*1,UomConversion!$J$8:$J$500,1)&gt;1),TEXT(AQ85,"000")&amp;"."&amp;VLOOKUP(AQ85,uom_list,5,FALSE),"")</f>
        <v/>
      </c>
      <c r="AQ85" s="271" t="str">
        <f t="shared" si="357"/>
        <v/>
      </c>
      <c r="AR85" s="271" t="str">
        <f t="shared" si="358"/>
        <v/>
      </c>
      <c r="AS85" s="271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1" t="str">
        <f t="shared" si="346"/>
        <v/>
      </c>
      <c r="AU85" s="271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1" t="str">
        <f t="shared" ref="AV85" si="421">IF(M85="","",IF(invoice_location_id=1,BA85,IF(invoice_location_id=2,BB85,0)))</f>
        <v/>
      </c>
      <c r="AW85" s="271" t="s">
        <v>214</v>
      </c>
      <c r="AX85" s="271" t="str">
        <f t="shared" si="360"/>
        <v/>
      </c>
      <c r="AY85" s="271" t="str">
        <f>IF(M85="","",SUMIFS($AX$8:AX85,$I$8:I85,I85))</f>
        <v/>
      </c>
      <c r="AZ85" s="271" t="str">
        <f t="shared" si="361"/>
        <v/>
      </c>
      <c r="BA85" s="271" t="s">
        <v>214</v>
      </c>
      <c r="BB85" s="271" t="s">
        <v>214</v>
      </c>
    </row>
    <row r="86" spans="1:54" ht="27" customHeight="1">
      <c r="A86" s="583"/>
      <c r="B86" s="948"/>
      <c r="C86" s="648"/>
      <c r="D86" s="648"/>
      <c r="E86" s="648"/>
      <c r="F86" s="963"/>
      <c r="G86" s="212"/>
      <c r="H86" s="628"/>
      <c r="I86" s="378" t="str">
        <f t="shared" si="348"/>
        <v/>
      </c>
      <c r="J86" s="907" t="str">
        <f t="shared" si="131"/>
        <v/>
      </c>
      <c r="K86" s="910" t="str">
        <f t="shared" si="337"/>
        <v/>
      </c>
      <c r="L86" s="911"/>
      <c r="M86" s="908"/>
      <c r="N86" s="906"/>
      <c r="O86" s="906"/>
      <c r="P86" s="905"/>
      <c r="Q86" s="904"/>
      <c r="R86" s="912"/>
      <c r="S86" s="890" t="str">
        <f t="shared" ref="S86" si="422">IF(M86="","",invoice_currency_symbol)</f>
        <v/>
      </c>
      <c r="T86" s="914"/>
      <c r="U86" s="915" t="str">
        <f t="shared" si="350"/>
        <v/>
      </c>
      <c r="V86" s="918" t="str">
        <f t="shared" ref="V86" si="423">IF(W86=0,"",invoice_currency_symbol)</f>
        <v/>
      </c>
      <c r="W86" s="919"/>
      <c r="X86" s="920" t="str">
        <f t="shared" ref="X86" si="424">IF(M86="","",invoice_currency_symbol)</f>
        <v/>
      </c>
      <c r="Y86" s="913" t="str">
        <f t="shared" si="353"/>
        <v/>
      </c>
      <c r="Z86" s="916"/>
      <c r="AA86" s="271" t="str" cm="1">
        <f t="array" ref="AA86">IF(M86="","",IF(P86=AN86,1,Slookup(MID(AN86,1,3)*1,UomConversion!$D$8:$J$500,5,UomConversion!$E$8:$E$500,MID(P86,1,3)*1,UomConversion!$J$8:$J$500,1)))</f>
        <v/>
      </c>
      <c r="AB86" s="271" t="str">
        <f t="shared" si="341"/>
        <v/>
      </c>
      <c r="AC86" s="271" t="str">
        <f t="shared" si="354"/>
        <v/>
      </c>
      <c r="AD86" s="271" t="str">
        <f t="shared" si="355"/>
        <v/>
      </c>
      <c r="AE86" s="271" t="str">
        <f t="shared" si="342"/>
        <v/>
      </c>
      <c r="AF86" s="271" t="str">
        <f t="shared" ref="AF86" si="425">IFERROR(IF(M86="","",IF(invoice_price_type_id=1,VLOOKUP(I86,product_list,13,FALSE),IF(invoice_price_type_id=2,VLOOKUP(I86,product_list,14,FALSE),IF(invoice_price_type_id=3,VLOOKUP(I86,product_list,15,FALSE),IF(invoice_price_type_id=4,VLOOKUP(I86,product_list,16,FALSE),IF(invoice_price_type_id=5,VLOOKUP(I86,product_list,12,FALSE),"")))))),"")</f>
        <v/>
      </c>
      <c r="AG86" s="271" t="str">
        <f t="shared" si="344"/>
        <v/>
      </c>
      <c r="AH86" s="271" t="s">
        <v>214</v>
      </c>
      <c r="AI86" s="271" t="s">
        <v>214</v>
      </c>
      <c r="AJ86" s="271" t="s">
        <v>214</v>
      </c>
      <c r="AK86" s="271" t="s">
        <v>214</v>
      </c>
      <c r="AL86" s="271" t="s">
        <v>214</v>
      </c>
      <c r="AM86" s="271" t="s">
        <v>214</v>
      </c>
      <c r="AN86" s="271" t="str">
        <f t="shared" si="345"/>
        <v/>
      </c>
      <c r="AO86" s="271" t="str">
        <f>IF(OR(ISNA(MATCH(MID(AN86,1,3)*1,UomConversion!$D$8:$D$500,0)),M86=""),"",IF(AT86="","",AT86))</f>
        <v/>
      </c>
      <c r="AP86" s="271" t="str">
        <f>IF(AND(AQ86&gt;0,COUNTIFS(UomConversion!$D$8:$D$500,MID(AN86,1,3)*1,UomConversion!$J$8:$J$500,1)&gt;1),TEXT(AQ86,"000")&amp;"."&amp;VLOOKUP(AQ86,uom_list,5,FALSE),"")</f>
        <v/>
      </c>
      <c r="AQ86" s="271" t="str">
        <f t="shared" si="357"/>
        <v/>
      </c>
      <c r="AR86" s="271" t="str">
        <f t="shared" si="358"/>
        <v/>
      </c>
      <c r="AS86" s="271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1" t="str">
        <f t="shared" si="346"/>
        <v/>
      </c>
      <c r="AU86" s="271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1" t="str">
        <f t="shared" ref="AV86" si="426">IF(M86="","",IF(invoice_location_id=1,BA86,IF(invoice_location_id=2,BB86,0)))</f>
        <v/>
      </c>
      <c r="AW86" s="271" t="s">
        <v>214</v>
      </c>
      <c r="AX86" s="271" t="str">
        <f t="shared" si="360"/>
        <v/>
      </c>
      <c r="AY86" s="271" t="str">
        <f>IF(M86="","",SUMIFS($AX$8:AX86,$I$8:I86,I86))</f>
        <v/>
      </c>
      <c r="AZ86" s="271" t="str">
        <f t="shared" si="361"/>
        <v/>
      </c>
      <c r="BA86" s="271" t="s">
        <v>214</v>
      </c>
      <c r="BB86" s="271" t="s">
        <v>214</v>
      </c>
    </row>
    <row r="87" spans="1:54" ht="27" customHeight="1">
      <c r="A87" s="583"/>
      <c r="B87" s="948"/>
      <c r="C87" s="648"/>
      <c r="D87" s="648"/>
      <c r="E87" s="648"/>
      <c r="F87" s="963"/>
      <c r="G87" s="212"/>
      <c r="I87" s="378" t="str">
        <f t="shared" si="348"/>
        <v/>
      </c>
      <c r="J87" s="907" t="str">
        <f t="shared" si="131"/>
        <v/>
      </c>
      <c r="K87" s="910" t="str">
        <f t="shared" si="337"/>
        <v/>
      </c>
      <c r="L87" s="911"/>
      <c r="M87" s="908"/>
      <c r="N87" s="906"/>
      <c r="O87" s="906"/>
      <c r="P87" s="905"/>
      <c r="Q87" s="904"/>
      <c r="R87" s="912"/>
      <c r="S87" s="890" t="str">
        <f t="shared" ref="S87" si="427">IF(M87="","",invoice_currency_symbol)</f>
        <v/>
      </c>
      <c r="T87" s="914"/>
      <c r="U87" s="915" t="str">
        <f t="shared" si="350"/>
        <v/>
      </c>
      <c r="V87" s="918" t="str">
        <f t="shared" ref="V87" si="428">IF(W87=0,"",invoice_currency_symbol)</f>
        <v/>
      </c>
      <c r="W87" s="919"/>
      <c r="X87" s="920" t="str">
        <f t="shared" ref="X87" si="429">IF(M87="","",invoice_currency_symbol)</f>
        <v/>
      </c>
      <c r="Y87" s="913" t="str">
        <f t="shared" si="353"/>
        <v/>
      </c>
      <c r="Z87" s="916"/>
      <c r="AA87" s="271" t="str" cm="1">
        <f t="array" ref="AA87">IF(M87="","",IF(P87=AN87,1,Slookup(MID(AN87,1,3)*1,UomConversion!$D$8:$J$500,5,UomConversion!$E$8:$E$500,MID(P87,1,3)*1,UomConversion!$J$8:$J$500,1)))</f>
        <v/>
      </c>
      <c r="AB87" s="271" t="str">
        <f t="shared" si="341"/>
        <v/>
      </c>
      <c r="AC87" s="271" t="str">
        <f t="shared" si="354"/>
        <v/>
      </c>
      <c r="AD87" s="271" t="str">
        <f t="shared" si="355"/>
        <v/>
      </c>
      <c r="AE87" s="271" t="str">
        <f t="shared" si="342"/>
        <v/>
      </c>
      <c r="AF87" s="271" t="str">
        <f t="shared" ref="AF87" si="430">IFERROR(IF(M87="","",IF(invoice_price_type_id=1,VLOOKUP(I87,product_list,13,FALSE),IF(invoice_price_type_id=2,VLOOKUP(I87,product_list,14,FALSE),IF(invoice_price_type_id=3,VLOOKUP(I87,product_list,15,FALSE),IF(invoice_price_type_id=4,VLOOKUP(I87,product_list,16,FALSE),IF(invoice_price_type_id=5,VLOOKUP(I87,product_list,12,FALSE),"")))))),"")</f>
        <v/>
      </c>
      <c r="AG87" s="271" t="str">
        <f t="shared" si="344"/>
        <v/>
      </c>
      <c r="AH87" s="271" t="s">
        <v>214</v>
      </c>
      <c r="AI87" s="271" t="s">
        <v>214</v>
      </c>
      <c r="AJ87" s="271" t="s">
        <v>214</v>
      </c>
      <c r="AK87" s="271" t="s">
        <v>214</v>
      </c>
      <c r="AL87" s="271" t="s">
        <v>214</v>
      </c>
      <c r="AM87" s="271" t="s">
        <v>214</v>
      </c>
      <c r="AN87" s="271" t="str">
        <f t="shared" si="345"/>
        <v/>
      </c>
      <c r="AO87" s="271" t="str">
        <f>IF(OR(ISNA(MATCH(MID(AN87,1,3)*1,UomConversion!$D$8:$D$500,0)),M87=""),"",IF(AT87="","",AT87))</f>
        <v/>
      </c>
      <c r="AP87" s="271" t="str">
        <f>IF(AND(AQ87&gt;0,COUNTIFS(UomConversion!$D$8:$D$500,MID(AN87,1,3)*1,UomConversion!$J$8:$J$500,1)&gt;1),TEXT(AQ87,"000")&amp;"."&amp;VLOOKUP(AQ87,uom_list,5,FALSE),"")</f>
        <v/>
      </c>
      <c r="AQ87" s="271" t="str">
        <f t="shared" si="357"/>
        <v/>
      </c>
      <c r="AR87" s="271" t="str">
        <f t="shared" si="358"/>
        <v/>
      </c>
      <c r="AS87" s="271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1" t="str">
        <f t="shared" si="346"/>
        <v/>
      </c>
      <c r="AU87" s="271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1" t="str">
        <f t="shared" ref="AV87" si="431">IF(M87="","",IF(invoice_location_id=1,BA87,IF(invoice_location_id=2,BB87,0)))</f>
        <v/>
      </c>
      <c r="AW87" s="271" t="s">
        <v>214</v>
      </c>
      <c r="AX87" s="271" t="str">
        <f t="shared" si="360"/>
        <v/>
      </c>
      <c r="AY87" s="271" t="str">
        <f>IF(M87="","",SUMIFS($AX$8:AX87,$I$8:I87,I87))</f>
        <v/>
      </c>
      <c r="AZ87" s="271" t="str">
        <f t="shared" si="361"/>
        <v/>
      </c>
      <c r="BA87" s="271" t="s">
        <v>214</v>
      </c>
      <c r="BB87" s="271" t="s">
        <v>214</v>
      </c>
    </row>
    <row r="88" spans="1:54" ht="27" customHeight="1" thickBot="1">
      <c r="A88" s="583"/>
      <c r="B88" s="948"/>
      <c r="C88" s="648"/>
      <c r="D88" s="648"/>
      <c r="E88" s="648"/>
      <c r="F88" s="963"/>
      <c r="G88" s="212"/>
      <c r="I88" s="821"/>
      <c r="J88" s="589"/>
      <c r="K88" s="261"/>
      <c r="L88" s="128"/>
      <c r="M88" s="824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3"/>
      <c r="O88" s="825" t="s">
        <v>1634</v>
      </c>
      <c r="P88" s="825" t="s">
        <v>1635</v>
      </c>
      <c r="Q88" s="829"/>
      <c r="R88" s="825"/>
      <c r="S88" s="281"/>
      <c r="T88" s="281"/>
      <c r="U88" s="834"/>
      <c r="V88" s="922"/>
      <c r="W88" s="923" t="s">
        <v>1636</v>
      </c>
      <c r="X88" s="924" t="str">
        <f>invoice_currency_symbol</f>
        <v>$</v>
      </c>
      <c r="Y88" s="925">
        <f>SUM(Y8:Y87)</f>
        <v>0</v>
      </c>
      <c r="Z88" s="863"/>
      <c r="AC88" s="687">
        <f>SUM(AC8:AC87)</f>
        <v>0</v>
      </c>
      <c r="AD88" s="287" t="str">
        <f>invoice_currency_symbol</f>
        <v>$</v>
      </c>
      <c r="AG88" s="588"/>
    </row>
    <row r="89" spans="1:54" ht="27" customHeight="1" thickBot="1">
      <c r="A89" s="583"/>
      <c r="B89" s="948"/>
      <c r="C89" s="631"/>
      <c r="D89" s="631"/>
      <c r="E89" s="631"/>
      <c r="F89" s="963"/>
      <c r="G89" s="212"/>
      <c r="J89" s="585"/>
      <c r="M89" s="640" t="s">
        <v>51</v>
      </c>
      <c r="N89" s="580">
        <f>MID(invoice_discount_option,1,1)*1</f>
        <v>1</v>
      </c>
      <c r="O89" s="638">
        <v>10</v>
      </c>
      <c r="P89" s="639"/>
      <c r="Q89" s="679"/>
      <c r="R89" s="679"/>
      <c r="U89" s="669">
        <f>IFERROR(IF(invoice_discount_option="",0,IF(invoice_discount_id*1=1,N(invoice_discount_amount),IF(invoice_discount_id*1=2,(invoice_sub_total_amount*invoice_discount_percent)/100,0))),0)</f>
        <v>10</v>
      </c>
      <c r="V89" s="670" t="str">
        <f>invoice_currency_symbol</f>
        <v>$</v>
      </c>
      <c r="W89" s="923" t="s">
        <v>1637</v>
      </c>
      <c r="X89" s="924" t="str">
        <f>invoice_currency_symbol</f>
        <v>$</v>
      </c>
      <c r="Y89" s="925">
        <f>IFERROR(IF(invoice_discount_option="",0,IF(invoice_discount_id=1,N(invoice_discount_amount),IF(invoice_discount_id=2,(invoice_sub_total_amount*invoice_discount_percent)/100,0))),0)</f>
        <v>10</v>
      </c>
      <c r="Z89" s="863"/>
      <c r="AC89" s="143" t="s">
        <v>1618</v>
      </c>
      <c r="AD89" s="678">
        <v>0</v>
      </c>
    </row>
    <row r="90" spans="1:54" ht="27" customHeight="1">
      <c r="B90" s="948"/>
      <c r="C90" s="635"/>
      <c r="D90" s="635"/>
      <c r="E90" s="635"/>
      <c r="F90" s="963"/>
      <c r="G90" s="212"/>
      <c r="J90" s="589"/>
      <c r="K90" s="261"/>
      <c r="L90" s="128"/>
      <c r="M90" s="590"/>
      <c r="N90" s="591"/>
      <c r="S90" s="677">
        <f>VLOOKUP(1,company_list,6,FALSE)</f>
        <v>1</v>
      </c>
      <c r="T90" s="677"/>
      <c r="U90" s="823" t="s">
        <v>1673</v>
      </c>
      <c r="V90" s="675" t="str">
        <f>IF(U90="","",VLOOKUP(MID(U90,1,2)*1,vat_list,3,FALSE))</f>
        <v>10</v>
      </c>
      <c r="W90" s="923" t="s">
        <v>1638</v>
      </c>
      <c r="X90" s="924" t="str">
        <f>invoice_currency_symbol</f>
        <v>$</v>
      </c>
      <c r="Y90" s="925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863"/>
      <c r="AC90" s="575" t="s">
        <v>1904</v>
      </c>
      <c r="AD90" s="441">
        <v>0</v>
      </c>
    </row>
    <row r="91" spans="1:54" ht="27" customHeight="1" thickBot="1">
      <c r="B91" s="955"/>
      <c r="C91" s="956"/>
      <c r="D91" s="957"/>
      <c r="E91" s="958"/>
      <c r="F91" s="969"/>
      <c r="J91" s="585"/>
      <c r="K91" s="658"/>
      <c r="L91" s="658"/>
      <c r="P91" s="127"/>
      <c r="Q91" s="128"/>
      <c r="R91" s="135"/>
      <c r="U91" s="826">
        <v>17</v>
      </c>
      <c r="W91" s="923" t="s">
        <v>1910</v>
      </c>
      <c r="X91" s="924" t="str">
        <f>invoice_currency_symbol</f>
        <v>$</v>
      </c>
      <c r="Y91" s="925">
        <f>AD90</f>
        <v>0</v>
      </c>
      <c r="Z91" s="863"/>
    </row>
    <row r="92" spans="1:54" ht="24.95" customHeight="1">
      <c r="J92" s="499"/>
      <c r="K92" s="499"/>
      <c r="L92" s="499"/>
      <c r="M92" s="574"/>
      <c r="N92" s="574"/>
      <c r="P92" s="378" t="s">
        <v>235</v>
      </c>
      <c r="Q92" s="378"/>
      <c r="R92" s="378"/>
      <c r="W92" s="923" t="s">
        <v>1639</v>
      </c>
      <c r="X92" s="924" t="str">
        <f>invoice_currency_symbol</f>
        <v>$</v>
      </c>
      <c r="Y92" s="925">
        <f>invoice_sub_total_amount-invoice_discount-invoice_deposit+invoice_total_vat</f>
        <v>-10</v>
      </c>
      <c r="Z92" s="8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3">
    <mergeCell ref="L4:M4"/>
    <mergeCell ref="C11:D11"/>
    <mergeCell ref="C22:E24"/>
  </mergeCells>
  <dataValidations count="17">
    <dataValidation type="decimal" operator="greaterThanOrEqual" allowBlank="1" showInputMessage="1" showErrorMessage="1" sqref="W8:W87 T8:T87" xr:uid="{100A9080-844A-4CAA-92CB-7C422CBB644A}">
      <formula1>0</formula1>
    </dataValidation>
    <dataValidation type="list" allowBlank="1" showInputMessage="1" showErrorMessage="1" sqref="E13" xr:uid="{A516756C-72BF-43F0-9DAF-BA771C18E9D7}">
      <formula1>location_group_option</formula1>
    </dataValidation>
    <dataValidation type="list" allowBlank="1" showInputMessage="1" showErrorMessage="1" sqref="E20" xr:uid="{1B7F2687-5D40-4DFB-A934-D38D0BBDE370}">
      <formula1>payment_term_option</formula1>
    </dataValidation>
    <dataValidation type="list" allowBlank="1" showInputMessage="1" showErrorMessage="1" sqref="P8:P87" xr:uid="{E4EC5121-E9EA-4067-8EDA-630E475D1340}">
      <formula1>uom_option</formula1>
    </dataValidation>
    <dataValidation type="list" allowBlank="1" showInputMessage="1" showErrorMessage="1" sqref="AV4" xr:uid="{AD09327A-C0D1-4642-AF43-E89D1C6F14E9}">
      <formula1>$AV$2</formula1>
    </dataValidation>
    <dataValidation type="list" allowBlank="1" showInputMessage="1" showErrorMessage="1" sqref="C20" xr:uid="{98FACAE1-78DD-4A76-873F-B6A8757FDE14}">
      <formula1>chart_account_default_option</formula1>
    </dataValidation>
    <dataValidation type="list" allowBlank="1" showInputMessage="1" showErrorMessage="1" sqref="E17" xr:uid="{A7162478-C90F-4D0B-8E34-320B2ED9646F}">
      <formula1>invoice_type_option</formula1>
    </dataValidation>
    <dataValidation type="whole" operator="greaterThanOrEqual" allowBlank="1" showInputMessage="1" showErrorMessage="1" sqref="F8:F9 R4 U4:V4 N8:O87" xr:uid="{869E1499-9FF0-4CAB-AB3A-EB05CEBF671C}">
      <formula1>0</formula1>
    </dataValidation>
    <dataValidation type="list" allowBlank="1" showInputMessage="1" showErrorMessage="1" sqref="U90" xr:uid="{6A67E67E-2DE6-403F-85C9-17A78B0C171C}">
      <formula1>vat_option</formula1>
    </dataValidation>
    <dataValidation type="list" allowBlank="1" showInputMessage="1" showErrorMessage="1" sqref="M8:M87" xr:uid="{D3C55250-568E-444A-B51E-70D6F8F244BC}">
      <formula1>product_name_option</formula1>
    </dataValidation>
    <dataValidation type="list" allowBlank="1" showInputMessage="1" showErrorMessage="1" sqref="E15" xr:uid="{DF4E743E-79D0-4DA4-A3E3-5FDF8D0D3B71}">
      <formula1>location_option</formula1>
    </dataValidation>
    <dataValidation type="list" allowBlank="1" showInputMessage="1" showErrorMessage="1" sqref="C15" xr:uid="{3C05F793-7C09-412F-A508-38B3A49942C0}">
      <formula1>saller_option</formula1>
    </dataValidation>
    <dataValidation type="list" allowBlank="1" showInputMessage="1" showErrorMessage="1" sqref="C11" xr:uid="{4B5596D1-F2AF-4AA4-B7C8-381096795D79}">
      <formula1>customer_name_option</formula1>
    </dataValidation>
    <dataValidation type="list" allowBlank="1" showInputMessage="1" showErrorMessage="1" sqref="C13" xr:uid="{112EF641-6536-4219-A29E-52788CFC0953}">
      <formula1>branch_option</formula1>
    </dataValidation>
    <dataValidation type="list" allowBlank="1" showInputMessage="1" showErrorMessage="1" sqref="L4:M4" xr:uid="{17BFEEC9-5CB2-4770-8ECA-8DBB73537CB0}">
      <formula1>price_type_option</formula1>
    </dataValidation>
    <dataValidation type="list" allowBlank="1" showInputMessage="1" showErrorMessage="1" sqref="P89" xr:uid="{7BC31D2B-A111-4F44-8A18-5D354DA79968}">
      <formula1>discount_option</formula1>
    </dataValidation>
    <dataValidation type="list" allowBlank="1" showInputMessage="1" showErrorMessage="1" sqref="M89" xr:uid="{B5794DF6-EC94-4DAE-8E17-F2D105F07E5F}">
      <formula1>discount_type_option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8146" r:id="rId4" name="Button 2">
              <controlPr defaultSize="0" autoFill="0" autoPict="0" macro="[0]!addUomConversion">
                <anchor>
                  <from>
                    <xdr:col>22</xdr:col>
                    <xdr:colOff>790575</xdr:colOff>
                    <xdr:row>2</xdr:row>
                    <xdr:rowOff>0</xdr:rowOff>
                  </from>
                  <to>
                    <xdr:col>24</xdr:col>
                    <xdr:colOff>742950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zoomScale="80" zoomScaleNormal="80" zoomScaleSheetLayoutView="80" workbookViewId="0">
      <pane xSplit="26" topLeftCell="AL1" activePane="topRight" state="frozen"/>
      <selection pane="topRight" activeCell="C9" sqref="C9 F9"/>
    </sheetView>
  </sheetViews>
  <sheetFormatPr defaultRowHeight="24.95" customHeight="1"/>
  <cols>
    <col min="1" max="1" width="1.5703125" style="1408" customWidth="1"/>
    <col min="2" max="2" width="1.7109375" style="1408" customWidth="1"/>
    <col min="3" max="3" width="32" style="1408" customWidth="1"/>
    <col min="4" max="4" width="8.7109375" style="1408" customWidth="1"/>
    <col min="5" max="5" width="31.42578125" style="1408" customWidth="1"/>
    <col min="6" max="6" width="4.42578125" style="1413" customWidth="1"/>
    <col min="7" max="7" width="2.28515625" style="1412" hidden="1" customWidth="1"/>
    <col min="8" max="8" width="2.140625" style="1413" hidden="1" customWidth="1"/>
    <col min="9" max="9" width="3.28515625" style="1449" customWidth="1"/>
    <col min="10" max="10" width="9.7109375" style="1398" customWidth="1"/>
    <col min="11" max="11" width="6.28515625" style="1398" customWidth="1"/>
    <col min="12" max="12" width="5.85546875" style="1414" customWidth="1"/>
    <col min="13" max="13" width="36.28515625" style="1415" customWidth="1"/>
    <col min="14" max="14" width="10.7109375" style="1416" customWidth="1"/>
    <col min="15" max="15" width="15" style="1398" customWidth="1"/>
    <col min="16" max="16" width="20.7109375" style="1398" customWidth="1"/>
    <col min="17" max="17" width="14.5703125" style="1398" hidden="1" customWidth="1"/>
    <col min="18" max="18" width="20.7109375" style="1398" hidden="1" customWidth="1"/>
    <col min="19" max="19" width="3" style="1418" customWidth="1"/>
    <col min="20" max="20" width="18.28515625" style="1418" customWidth="1"/>
    <col min="21" max="21" width="17.85546875" style="1419" customWidth="1"/>
    <col min="22" max="22" width="3.28515625" style="1420" customWidth="1"/>
    <col min="23" max="23" width="12.85546875" style="1419" customWidth="1"/>
    <col min="24" max="24" width="2.85546875" style="1421" customWidth="1"/>
    <col min="25" max="25" width="20.7109375" style="1419" customWidth="1"/>
    <col min="26" max="26" width="12.42578125" style="1419" customWidth="1"/>
    <col min="27" max="27" width="17.42578125" style="1408" customWidth="1"/>
    <col min="28" max="28" width="20.85546875" style="1408" customWidth="1"/>
    <col min="29" max="29" width="18.140625" style="1408" customWidth="1"/>
    <col min="30" max="30" width="20.5703125" style="1398" customWidth="1"/>
    <col min="31" max="32" width="17.42578125" style="1408" customWidth="1"/>
    <col min="33" max="33" width="11.28515625" style="1398" customWidth="1"/>
    <col min="34" max="34" width="20.7109375" style="1408" bestFit="1" customWidth="1"/>
    <col min="35" max="35" width="16.28515625" style="1408" bestFit="1" customWidth="1"/>
    <col min="36" max="37" width="19.140625" style="1408" bestFit="1" customWidth="1"/>
    <col min="38" max="38" width="14.5703125" style="1408" bestFit="1" customWidth="1"/>
    <col min="39" max="39" width="16.42578125" style="1408" bestFit="1" customWidth="1"/>
    <col min="40" max="40" width="16.28515625" style="1422" hidden="1" customWidth="1"/>
    <col min="41" max="41" width="15.7109375" style="1422" hidden="1" customWidth="1"/>
    <col min="42" max="42" width="15.85546875" style="1423" hidden="1" customWidth="1"/>
    <col min="43" max="43" width="14.42578125" style="1423" hidden="1" customWidth="1"/>
    <col min="44" max="44" width="19.85546875" style="1423" hidden="1" customWidth="1"/>
    <col min="45" max="45" width="14.42578125" style="1423" hidden="1" customWidth="1"/>
    <col min="46" max="46" width="13.85546875" style="1423" hidden="1" customWidth="1"/>
    <col min="47" max="47" width="14.42578125" style="1423" hidden="1" customWidth="1"/>
    <col min="48" max="48" width="9.5703125" style="1423" hidden="1" customWidth="1"/>
    <col min="49" max="49" width="16.28515625" style="1398" hidden="1" customWidth="1"/>
    <col min="50" max="50" width="12.85546875" style="1424" customWidth="1"/>
    <col min="51" max="51" width="13.28515625" style="1424" customWidth="1"/>
    <col min="52" max="52" width="10.7109375" style="1424" customWidth="1"/>
    <col min="53" max="54" width="17.7109375" style="1408" hidden="1" customWidth="1"/>
    <col min="55" max="55" width="18.5703125" style="1408" customWidth="1"/>
    <col min="56" max="56" width="18.5703125" style="1398" customWidth="1"/>
    <col min="57" max="57" width="17.85546875" style="1398" customWidth="1"/>
    <col min="58" max="58" width="15.28515625" style="1398" customWidth="1"/>
    <col min="59" max="61" width="9.140625" style="1408"/>
    <col min="62" max="62" width="49.7109375" style="1408" customWidth="1"/>
    <col min="63" max="16384" width="9.140625" style="1408"/>
  </cols>
  <sheetData>
    <row r="1" spans="1:58" ht="8.25" customHeight="1" thickBot="1">
      <c r="B1" s="1409"/>
      <c r="C1" s="1410"/>
      <c r="D1" s="1410"/>
      <c r="E1" s="1410"/>
      <c r="F1" s="1411"/>
      <c r="R1" s="1417"/>
    </row>
    <row r="2" spans="1:58" ht="38.25">
      <c r="B2" s="1763"/>
      <c r="C2" s="1764"/>
      <c r="D2" s="1764"/>
      <c r="E2" s="1764"/>
      <c r="F2" s="1765"/>
      <c r="G2" s="1425"/>
      <c r="H2" s="1426"/>
      <c r="I2" s="1501"/>
      <c r="J2" s="1427" t="s">
        <v>1892</v>
      </c>
      <c r="K2" s="1428"/>
      <c r="L2" s="1428"/>
      <c r="M2" s="1428"/>
      <c r="N2" s="1428"/>
      <c r="O2" s="1922" t="str">
        <f>"អត្រាប្តូរប្រាក់ថ្ងៃ៖​​ " &amp;nbc_exchange_date</f>
        <v>អត្រាប្តូរប្រាក់ថ្ងៃ៖​​ ២៣ មិថុនា ២០២៦</v>
      </c>
      <c r="P2" s="1922"/>
      <c r="Q2" s="1427"/>
      <c r="R2" s="1429"/>
      <c r="S2" s="1430"/>
      <c r="T2" s="1430"/>
      <c r="U2" s="1431"/>
      <c r="V2" s="1430"/>
      <c r="W2" s="1431"/>
      <c r="X2" s="1430"/>
      <c r="Y2" s="1431"/>
      <c r="Z2" s="1431"/>
    </row>
    <row r="3" spans="1:58" ht="8.25" customHeight="1" thickBot="1">
      <c r="B3" s="1766"/>
      <c r="C3" s="1432"/>
      <c r="D3" s="1432"/>
      <c r="E3" s="1432"/>
      <c r="F3" s="1767"/>
      <c r="G3" s="1433"/>
      <c r="H3" s="1434"/>
      <c r="I3" s="1502"/>
      <c r="J3" s="1435"/>
      <c r="K3" s="1435"/>
      <c r="L3" s="1435"/>
      <c r="M3" s="1435"/>
      <c r="N3" s="1435"/>
      <c r="O3" s="1435"/>
      <c r="P3" s="1435"/>
      <c r="Q3" s="1435"/>
      <c r="R3" s="1436"/>
      <c r="S3" s="1437"/>
      <c r="T3" s="1437"/>
      <c r="U3" s="1438"/>
      <c r="V3" s="1437"/>
      <c r="W3" s="1438"/>
      <c r="X3" s="1437"/>
      <c r="Y3" s="1438"/>
      <c r="Z3" s="1438"/>
    </row>
    <row r="4" spans="1:58" ht="35.1" customHeight="1" thickBot="1">
      <c r="A4" s="1439"/>
      <c r="B4" s="1768"/>
      <c r="C4" s="1440"/>
      <c r="D4" s="1440"/>
      <c r="E4" s="1440"/>
      <c r="F4" s="1769"/>
      <c r="J4" s="1441" t="s">
        <v>1997</v>
      </c>
      <c r="K4" s="1442"/>
      <c r="L4" s="1923" t="s">
        <v>22</v>
      </c>
      <c r="M4" s="1924"/>
      <c r="N4" s="2129">
        <f>IF(invoice_price_type="","",MID(invoice_price_type,1,2)*1)</f>
        <v>2</v>
      </c>
      <c r="O4" s="1755" t="s">
        <v>3559</v>
      </c>
      <c r="P4" s="1761">
        <v>4024</v>
      </c>
      <c r="T4" s="1443"/>
      <c r="U4" s="1443"/>
      <c r="V4" s="1443"/>
      <c r="AA4" s="1419"/>
      <c r="AB4" s="1419"/>
      <c r="AC4" s="1419"/>
      <c r="AD4" s="1419"/>
      <c r="AE4" s="1419"/>
      <c r="AF4" s="1419"/>
      <c r="AG4" s="1419"/>
      <c r="AH4" s="1444"/>
      <c r="AI4" s="1444"/>
      <c r="AJ4" s="1444"/>
      <c r="AK4" s="1444"/>
      <c r="AL4" s="1444"/>
      <c r="AM4" s="1444"/>
      <c r="AN4" s="1444"/>
      <c r="AO4" s="1444"/>
      <c r="AP4" s="1444"/>
      <c r="AQ4" s="1444"/>
      <c r="AR4" s="1444"/>
      <c r="AS4" s="1444"/>
      <c r="AT4" s="1444"/>
      <c r="AU4" s="1444"/>
      <c r="AV4" s="1444"/>
      <c r="AW4" s="1444"/>
      <c r="AX4" s="1444"/>
      <c r="AY4" s="1444"/>
      <c r="AZ4" s="1444"/>
      <c r="BD4" s="1445"/>
      <c r="BE4" s="1445"/>
      <c r="BF4" s="1445"/>
    </row>
    <row r="5" spans="1:58" s="1398" customFormat="1" ht="9" customHeight="1">
      <c r="A5" s="1446"/>
      <c r="B5" s="1770"/>
      <c r="C5" s="1447"/>
      <c r="D5" s="1447"/>
      <c r="E5" s="1447"/>
      <c r="F5" s="1771"/>
      <c r="G5" s="1448"/>
      <c r="H5" s="1449"/>
      <c r="I5" s="1449"/>
      <c r="L5" s="1414"/>
      <c r="M5" s="1415"/>
      <c r="N5" s="1416"/>
      <c r="R5" s="1417"/>
      <c r="S5" s="1418"/>
      <c r="T5" s="1418"/>
      <c r="U5" s="1450"/>
      <c r="V5" s="1451"/>
      <c r="W5" s="1450"/>
      <c r="X5" s="1418"/>
      <c r="Y5" s="1450"/>
      <c r="Z5" s="1450"/>
      <c r="AH5" s="1444"/>
      <c r="AI5" s="1444"/>
      <c r="AJ5" s="1444"/>
      <c r="AK5" s="1444"/>
      <c r="AL5" s="1444"/>
      <c r="AM5" s="1444"/>
      <c r="AN5" s="1422"/>
      <c r="AO5" s="1422"/>
      <c r="AP5" s="1422"/>
      <c r="AQ5" s="1422"/>
      <c r="AR5" s="1422"/>
      <c r="AS5" s="1422"/>
      <c r="AT5" s="1422"/>
      <c r="AU5" s="1422"/>
      <c r="AV5" s="1422"/>
      <c r="AW5" s="1444"/>
      <c r="AX5" s="1452"/>
      <c r="AY5" s="1452"/>
      <c r="AZ5" s="1452"/>
    </row>
    <row r="6" spans="1:58" s="1423" customFormat="1" ht="28.5" customHeight="1">
      <c r="A6" s="1453"/>
      <c r="B6" s="1772"/>
      <c r="C6" s="1512" t="s">
        <v>1679</v>
      </c>
      <c r="D6" s="2138">
        <v>1</v>
      </c>
      <c r="E6" s="1512" t="str">
        <f>IF(invoice_status=-1,"Edit",IF(invoice_status=1,"Issue",IF(invoice_status=2,"Fullfilied",IF(invoice_status=3,"Partial",1))))</f>
        <v>Issue</v>
      </c>
      <c r="F6" s="1769"/>
      <c r="G6" s="1454"/>
      <c r="H6" s="1455"/>
      <c r="I6" s="1455"/>
      <c r="J6" s="1506" t="s">
        <v>47</v>
      </c>
      <c r="K6" s="1507" t="s">
        <v>741</v>
      </c>
      <c r="L6" s="1507"/>
      <c r="M6" s="1506" t="s">
        <v>105</v>
      </c>
      <c r="N6" s="1506" t="s">
        <v>152</v>
      </c>
      <c r="O6" s="1506" t="s">
        <v>1681</v>
      </c>
      <c r="P6" s="1506" t="s">
        <v>1989</v>
      </c>
      <c r="Q6" s="1506" t="s">
        <v>2065</v>
      </c>
      <c r="R6" s="1506" t="s">
        <v>735</v>
      </c>
      <c r="S6" s="1508" t="str">
        <f>"តម្លៃឯកតា"&amp;IF(invoice_branch="",""," ("&amp;invoice_currency_symbol&amp;")")</f>
        <v>តម្លៃឯកតា ($)</v>
      </c>
      <c r="T6" s="1508"/>
      <c r="U6" s="1508"/>
      <c r="V6" s="1507" t="str">
        <f>"បញ្ចុះតម្លៃ"&amp;IF(invoice_branch="",""," ("&amp;invoice_currency_symbol&amp;")")</f>
        <v>បញ្ចុះតម្លៃ ($)</v>
      </c>
      <c r="W6" s="1507"/>
      <c r="X6" s="1507" t="str">
        <f>"សរុបតម្លៃ"&amp;IF(invoice_branch="",""," ("&amp;invoice_currency_symbol&amp;")")</f>
        <v>សរុបតម្លៃ ($)</v>
      </c>
      <c r="Y6" s="1507"/>
      <c r="Z6" s="1506" t="s">
        <v>71</v>
      </c>
      <c r="AA6" s="1513" t="s">
        <v>1612</v>
      </c>
      <c r="AB6" s="1513" t="s">
        <v>1911</v>
      </c>
      <c r="AC6" s="1513" t="s">
        <v>46</v>
      </c>
      <c r="AD6" s="1513" t="s">
        <v>63</v>
      </c>
      <c r="AE6" s="1513" t="s">
        <v>1924</v>
      </c>
      <c r="AF6" s="1513" t="s">
        <v>280</v>
      </c>
      <c r="AG6" s="1513" t="s">
        <v>278</v>
      </c>
      <c r="AH6" s="1513" t="s">
        <v>3556</v>
      </c>
      <c r="AI6" s="1513" t="s">
        <v>1913</v>
      </c>
      <c r="AJ6" s="1513" t="s">
        <v>2059</v>
      </c>
      <c r="AK6" s="1513" t="s">
        <v>2059</v>
      </c>
      <c r="AL6" s="1513" t="s">
        <v>2056</v>
      </c>
      <c r="AM6" s="1513" t="s">
        <v>1988</v>
      </c>
      <c r="AN6" s="1513" t="s">
        <v>1914</v>
      </c>
      <c r="AO6" s="1513" t="s">
        <v>1915</v>
      </c>
      <c r="AP6" s="1513" t="s">
        <v>1916</v>
      </c>
      <c r="AQ6" s="1513" t="s">
        <v>1917</v>
      </c>
      <c r="AR6" s="1513" t="s">
        <v>1919</v>
      </c>
      <c r="AS6" s="1513" t="s">
        <v>2084</v>
      </c>
      <c r="AT6" s="1513"/>
      <c r="AU6" s="1513"/>
      <c r="AV6" s="1513"/>
      <c r="AW6" s="1513"/>
      <c r="AX6" s="1920" t="s">
        <v>2816</v>
      </c>
      <c r="AY6" s="1920" t="s">
        <v>2818</v>
      </c>
      <c r="AZ6" s="1920" t="s">
        <v>2817</v>
      </c>
      <c r="BA6" s="1513"/>
      <c r="BB6" s="1513"/>
    </row>
    <row r="7" spans="1:58" ht="19.5" customHeight="1">
      <c r="A7" s="1439"/>
      <c r="B7" s="1773"/>
      <c r="C7" s="1456"/>
      <c r="D7" s="1456"/>
      <c r="E7" s="1456"/>
      <c r="F7" s="1774"/>
      <c r="G7" s="1457"/>
      <c r="I7" s="1449" t="s">
        <v>1929</v>
      </c>
      <c r="J7" s="1509" t="s">
        <v>9</v>
      </c>
      <c r="K7" s="1510" t="s">
        <v>111</v>
      </c>
      <c r="L7" s="1510"/>
      <c r="M7" s="1509" t="s">
        <v>103</v>
      </c>
      <c r="N7" s="1509" t="s">
        <v>76</v>
      </c>
      <c r="O7" s="1509" t="s">
        <v>732</v>
      </c>
      <c r="P7" s="1509" t="s">
        <v>1990</v>
      </c>
      <c r="Q7" s="1509" t="s">
        <v>2064</v>
      </c>
      <c r="R7" s="1509" t="s">
        <v>473</v>
      </c>
      <c r="S7" s="1510" t="s">
        <v>2057</v>
      </c>
      <c r="T7" s="1510"/>
      <c r="U7" s="1509" t="s">
        <v>2063</v>
      </c>
      <c r="V7" s="1510" t="s">
        <v>95</v>
      </c>
      <c r="W7" s="1510"/>
      <c r="X7" s="1511" t="s">
        <v>94</v>
      </c>
      <c r="Y7" s="1511"/>
      <c r="Z7" s="1509" t="s">
        <v>87</v>
      </c>
      <c r="AA7" s="1515" t="s">
        <v>303</v>
      </c>
      <c r="AB7" s="1514" t="s">
        <v>1920</v>
      </c>
      <c r="AC7" s="1514" t="str">
        <f>"Dis Price"</f>
        <v>Dis Price</v>
      </c>
      <c r="AD7" s="1514" t="s">
        <v>2062</v>
      </c>
      <c r="AE7" s="1514" t="s">
        <v>77</v>
      </c>
      <c r="AF7" s="1514" t="s">
        <v>29</v>
      </c>
      <c r="AG7" s="1514" t="s">
        <v>718</v>
      </c>
      <c r="AH7" s="1514" t="s">
        <v>737</v>
      </c>
      <c r="AI7" s="1514" t="s">
        <v>738</v>
      </c>
      <c r="AJ7" s="1514" t="s">
        <v>2058</v>
      </c>
      <c r="AK7" s="1514" t="s">
        <v>2061</v>
      </c>
      <c r="AL7" s="1514" t="s">
        <v>2055</v>
      </c>
      <c r="AM7" s="1514" t="s">
        <v>1987</v>
      </c>
      <c r="AN7" s="1514" t="s">
        <v>1626</v>
      </c>
      <c r="AO7" s="1514" t="s">
        <v>1921</v>
      </c>
      <c r="AP7" s="1514" t="s">
        <v>1922</v>
      </c>
      <c r="AQ7" s="1514" t="s">
        <v>1923</v>
      </c>
      <c r="AR7" s="1514" t="s">
        <v>1918</v>
      </c>
      <c r="AS7" s="1514" t="s">
        <v>2083</v>
      </c>
      <c r="AT7" s="1514" t="s">
        <v>2102</v>
      </c>
      <c r="AU7" s="1514" t="s">
        <v>2103</v>
      </c>
      <c r="AV7" s="1514" t="s">
        <v>737</v>
      </c>
      <c r="AW7" s="1514" t="s">
        <v>2058</v>
      </c>
      <c r="AX7" s="1921"/>
      <c r="AY7" s="1921"/>
      <c r="AZ7" s="1921"/>
      <c r="BA7" s="1514" t="s">
        <v>2283</v>
      </c>
      <c r="BB7" s="1514" t="s">
        <v>2284</v>
      </c>
    </row>
    <row r="8" spans="1:58" ht="27" customHeight="1" thickBot="1">
      <c r="A8" s="1439"/>
      <c r="B8" s="1775"/>
      <c r="C8" s="1458" t="s">
        <v>2803</v>
      </c>
      <c r="D8" s="1459">
        <v>3</v>
      </c>
      <c r="E8" s="1460" t="s">
        <v>3636</v>
      </c>
      <c r="F8" s="1776">
        <f>COUNTIFS([1]SaleInvoiceData!AD8:AD10002,"&gt;0")</f>
        <v>5</v>
      </c>
      <c r="G8" s="1461"/>
      <c r="H8" s="1462"/>
      <c r="I8" s="2139" t="str">
        <f>IF(M8="","",MID(M8,1,5)*1)</f>
        <v/>
      </c>
      <c r="J8" s="2140" t="str">
        <f>IF(M8="","",1)</f>
        <v/>
      </c>
      <c r="K8" s="2141" t="str">
        <f>IF(M8="","",VLOOKUP(I8,product_list,4,FALSE))</f>
        <v/>
      </c>
      <c r="L8" s="2142"/>
      <c r="M8" s="1399"/>
      <c r="N8" s="1400"/>
      <c r="O8" s="1400"/>
      <c r="P8" s="1401"/>
      <c r="Q8" s="1402"/>
      <c r="R8" s="1403"/>
      <c r="S8" s="2143" t="str">
        <f t="shared" ref="S8:S71" si="0">IF(M8="","",invoice_currency_symbol)</f>
        <v/>
      </c>
      <c r="T8" s="1404"/>
      <c r="U8" s="2144" t="str">
        <f>IF(M8="","",ROUND(IF(AS8&gt;0,AS8,IF(P8=AN8,AF8,IF(P8=AO8,ROUND(AF8/AA8,9),IF(P8=AP8,ROUND(AF8/AB8,9))))),2))</f>
        <v/>
      </c>
      <c r="V8" s="2145" t="str">
        <f t="shared" ref="V8:V39" si="1">IF(W8=0,"",invoice_currency_symbol)</f>
        <v/>
      </c>
      <c r="W8" s="1405"/>
      <c r="X8" s="2145" t="str">
        <f t="shared" ref="X8:X39" si="2">IF(M8="","",invoice_currency_symbol)</f>
        <v/>
      </c>
      <c r="Y8" s="2146" t="str">
        <f>IF(M8="","",ROUND(IF(T8&gt;0,N8*T8-W8,N8*U8-W8),2))</f>
        <v/>
      </c>
      <c r="Z8" s="1406"/>
      <c r="AA8" s="2147" t="str" cm="1">
        <f t="array" ref="AA8">IF(M8="","",IF(P8=AN8,1,Slookup(MID(AN8,1,3)*1,UomConversion!$D$8:$J$500,5,UomConversion!$E$8:$E$500,MID(P8,1,3)*1,UomConversion!$J$8:$J$500,1)))</f>
        <v/>
      </c>
      <c r="AB8" s="2147" t="str">
        <f t="shared" ref="AB8" si="3">IF(AND(M8="",ISNA(VLOOKUP(I8,product_list,18,FALSE))),"",VLOOKUP(I8,product_list,18,FALSE))</f>
        <v/>
      </c>
      <c r="AC8" s="2147" t="str">
        <f>IF(M8="","",W8)</f>
        <v/>
      </c>
      <c r="AD8" s="2147" t="str">
        <f>IF(M8="","",IF(P8=AN8,AE8,IF(P8=AO8,ROUND(AE8/AA8,9),IF(P8=AP8,ROUND(AE8/AB8,9)))))</f>
        <v/>
      </c>
      <c r="AE8" s="2147" t="str">
        <f t="shared" ref="AE8" si="4">IF(M8="","",VLOOKUP(I8,product_list,14,FALSE))</f>
        <v/>
      </c>
      <c r="AF8" s="2147" t="str">
        <f>IF(M8="","",SUMIFS(ProductPrice!N28:N10000,ProductPrice!D28:D10000,I8,ProductPrice!G28:G10000,invoice_branch_id,ProductPrice!H28:H10000,invoice_price_type_id,ProductPrice!I28:I10000,MID(P8,1,3)*1,ProductPrice!Q28:Q10000,1,ProductPrice!T28:T10000,1))</f>
        <v/>
      </c>
      <c r="AG8" s="2147" t="str">
        <f t="shared" ref="AG8" si="5">IF(M8="","",VLOOKUP(I8,product_list,23,FALSE))</f>
        <v/>
      </c>
      <c r="AH8" s="2147" t="str">
        <f>IF(I8="","",IF(ISNA(MATCH(I8,IF(invoice_location_id=1,'[1]1_inventory_totals'!$C$8:$C$10000,IF(invoice_location_id=2,'[1]2_inventory_totals'!$C$8:$C$10000,0)),0)),0,IF(AV8&gt;0,1,0)))</f>
        <v/>
      </c>
      <c r="AI8" s="2147" t="str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/>
      </c>
      <c r="AJ8" s="2147" t="str">
        <f>IF(M8="","",IF(ISNA(MATCH(I8,'[1]1_group_totals'!$C$8:$C$10000)),0,IF(AW8&gt;0,1,0)))</f>
        <v/>
      </c>
      <c r="AK8" s="2147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/>
      </c>
      <c r="AL8" s="2147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/>
      </c>
      <c r="AM8" s="2147" t="str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/>
      </c>
      <c r="AN8" s="2147" t="str">
        <f t="shared" ref="AN8" si="6">IF(M8="","",VLOOKUP(I8,product_list,8,FALSE))</f>
        <v/>
      </c>
      <c r="AO8" s="2147" t="str">
        <f>IF(OR(ISNA(MATCH(MID(AN8,1,3)*1,UomConversion!$D$8:$D$500,0)),M8=""),"",IF(AT8="","",AT8))</f>
        <v/>
      </c>
      <c r="AP8" s="2147" t="str">
        <f>IF(AND(AQ8&gt;0,COUNTIFS(UomConversion!$D$8:$D$500,MID(AN8,1,3)*1,UomConversion!$J$8:$J$500,1)&gt;1),TEXT(AQ8,"000")&amp;"."&amp;VLOOKUP(AQ8,uom_list,5,FALSE),"")</f>
        <v/>
      </c>
      <c r="AQ8" s="2147" t="str">
        <f>IF(AND(AU8&gt;0,M8&lt;&gt;""),AU8,"")</f>
        <v/>
      </c>
      <c r="AR8" s="2147" t="str">
        <f>IF(M8="","",IF(AA8&gt;0,AB8/AA8,""))</f>
        <v/>
      </c>
      <c r="AS8" s="2147" t="str">
        <f>IF(M8="","",SUMIFS(ProductPrice!$N$28:$N$10020,ProductPrice!$D$28:$D$10020,I8,ProductPrice!$G$28:$G$10020,invoice_branch_id,ProductPrice!$H$28:$H$10020,invoice_price_type_id,ProductPrice!$I$28:$I$10020,MID(P8,1,3)*1,ProductPrice!$Q$28:$Q$10020,1))</f>
        <v/>
      </c>
      <c r="AT8" s="2147" t="str">
        <f t="shared" ref="AT8:AT39" si="7">IF(OR(ISNA(VLOOKUP(MID(AN8,1,3)*1,uom_converion_list,2,FALSE)),M8=""),"",TEXT(VLOOKUP(MID(AN8,1,3)*1,uom_converion_list,2,FALSE),"000")&amp;"."&amp;VLOOKUP(VLOOKUP(MID(AN8,1,3)*1,uom_converion_list,2,FALSE),uom_list,5,FALSE))</f>
        <v/>
      </c>
      <c r="AU8" s="2147" t="str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/>
      </c>
      <c r="AV8" s="2147" t="str">
        <f t="shared" ref="AV8:AV39" si="8">IF(M8="","",IF(invoice_location_id=1,BA8,IF(invoice_location_id=2,BB8,0)))</f>
        <v/>
      </c>
      <c r="AW8" s="2147" t="str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/>
      </c>
      <c r="AX8" s="2147" t="str">
        <f>IF(M8="","",IF((N8+O8)*(AB8/AA8)&gt;0,(N8+O8)*(AB8/AA8),0))</f>
        <v/>
      </c>
      <c r="AY8" s="2147" t="str">
        <f>IF(M8="","",SUMIFS($AX$8:AX8,$I$8:I8,I8))</f>
        <v/>
      </c>
      <c r="AZ8" s="2147" t="str">
        <f>IF(M8="","",AL8-AY8)</f>
        <v/>
      </c>
      <c r="BA8" s="2147" t="str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/>
      </c>
      <c r="BB8" s="2147" t="str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/>
      </c>
    </row>
    <row r="9" spans="1:58" ht="27" customHeight="1" thickBot="1">
      <c r="A9" s="1439"/>
      <c r="B9" s="1773"/>
      <c r="C9" s="1752">
        <v>46216</v>
      </c>
      <c r="D9" s="2134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2</v>
      </c>
      <c r="E9" s="2124" t="str">
        <f>"CI"&amp;YEAR(C9)&amp;"-"&amp;TEXT(invoice_no,"0000")</f>
        <v>CI2026-0006</v>
      </c>
      <c r="F9" s="2125">
        <f>COUNTIFS([1]SaleInvoiceData!AD8:AD10002,"&gt;0")+1</f>
        <v>6</v>
      </c>
      <c r="G9" s="1457"/>
      <c r="I9" s="2139" t="str">
        <f t="shared" ref="I9:I72" si="9">IF(M9="","",MID(M9,1,5)*1)</f>
        <v/>
      </c>
      <c r="J9" s="2140" t="str">
        <f>IF(M9="","",J8+1)</f>
        <v/>
      </c>
      <c r="K9" s="2141" t="str">
        <f t="shared" ref="K9:K40" si="10">IF(M9="","",VLOOKUP(I9,product_list,4,FALSE))</f>
        <v/>
      </c>
      <c r="L9" s="2142"/>
      <c r="M9" s="1399"/>
      <c r="N9" s="1400"/>
      <c r="O9" s="1400"/>
      <c r="P9" s="1401"/>
      <c r="Q9" s="1402"/>
      <c r="R9" s="1403"/>
      <c r="S9" s="2143" t="str">
        <f t="shared" si="0"/>
        <v/>
      </c>
      <c r="T9" s="1404"/>
      <c r="U9" s="2144" t="str">
        <f t="shared" ref="U9:U72" si="11">IF(M9="","",ROUND(IF(AS9&gt;0,AS9,IF(P9=AN9,AF9,IF(P9=AO9,ROUND(AF9/AA9,9),IF(P9=AP9,ROUND(AF9/AB9,9))))),2))</f>
        <v/>
      </c>
      <c r="V9" s="2145" t="str">
        <f t="shared" si="1"/>
        <v/>
      </c>
      <c r="W9" s="1405"/>
      <c r="X9" s="2145" t="str">
        <f t="shared" si="2"/>
        <v/>
      </c>
      <c r="Y9" s="2146" t="str">
        <f t="shared" ref="Y9:Y72" si="12">IF(M9="","",ROUND(IF(T9&gt;0,N9*T9-W9,N9*U9-W9),2))</f>
        <v/>
      </c>
      <c r="Z9" s="1406"/>
      <c r="AA9" s="2147" t="str" cm="1">
        <f t="array" ref="AA9">IF(M9="","",IF(P9=AN9,1,Slookup(MID(AN9,1,3)*1,UomConversion!$D$8:$J$500,5,UomConversion!$E$8:$E$500,MID(P9,1,3)*1,UomConversion!$J$8:$J$500,1)))</f>
        <v/>
      </c>
      <c r="AB9" s="2147" t="str">
        <f t="shared" ref="AB9:AB72" si="13">IF(AND(M9="",ISNA(VLOOKUP(I9,product_list,18,FALSE))),"",VLOOKUP(I9,product_list,18,FALSE))</f>
        <v/>
      </c>
      <c r="AC9" s="2147" t="str">
        <f t="shared" ref="AC9:AC72" si="14">IF(M9="","",W9)</f>
        <v/>
      </c>
      <c r="AD9" s="2147" t="str">
        <f t="shared" ref="AD9:AD72" si="15">IF(M9="","",IF(P9=AN9,AE9,IF(P9=AO9,ROUND(AE9/AA9,9),IF(P9=AP9,ROUND(AE9/AB9,9)))))</f>
        <v/>
      </c>
      <c r="AE9" s="2147" t="str">
        <f t="shared" ref="AE9:AE72" si="16">IF(M9="","",VLOOKUP(I9,product_list,14,FALSE))</f>
        <v/>
      </c>
      <c r="AF9" s="2147" t="str">
        <f>IF(M9="","",SUMIFS(ProductPrice!N29:N10001,ProductPrice!D29:D10001,I9,ProductPrice!G29:G10001,invoice_branch_id,ProductPrice!H29:H10001,invoice_price_type_id,ProductPrice!I29:I10001,MID(P9,1,3)*1,ProductPrice!Q29:Q10001,1,ProductPrice!T29:T10001,1))</f>
        <v/>
      </c>
      <c r="AG9" s="2147" t="str">
        <f t="shared" ref="AG9:AG72" si="17">IF(M9="","",VLOOKUP(I9,product_list,23,FALSE))</f>
        <v/>
      </c>
      <c r="AH9" s="2147" t="str">
        <f>IF(I9="","",IF(ISNA(MATCH(I9,IF(invoice_location_id=1,'[1]1_inventory_totals'!$C$8:$C$10000,IF(invoice_location_id=2,'[1]2_inventory_totals'!$C$8:$C$10000,0)),0)),0,IF(AV9&gt;0,1,0)))</f>
        <v/>
      </c>
      <c r="AI9" s="2147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2147" t="str">
        <f>IF(M9="","",IF(ISNA(MATCH(I9,'[1]1_group_totals'!$C$8:$C$10000)),0,IF(AW9&gt;0,1,0)))</f>
        <v/>
      </c>
      <c r="AK9" s="214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214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2147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2147" t="str">
        <f t="shared" ref="AN9:AN72" si="18">IF(M9="","",VLOOKUP(I9,product_list,8,FALSE))</f>
        <v/>
      </c>
      <c r="AO9" s="2147" t="str">
        <f>IF(OR(ISNA(MATCH(MID(AN9,1,3)*1,UomConversion!$D$8:$D$500,0)),M9=""),"",IF(AT9="","",AT9))</f>
        <v/>
      </c>
      <c r="AP9" s="2147" t="str">
        <f>IF(AND(AQ9&gt;0,COUNTIFS(UomConversion!$D$8:$D$500,MID(AN9,1,3)*1,UomConversion!$J$8:$J$500,1)&gt;1),TEXT(AQ9,"000")&amp;"."&amp;VLOOKUP(AQ9,uom_list,5,FALSE),"")</f>
        <v/>
      </c>
      <c r="AQ9" s="2147" t="str">
        <f t="shared" ref="AQ9:AQ72" si="19">IF(AND(AU9&gt;0,M9&lt;&gt;""),AU9,"")</f>
        <v/>
      </c>
      <c r="AR9" s="2147" t="str">
        <f t="shared" ref="AR9:AR72" si="20">IF(M9="","",IF(AA9&gt;0,AB9/AA9,""))</f>
        <v/>
      </c>
      <c r="AS9" s="2147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147" t="str">
        <f t="shared" si="7"/>
        <v/>
      </c>
      <c r="AU9" s="2147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147" t="str">
        <f t="shared" si="8"/>
        <v/>
      </c>
      <c r="AW9" s="2147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2147" t="str">
        <f t="shared" ref="AX9:AX72" si="21">IF(M9="","",IF((N9+O9)*(AB9/AA9)&gt;0,(N9+O9)*(AB9/AA9),0))</f>
        <v/>
      </c>
      <c r="AY9" s="2147" t="str">
        <f>IF(M9="","",SUMIFS($AX$8:AX9,$I$8:I9,I9))</f>
        <v/>
      </c>
      <c r="AZ9" s="2147" t="str">
        <f t="shared" ref="AZ9:AZ72" si="22">IF(M9="","",AL9-AY9)</f>
        <v/>
      </c>
      <c r="BA9" s="2147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2147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1439"/>
      <c r="B10" s="1773"/>
      <c r="C10" s="1463" t="s">
        <v>2804</v>
      </c>
      <c r="D10" s="1777"/>
      <c r="E10" s="1778" t="s">
        <v>3522</v>
      </c>
      <c r="F10" s="1779"/>
      <c r="I10" s="2139" t="str">
        <f t="shared" si="9"/>
        <v/>
      </c>
      <c r="J10" s="2140" t="str">
        <f t="shared" ref="J10:J30" si="23">IF(M10="","",J9+1)</f>
        <v/>
      </c>
      <c r="K10" s="2141" t="str">
        <f>IF(M10="","",VLOOKUP(I10,product_list,4,FALSE))</f>
        <v/>
      </c>
      <c r="L10" s="2142"/>
      <c r="M10" s="1399"/>
      <c r="N10" s="1400"/>
      <c r="O10" s="1400"/>
      <c r="P10" s="1401"/>
      <c r="Q10" s="1402"/>
      <c r="R10" s="1403"/>
      <c r="S10" s="2143" t="str">
        <f t="shared" si="0"/>
        <v/>
      </c>
      <c r="T10" s="1404"/>
      <c r="U10" s="2144" t="str">
        <f t="shared" si="11"/>
        <v/>
      </c>
      <c r="V10" s="2145" t="str">
        <f t="shared" si="1"/>
        <v/>
      </c>
      <c r="W10" s="1405"/>
      <c r="X10" s="2145" t="str">
        <f t="shared" si="2"/>
        <v/>
      </c>
      <c r="Y10" s="2146" t="str">
        <f t="shared" si="12"/>
        <v/>
      </c>
      <c r="Z10" s="1406"/>
      <c r="AA10" s="2147" t="str" cm="1">
        <f t="array" ref="AA10">IF(M10="","",IF(P10=AN10,1,Slookup(MID(AN10,1,3)*1,UomConversion!$D$8:$J$500,5,UomConversion!$E$8:$E$500,MID(P10,1,3)*1,UomConversion!$J$8:$J$500,1)))</f>
        <v/>
      </c>
      <c r="AB10" s="2147" t="str">
        <f t="shared" si="13"/>
        <v/>
      </c>
      <c r="AC10" s="2147" t="str">
        <f t="shared" si="14"/>
        <v/>
      </c>
      <c r="AD10" s="2147" t="str">
        <f t="shared" si="15"/>
        <v/>
      </c>
      <c r="AE10" s="2147" t="str">
        <f t="shared" si="16"/>
        <v/>
      </c>
      <c r="AF10" s="2147" t="str">
        <f>IF(M10="","",SUMIFS(ProductPrice!N30:N10002,ProductPrice!D30:D10002,I10,ProductPrice!G30:G10002,invoice_branch_id,ProductPrice!H30:H10002,invoice_price_type_id,ProductPrice!I30:I10002,MID(P10,1,3)*1,ProductPrice!Q30:Q10002,1,ProductPrice!T30:T10002,1))</f>
        <v/>
      </c>
      <c r="AG10" s="2147" t="str">
        <f t="shared" si="17"/>
        <v/>
      </c>
      <c r="AH10" s="2147" t="str">
        <f>IF(I10="","",IF(ISNA(MATCH(I10,IF(invoice_location_id=1,'[1]1_inventory_totals'!$C$8:$C$10000,IF(invoice_location_id=2,'[1]2_inventory_totals'!$C$8:$C$10000,0)),0)),0,IF(AV10&gt;0,1,0)))</f>
        <v/>
      </c>
      <c r="AI10" s="2147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2147" t="str">
        <f>IF(M10="","",IF(ISNA(MATCH(I10,'[1]1_group_totals'!$C$8:$C$10000)),0,IF(AW10&gt;0,1,0)))</f>
        <v/>
      </c>
      <c r="AK10" s="214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214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2147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2147" t="str">
        <f t="shared" si="18"/>
        <v/>
      </c>
      <c r="AO10" s="2147" t="str">
        <f>IF(OR(ISNA(MATCH(MID(AN10,1,3)*1,UomConversion!$D$8:$D$500,0)),M10=""),"",IF(AT10="","",AT10))</f>
        <v/>
      </c>
      <c r="AP10" s="2147" t="str">
        <f>IF(AND(AQ10&gt;0,COUNTIFS(UomConversion!$D$8:$D$500,MID(AN10,1,3)*1,UomConversion!$J$8:$J$500,1)&gt;1),TEXT(AQ10,"000")&amp;"."&amp;VLOOKUP(AQ10,uom_list,5,FALSE),"")</f>
        <v/>
      </c>
      <c r="AQ10" s="2147" t="str">
        <f t="shared" si="19"/>
        <v/>
      </c>
      <c r="AR10" s="2147" t="str">
        <f t="shared" si="20"/>
        <v/>
      </c>
      <c r="AS10" s="2147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147" t="str">
        <f t="shared" si="7"/>
        <v/>
      </c>
      <c r="AU10" s="214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147" t="str">
        <f t="shared" si="8"/>
        <v/>
      </c>
      <c r="AW10" s="2147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2147" t="str">
        <f t="shared" si="21"/>
        <v/>
      </c>
      <c r="AY10" s="2147" t="str">
        <f>IF(M10="","",SUMIFS($AX$8:AX10,$I$8:I10,I10))</f>
        <v/>
      </c>
      <c r="AZ10" s="2147" t="str">
        <f t="shared" si="22"/>
        <v/>
      </c>
      <c r="BA10" s="214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214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1439"/>
      <c r="B11" s="1773"/>
      <c r="C11" s="1822" t="s">
        <v>3456</v>
      </c>
      <c r="D11" s="1824"/>
      <c r="E11" s="2126">
        <f>MID(invoice_customer,1,4)*1</f>
        <v>1</v>
      </c>
      <c r="F11" s="1780"/>
      <c r="G11" s="1457"/>
      <c r="I11" s="2139" t="str">
        <f t="shared" si="9"/>
        <v/>
      </c>
      <c r="J11" s="2140" t="str">
        <f t="shared" si="23"/>
        <v/>
      </c>
      <c r="K11" s="2141" t="str">
        <f t="shared" si="10"/>
        <v/>
      </c>
      <c r="L11" s="2142"/>
      <c r="M11" s="1399"/>
      <c r="N11" s="1400"/>
      <c r="O11" s="1400"/>
      <c r="P11" s="1401"/>
      <c r="Q11" s="1402"/>
      <c r="R11" s="1403"/>
      <c r="S11" s="2143" t="str">
        <f t="shared" si="0"/>
        <v/>
      </c>
      <c r="T11" s="1404"/>
      <c r="U11" s="2144" t="str">
        <f t="shared" si="11"/>
        <v/>
      </c>
      <c r="V11" s="2145" t="str">
        <f t="shared" si="1"/>
        <v/>
      </c>
      <c r="W11" s="1405"/>
      <c r="X11" s="2145" t="str">
        <f t="shared" si="2"/>
        <v/>
      </c>
      <c r="Y11" s="2146" t="str">
        <f t="shared" si="12"/>
        <v/>
      </c>
      <c r="Z11" s="1406"/>
      <c r="AA11" s="2147" t="str" cm="1">
        <f t="array" ref="AA11">IF(M11="","",IF(P11=AN11,1,Slookup(MID(AN11,1,3)*1,UomConversion!$D$8:$J$500,5,UomConversion!$E$8:$E$500,MID(P11,1,3)*1,UomConversion!$J$8:$J$500,1)))</f>
        <v/>
      </c>
      <c r="AB11" s="2147" t="str">
        <f t="shared" si="13"/>
        <v/>
      </c>
      <c r="AC11" s="2147" t="str">
        <f t="shared" si="14"/>
        <v/>
      </c>
      <c r="AD11" s="2147" t="str">
        <f t="shared" si="15"/>
        <v/>
      </c>
      <c r="AE11" s="2147" t="str">
        <f t="shared" si="16"/>
        <v/>
      </c>
      <c r="AF11" s="2147" t="str">
        <f>IF(M11="","",SUMIFS(ProductPrice!N31:N10003,ProductPrice!D31:D10003,I11,ProductPrice!G31:G10003,invoice_branch_id,ProductPrice!H31:H10003,invoice_price_type_id,ProductPrice!I31:I10003,MID(P11,1,3)*1,ProductPrice!Q31:Q10003,1,ProductPrice!T31:T10003,1))</f>
        <v/>
      </c>
      <c r="AG11" s="2147" t="str">
        <f t="shared" si="17"/>
        <v/>
      </c>
      <c r="AH11" s="2147" t="str">
        <f>IF(I11="","",IF(ISNA(MATCH(I11,IF(invoice_location_id=1,'[1]1_inventory_totals'!$C$8:$C$10000,IF(invoice_location_id=2,'[1]2_inventory_totals'!$C$8:$C$10000,0)),0)),0,IF(AV11&gt;0,1,0)))</f>
        <v/>
      </c>
      <c r="AI11" s="2147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2147" t="str">
        <f>IF(M11="","",IF(ISNA(MATCH(I11,'[1]1_group_totals'!$C$8:$C$10000)),0,IF(AW11&gt;0,1,0)))</f>
        <v/>
      </c>
      <c r="AK11" s="214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214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2147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2147" t="str">
        <f t="shared" si="18"/>
        <v/>
      </c>
      <c r="AO11" s="2147" t="str">
        <f>IF(OR(ISNA(MATCH(MID(AN11,1,3)*1,UomConversion!$D$8:$D$500,0)),M11=""),"",IF(AT11="","",AT11))</f>
        <v/>
      </c>
      <c r="AP11" s="2147" t="str">
        <f>IF(AND(AQ11&gt;0,COUNTIFS(UomConversion!$D$8:$D$500,MID(AN11,1,3)*1,UomConversion!$J$8:$J$500,1)&gt;1),TEXT(AQ11,"000")&amp;"."&amp;VLOOKUP(AQ11,uom_list,5,FALSE),"")</f>
        <v/>
      </c>
      <c r="AQ11" s="2147" t="str">
        <f t="shared" si="19"/>
        <v/>
      </c>
      <c r="AR11" s="2147" t="str">
        <f t="shared" si="20"/>
        <v/>
      </c>
      <c r="AS11" s="2147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147" t="str">
        <f t="shared" si="7"/>
        <v/>
      </c>
      <c r="AU11" s="214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147" t="str">
        <f t="shared" si="8"/>
        <v/>
      </c>
      <c r="AW11" s="2147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2147" t="str">
        <f t="shared" si="21"/>
        <v/>
      </c>
      <c r="AY11" s="2147" t="str">
        <f>IF(M11="","",SUMIFS($AX$8:AX11,$I$8:I11,I11))</f>
        <v/>
      </c>
      <c r="AZ11" s="2147" t="str">
        <f t="shared" si="22"/>
        <v/>
      </c>
      <c r="BA11" s="214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214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1439"/>
      <c r="B12" s="1773"/>
      <c r="C12" s="1463" t="s">
        <v>2799</v>
      </c>
      <c r="D12" s="1777"/>
      <c r="E12" s="1463" t="s">
        <v>2805</v>
      </c>
      <c r="F12" s="1779"/>
      <c r="G12" s="1457"/>
      <c r="I12" s="2139" t="str">
        <f t="shared" si="9"/>
        <v/>
      </c>
      <c r="J12" s="2140" t="str">
        <f t="shared" si="23"/>
        <v/>
      </c>
      <c r="K12" s="2141" t="str">
        <f t="shared" si="10"/>
        <v/>
      </c>
      <c r="L12" s="2142"/>
      <c r="M12" s="1399"/>
      <c r="N12" s="1400"/>
      <c r="O12" s="1400"/>
      <c r="P12" s="1401"/>
      <c r="Q12" s="1402"/>
      <c r="R12" s="1403"/>
      <c r="S12" s="2143" t="str">
        <f t="shared" si="0"/>
        <v/>
      </c>
      <c r="T12" s="1404"/>
      <c r="U12" s="2144" t="str">
        <f t="shared" si="11"/>
        <v/>
      </c>
      <c r="V12" s="2145" t="str">
        <f t="shared" si="1"/>
        <v/>
      </c>
      <c r="W12" s="1405"/>
      <c r="X12" s="2145" t="str">
        <f t="shared" si="2"/>
        <v/>
      </c>
      <c r="Y12" s="2146" t="str">
        <f t="shared" si="12"/>
        <v/>
      </c>
      <c r="Z12" s="1406"/>
      <c r="AA12" s="2147" t="str" cm="1">
        <f t="array" ref="AA12">IF(M12="","",IF(P12=AN12,1,Slookup(MID(AN12,1,3)*1,UomConversion!$D$8:$J$500,5,UomConversion!$E$8:$E$500,MID(P12,1,3)*1,UomConversion!$J$8:$J$500,1)))</f>
        <v/>
      </c>
      <c r="AB12" s="2147" t="str">
        <f t="shared" si="13"/>
        <v/>
      </c>
      <c r="AC12" s="2147" t="str">
        <f t="shared" si="14"/>
        <v/>
      </c>
      <c r="AD12" s="2147" t="str">
        <f t="shared" si="15"/>
        <v/>
      </c>
      <c r="AE12" s="2147" t="str">
        <f t="shared" si="16"/>
        <v/>
      </c>
      <c r="AF12" s="2147" t="str">
        <f>IF(M12="","",SUMIFS(ProductPrice!N32:N10004,ProductPrice!D32:D10004,I12,ProductPrice!G32:G10004,invoice_branch_id,ProductPrice!H32:H10004,invoice_price_type_id,ProductPrice!I32:I10004,MID(P12,1,3)*1,ProductPrice!Q32:Q10004,1,ProductPrice!T32:T10004,1))</f>
        <v/>
      </c>
      <c r="AG12" s="2147" t="str">
        <f t="shared" si="17"/>
        <v/>
      </c>
      <c r="AH12" s="2147" t="str">
        <f>IF(I12="","",IF(ISNA(MATCH(I12,IF(invoice_location_id=1,'[1]1_inventory_totals'!$C$8:$C$10000,IF(invoice_location_id=2,'[1]2_inventory_totals'!$C$8:$C$10000,0)),0)),0,IF(AV12&gt;0,1,0)))</f>
        <v/>
      </c>
      <c r="AI12" s="2147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2147" t="str">
        <f>IF(M12="","",IF(ISNA(MATCH(I12,'[1]1_group_totals'!$C$8:$C$10000)),0,IF(AW12&gt;0,1,0)))</f>
        <v/>
      </c>
      <c r="AK12" s="214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214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2147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2147" t="str">
        <f t="shared" si="18"/>
        <v/>
      </c>
      <c r="AO12" s="2147" t="str">
        <f>IF(OR(ISNA(MATCH(MID(AN12,1,3)*1,UomConversion!$D$8:$D$500,0)),M12=""),"",IF(AT12="","",AT12))</f>
        <v/>
      </c>
      <c r="AP12" s="2147" t="str">
        <f>IF(AND(AQ12&gt;0,COUNTIFS(UomConversion!$D$8:$D$500,MID(AN12,1,3)*1,UomConversion!$J$8:$J$500,1)&gt;1),TEXT(AQ12,"000")&amp;"."&amp;VLOOKUP(AQ12,uom_list,5,FALSE),"")</f>
        <v/>
      </c>
      <c r="AQ12" s="2147" t="str">
        <f t="shared" si="19"/>
        <v/>
      </c>
      <c r="AR12" s="2147" t="str">
        <f t="shared" si="20"/>
        <v/>
      </c>
      <c r="AS12" s="2147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147" t="str">
        <f t="shared" si="7"/>
        <v/>
      </c>
      <c r="AU12" s="214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147" t="str">
        <f t="shared" si="8"/>
        <v/>
      </c>
      <c r="AW12" s="2147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2147" t="str">
        <f t="shared" si="21"/>
        <v/>
      </c>
      <c r="AY12" s="2147" t="str">
        <f>IF(M12="","",SUMIFS($AX$8:AX12,$I$8:I12,I12))</f>
        <v/>
      </c>
      <c r="AZ12" s="2147" t="str">
        <f t="shared" si="22"/>
        <v/>
      </c>
      <c r="BA12" s="214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214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1439"/>
      <c r="B13" s="1773"/>
      <c r="C13" s="1759" t="s">
        <v>1960</v>
      </c>
      <c r="D13" s="2127">
        <f>MID(invoice_branch,1,2)*1</f>
        <v>1</v>
      </c>
      <c r="E13" s="1758" t="s">
        <v>2068</v>
      </c>
      <c r="F13" s="2128">
        <f>MID(E13,1,3)*1</f>
        <v>1</v>
      </c>
      <c r="G13" s="1457"/>
      <c r="I13" s="2139" t="str">
        <f t="shared" si="9"/>
        <v/>
      </c>
      <c r="J13" s="2140" t="str">
        <f t="shared" si="23"/>
        <v/>
      </c>
      <c r="K13" s="2141" t="str">
        <f t="shared" si="10"/>
        <v/>
      </c>
      <c r="L13" s="2142"/>
      <c r="M13" s="1399"/>
      <c r="N13" s="1400"/>
      <c r="O13" s="1400"/>
      <c r="P13" s="1401"/>
      <c r="Q13" s="1402"/>
      <c r="R13" s="1407"/>
      <c r="S13" s="2143" t="str">
        <f t="shared" si="0"/>
        <v/>
      </c>
      <c r="T13" s="1404"/>
      <c r="U13" s="2144" t="str">
        <f t="shared" si="11"/>
        <v/>
      </c>
      <c r="V13" s="2145" t="str">
        <f t="shared" si="1"/>
        <v/>
      </c>
      <c r="W13" s="1405"/>
      <c r="X13" s="2145" t="str">
        <f t="shared" si="2"/>
        <v/>
      </c>
      <c r="Y13" s="2146" t="str">
        <f t="shared" si="12"/>
        <v/>
      </c>
      <c r="Z13" s="1406"/>
      <c r="AA13" s="2147" t="str" cm="1">
        <f t="array" ref="AA13">IF(M13="","",IF(P13=AN13,1,Slookup(MID(AN13,1,3)*1,UomConversion!$D$8:$J$500,5,UomConversion!$E$8:$E$500,MID(P13,1,3)*1,UomConversion!$J$8:$J$500,1)))</f>
        <v/>
      </c>
      <c r="AB13" s="2147" t="str">
        <f t="shared" si="13"/>
        <v/>
      </c>
      <c r="AC13" s="2147" t="str">
        <f t="shared" si="14"/>
        <v/>
      </c>
      <c r="AD13" s="2147" t="str">
        <f t="shared" si="15"/>
        <v/>
      </c>
      <c r="AE13" s="2147" t="str">
        <f t="shared" si="16"/>
        <v/>
      </c>
      <c r="AF13" s="2147" t="str">
        <f>IF(M13="","",SUMIFS(ProductPrice!N33:N10005,ProductPrice!D33:D10005,I13,ProductPrice!G33:G10005,invoice_branch_id,ProductPrice!H33:H10005,invoice_price_type_id,ProductPrice!I33:I10005,MID(P13,1,3)*1,ProductPrice!Q33:Q10005,1,ProductPrice!T33:T10005,1))</f>
        <v/>
      </c>
      <c r="AG13" s="2147" t="str">
        <f t="shared" si="17"/>
        <v/>
      </c>
      <c r="AH13" s="2147" t="str">
        <f>IF(I13="","",IF(ISNA(MATCH(I13,IF(invoice_location_id=1,'[1]1_inventory_totals'!$C$8:$C$10000,IF(invoice_location_id=2,'[1]2_inventory_totals'!$C$8:$C$10000,0)),0)),0,IF(AV13&gt;0,1,0)))</f>
        <v/>
      </c>
      <c r="AI13" s="2147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2147" t="str">
        <f>IF(M13="","",IF(ISNA(MATCH(I13,'[1]1_group_totals'!$C$8:$C$10000)),0,IF(AW13&gt;0,1,0)))</f>
        <v/>
      </c>
      <c r="AK13" s="214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214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2147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2147" t="str">
        <f t="shared" si="18"/>
        <v/>
      </c>
      <c r="AO13" s="2147" t="str">
        <f>IF(OR(ISNA(MATCH(MID(AN13,1,3)*1,UomConversion!$D$8:$D$500,0)),M13=""),"",IF(AT13="","",AT13))</f>
        <v/>
      </c>
      <c r="AP13" s="2147" t="str">
        <f>IF(AND(AQ13&gt;0,COUNTIFS(UomConversion!$D$8:$D$500,MID(AN13,1,3)*1,UomConversion!$J$8:$J$500,1)&gt;1),TEXT(AQ13,"000")&amp;"."&amp;VLOOKUP(AQ13,uom_list,5,FALSE),"")</f>
        <v/>
      </c>
      <c r="AQ13" s="2147" t="str">
        <f t="shared" si="19"/>
        <v/>
      </c>
      <c r="AR13" s="2147" t="str">
        <f t="shared" si="20"/>
        <v/>
      </c>
      <c r="AS13" s="2147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147" t="str">
        <f t="shared" si="7"/>
        <v/>
      </c>
      <c r="AU13" s="214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147" t="str">
        <f t="shared" si="8"/>
        <v/>
      </c>
      <c r="AW13" s="2147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2147" t="str">
        <f t="shared" si="21"/>
        <v/>
      </c>
      <c r="AY13" s="2147" t="str">
        <f>IF(M13="","",SUMIFS($AX$8:AX13,$I$8:I13,I13))</f>
        <v/>
      </c>
      <c r="AZ13" s="2147" t="str">
        <f t="shared" si="22"/>
        <v/>
      </c>
      <c r="BA13" s="214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214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1439"/>
      <c r="B14" s="1768"/>
      <c r="C14" s="1463" t="s">
        <v>2807</v>
      </c>
      <c r="D14" s="1781"/>
      <c r="E14" s="1463" t="s">
        <v>2806</v>
      </c>
      <c r="F14" s="1779"/>
      <c r="I14" s="2139" t="str">
        <f t="shared" si="9"/>
        <v/>
      </c>
      <c r="J14" s="2140" t="str">
        <f t="shared" si="23"/>
        <v/>
      </c>
      <c r="K14" s="2141" t="str">
        <f t="shared" si="10"/>
        <v/>
      </c>
      <c r="L14" s="2142"/>
      <c r="M14" s="1399"/>
      <c r="N14" s="1400"/>
      <c r="O14" s="1400"/>
      <c r="P14" s="1401"/>
      <c r="Q14" s="1402"/>
      <c r="R14" s="1407"/>
      <c r="S14" s="2143" t="str">
        <f t="shared" si="0"/>
        <v/>
      </c>
      <c r="T14" s="1404"/>
      <c r="U14" s="2144" t="str">
        <f t="shared" si="11"/>
        <v/>
      </c>
      <c r="V14" s="2145" t="str">
        <f t="shared" si="1"/>
        <v/>
      </c>
      <c r="W14" s="1405"/>
      <c r="X14" s="2145" t="str">
        <f t="shared" si="2"/>
        <v/>
      </c>
      <c r="Y14" s="2146" t="str">
        <f t="shared" si="12"/>
        <v/>
      </c>
      <c r="Z14" s="1406"/>
      <c r="AA14" s="2147" t="str" cm="1">
        <f t="array" ref="AA14">IF(M14="","",IF(P14=AN14,1,Slookup(MID(AN14,1,3)*1,UomConversion!$D$8:$J$500,5,UomConversion!$E$8:$E$500,MID(P14,1,3)*1,UomConversion!$J$8:$J$500,1)))</f>
        <v/>
      </c>
      <c r="AB14" s="2147" t="str">
        <f t="shared" si="13"/>
        <v/>
      </c>
      <c r="AC14" s="2147" t="str">
        <f t="shared" si="14"/>
        <v/>
      </c>
      <c r="AD14" s="2147" t="str">
        <f t="shared" si="15"/>
        <v/>
      </c>
      <c r="AE14" s="2147" t="str">
        <f t="shared" si="16"/>
        <v/>
      </c>
      <c r="AF14" s="2147" t="str">
        <f>IF(M14="","",SUMIFS(ProductPrice!N34:N10006,ProductPrice!D34:D10006,I14,ProductPrice!G34:G10006,invoice_branch_id,ProductPrice!H34:H10006,invoice_price_type_id,ProductPrice!I34:I10006,MID(P14,1,3)*1,ProductPrice!Q34:Q10006,1,ProductPrice!T34:T10006,1))</f>
        <v/>
      </c>
      <c r="AG14" s="2147" t="str">
        <f t="shared" si="17"/>
        <v/>
      </c>
      <c r="AH14" s="2147" t="str">
        <f>IF(I14="","",IF(ISNA(MATCH(I14,IF(invoice_location_id=1,'[1]1_inventory_totals'!$C$8:$C$10000,IF(invoice_location_id=2,'[1]2_inventory_totals'!$C$8:$C$10000,0)),0)),0,IF(AV14&gt;0,1,0)))</f>
        <v/>
      </c>
      <c r="AI14" s="2147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2147" t="str">
        <f>IF(M14="","",IF(ISNA(MATCH(I14,'[1]1_group_totals'!$C$8:$C$10000)),0,IF(AW14&gt;0,1,0)))</f>
        <v/>
      </c>
      <c r="AK14" s="214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214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2147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2147" t="str">
        <f t="shared" si="18"/>
        <v/>
      </c>
      <c r="AO14" s="2147" t="str">
        <f>IF(OR(ISNA(MATCH(MID(AN14,1,3)*1,UomConversion!$D$8:$D$500,0)),M14=""),"",IF(AT14="","",AT14))</f>
        <v/>
      </c>
      <c r="AP14" s="2147" t="str">
        <f>IF(AND(AQ14&gt;0,COUNTIFS(UomConversion!$D$8:$D$500,MID(AN14,1,3)*1,UomConversion!$J$8:$J$500,1)&gt;1),TEXT(AQ14,"000")&amp;"."&amp;VLOOKUP(AQ14,uom_list,5,FALSE),"")</f>
        <v/>
      </c>
      <c r="AQ14" s="2147" t="str">
        <f t="shared" si="19"/>
        <v/>
      </c>
      <c r="AR14" s="2147" t="str">
        <f t="shared" si="20"/>
        <v/>
      </c>
      <c r="AS14" s="2147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147" t="str">
        <f t="shared" si="7"/>
        <v/>
      </c>
      <c r="AU14" s="214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147" t="str">
        <f t="shared" si="8"/>
        <v/>
      </c>
      <c r="AW14" s="2147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2147" t="str">
        <f t="shared" si="21"/>
        <v/>
      </c>
      <c r="AY14" s="2147" t="str">
        <f>IF(M14="","",SUMIFS($AX$8:AX14,$I$8:I14,I14))</f>
        <v/>
      </c>
      <c r="AZ14" s="2147" t="str">
        <f t="shared" si="22"/>
        <v/>
      </c>
      <c r="BA14" s="214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214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1439"/>
      <c r="B15" s="1773"/>
      <c r="C15" s="1760" t="s">
        <v>3463</v>
      </c>
      <c r="D15" s="2131">
        <f>MID(invoice_seller,1,3)*1</f>
        <v>1</v>
      </c>
      <c r="E15" s="1759" t="s">
        <v>2741</v>
      </c>
      <c r="F15" s="2128">
        <f>MID(invoice_location,1,3)*1</f>
        <v>1</v>
      </c>
      <c r="G15" s="1457"/>
      <c r="I15" s="2139" t="str">
        <f t="shared" si="9"/>
        <v/>
      </c>
      <c r="J15" s="2140" t="str">
        <f t="shared" si="23"/>
        <v/>
      </c>
      <c r="K15" s="2141" t="str">
        <f t="shared" si="10"/>
        <v/>
      </c>
      <c r="L15" s="2142"/>
      <c r="M15" s="1399"/>
      <c r="N15" s="1400"/>
      <c r="O15" s="1400"/>
      <c r="P15" s="1401"/>
      <c r="Q15" s="1402"/>
      <c r="R15" s="1407"/>
      <c r="S15" s="2143" t="str">
        <f t="shared" si="0"/>
        <v/>
      </c>
      <c r="T15" s="1404"/>
      <c r="U15" s="2144" t="str">
        <f t="shared" si="11"/>
        <v/>
      </c>
      <c r="V15" s="2145" t="str">
        <f t="shared" si="1"/>
        <v/>
      </c>
      <c r="W15" s="1405"/>
      <c r="X15" s="2145" t="str">
        <f t="shared" si="2"/>
        <v/>
      </c>
      <c r="Y15" s="2146" t="str">
        <f t="shared" si="12"/>
        <v/>
      </c>
      <c r="Z15" s="1406"/>
      <c r="AA15" s="2147" t="str" cm="1">
        <f t="array" ref="AA15">IF(M15="","",IF(P15=AN15,1,Slookup(MID(AN15,1,3)*1,UomConversion!$D$8:$J$500,5,UomConversion!$E$8:$E$500,MID(P15,1,3)*1,UomConversion!$J$8:$J$500,1)))</f>
        <v/>
      </c>
      <c r="AB15" s="2147" t="str">
        <f t="shared" si="13"/>
        <v/>
      </c>
      <c r="AC15" s="2147" t="str">
        <f t="shared" si="14"/>
        <v/>
      </c>
      <c r="AD15" s="2147" t="str">
        <f t="shared" si="15"/>
        <v/>
      </c>
      <c r="AE15" s="2147" t="str">
        <f t="shared" si="16"/>
        <v/>
      </c>
      <c r="AF15" s="2147" t="str">
        <f>IF(M15="","",SUMIFS(ProductPrice!N35:N10007,ProductPrice!D35:D10007,I15,ProductPrice!G35:G10007,invoice_branch_id,ProductPrice!H35:H10007,invoice_price_type_id,ProductPrice!I35:I10007,MID(P15,1,3)*1,ProductPrice!Q35:Q10007,1,ProductPrice!T35:T10007,1))</f>
        <v/>
      </c>
      <c r="AG15" s="2147" t="str">
        <f t="shared" si="17"/>
        <v/>
      </c>
      <c r="AH15" s="2147" t="str">
        <f>IF(I15="","",IF(ISNA(MATCH(I15,IF(invoice_location_id=1,'[1]1_inventory_totals'!$C$8:$C$10000,IF(invoice_location_id=2,'[1]2_inventory_totals'!$C$8:$C$10000,0)),0)),0,IF(AV15&gt;0,1,0)))</f>
        <v/>
      </c>
      <c r="AI15" s="2147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2147" t="str">
        <f>IF(M15="","",IF(ISNA(MATCH(I15,'[1]1_group_totals'!$C$8:$C$10000)),0,IF(AW15&gt;0,1,0)))</f>
        <v/>
      </c>
      <c r="AK15" s="214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214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2147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2147" t="str">
        <f t="shared" si="18"/>
        <v/>
      </c>
      <c r="AO15" s="2147" t="str">
        <f>IF(OR(ISNA(MATCH(MID(AN15,1,3)*1,UomConversion!$D$8:$D$500,0)),M15=""),"",IF(AT15="","",AT15))</f>
        <v/>
      </c>
      <c r="AP15" s="2147" t="str">
        <f>IF(AND(AQ15&gt;0,COUNTIFS(UomConversion!$D$8:$D$500,MID(AN15,1,3)*1,UomConversion!$J$8:$J$500,1)&gt;1),TEXT(AQ15,"000")&amp;"."&amp;VLOOKUP(AQ15,uom_list,5,FALSE),"")</f>
        <v/>
      </c>
      <c r="AQ15" s="2147" t="str">
        <f t="shared" si="19"/>
        <v/>
      </c>
      <c r="AR15" s="2147" t="str">
        <f t="shared" si="20"/>
        <v/>
      </c>
      <c r="AS15" s="2147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147" t="str">
        <f t="shared" si="7"/>
        <v/>
      </c>
      <c r="AU15" s="214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147" t="str">
        <f t="shared" si="8"/>
        <v/>
      </c>
      <c r="AW15" s="2147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2147" t="str">
        <f t="shared" si="21"/>
        <v/>
      </c>
      <c r="AY15" s="2147" t="str">
        <f>IF(M15="","",SUMIFS($AX$8:AX15,$I$8:I15,I15))</f>
        <v/>
      </c>
      <c r="AZ15" s="2147" t="str">
        <f t="shared" si="22"/>
        <v/>
      </c>
      <c r="BA15" s="214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214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1439"/>
      <c r="B16" s="1768"/>
      <c r="C16" s="1463" t="s">
        <v>1629</v>
      </c>
      <c r="D16" s="1782"/>
      <c r="E16" s="1463" t="s">
        <v>2802</v>
      </c>
      <c r="F16" s="1779"/>
      <c r="I16" s="2139" t="str">
        <f t="shared" si="9"/>
        <v/>
      </c>
      <c r="J16" s="2140" t="str">
        <f t="shared" si="23"/>
        <v/>
      </c>
      <c r="K16" s="2141" t="str">
        <f t="shared" si="10"/>
        <v/>
      </c>
      <c r="L16" s="2142"/>
      <c r="M16" s="1399"/>
      <c r="N16" s="1400"/>
      <c r="O16" s="1400"/>
      <c r="P16" s="1401"/>
      <c r="Q16" s="1402"/>
      <c r="R16" s="1407"/>
      <c r="S16" s="2143" t="str">
        <f t="shared" si="0"/>
        <v/>
      </c>
      <c r="T16" s="1404"/>
      <c r="U16" s="2144" t="str">
        <f t="shared" si="11"/>
        <v/>
      </c>
      <c r="V16" s="2145" t="str">
        <f t="shared" si="1"/>
        <v/>
      </c>
      <c r="W16" s="1405"/>
      <c r="X16" s="2145" t="str">
        <f t="shared" si="2"/>
        <v/>
      </c>
      <c r="Y16" s="2146" t="str">
        <f t="shared" si="12"/>
        <v/>
      </c>
      <c r="Z16" s="1406"/>
      <c r="AA16" s="2147" t="str" cm="1">
        <f t="array" ref="AA16">IF(M16="","",IF(P16=AN16,1,Slookup(MID(AN16,1,3)*1,UomConversion!$D$8:$J$500,5,UomConversion!$E$8:$E$500,MID(P16,1,3)*1,UomConversion!$J$8:$J$500,1)))</f>
        <v/>
      </c>
      <c r="AB16" s="2147" t="str">
        <f t="shared" si="13"/>
        <v/>
      </c>
      <c r="AC16" s="2147" t="str">
        <f t="shared" si="14"/>
        <v/>
      </c>
      <c r="AD16" s="2147" t="str">
        <f t="shared" si="15"/>
        <v/>
      </c>
      <c r="AE16" s="2147" t="str">
        <f t="shared" si="16"/>
        <v/>
      </c>
      <c r="AF16" s="2147" t="str">
        <f>IF(M16="","",SUMIFS(ProductPrice!N36:N10008,ProductPrice!D36:D10008,I16,ProductPrice!G36:G10008,invoice_branch_id,ProductPrice!H36:H10008,invoice_price_type_id,ProductPrice!I36:I10008,MID(P16,1,3)*1,ProductPrice!Q36:Q10008,1,ProductPrice!T36:T10008,1))</f>
        <v/>
      </c>
      <c r="AG16" s="2147" t="str">
        <f t="shared" si="17"/>
        <v/>
      </c>
      <c r="AH16" s="2147" t="str">
        <f>IF(I16="","",IF(ISNA(MATCH(I16,IF(invoice_location_id=1,'[1]1_inventory_totals'!$C$8:$C$10000,IF(invoice_location_id=2,'[1]2_inventory_totals'!$C$8:$C$10000,0)),0)),0,IF(AV16&gt;0,1,0)))</f>
        <v/>
      </c>
      <c r="AI16" s="2147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2147" t="str">
        <f>IF(M16="","",IF(ISNA(MATCH(I16,'[1]1_group_totals'!$C$8:$C$10000)),0,IF(AW16&gt;0,1,0)))</f>
        <v/>
      </c>
      <c r="AK16" s="214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214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2147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2147" t="str">
        <f t="shared" si="18"/>
        <v/>
      </c>
      <c r="AO16" s="2147" t="str">
        <f>IF(OR(ISNA(MATCH(MID(AN16,1,3)*1,UomConversion!$D$8:$D$500,0)),M16=""),"",IF(AT16="","",AT16))</f>
        <v/>
      </c>
      <c r="AP16" s="2147" t="str">
        <f>IF(AND(AQ16&gt;0,COUNTIFS(UomConversion!$D$8:$D$500,MID(AN16,1,3)*1,UomConversion!$J$8:$J$500,1)&gt;1),TEXT(AQ16,"000")&amp;"."&amp;VLOOKUP(AQ16,uom_list,5,FALSE),"")</f>
        <v/>
      </c>
      <c r="AQ16" s="2147" t="str">
        <f t="shared" si="19"/>
        <v/>
      </c>
      <c r="AR16" s="2147" t="str">
        <f t="shared" si="20"/>
        <v/>
      </c>
      <c r="AS16" s="2147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147" t="str">
        <f t="shared" si="7"/>
        <v/>
      </c>
      <c r="AU16" s="214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147" t="str">
        <f t="shared" si="8"/>
        <v/>
      </c>
      <c r="AW16" s="2147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2147" t="str">
        <f t="shared" si="21"/>
        <v/>
      </c>
      <c r="AY16" s="2147" t="str">
        <f>IF(M16="","",SUMIFS($AX$8:AX16,$I$8:I16,I16))</f>
        <v/>
      </c>
      <c r="AZ16" s="2147" t="str">
        <f t="shared" si="22"/>
        <v/>
      </c>
      <c r="BA16" s="214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214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1439"/>
      <c r="B17" s="1773"/>
      <c r="C17" s="1762" t="str">
        <f>IF(invoice_currency_id="","",VLOOKUP(invoice_currency_id,currency_list,2,FALSE))</f>
        <v>USD - US Dollar</v>
      </c>
      <c r="D17" s="1783" t="str">
        <f>IF(invoice_currency_id="","",VLOOKUP(invoice_currency_id,currency_list,3,FALSE))</f>
        <v>$</v>
      </c>
      <c r="E17" s="1762" t="s">
        <v>3555</v>
      </c>
      <c r="F17" s="2132">
        <f>MID(E17,1,1)*1</f>
        <v>1</v>
      </c>
      <c r="G17" s="1457"/>
      <c r="I17" s="2139" t="str">
        <f t="shared" si="9"/>
        <v/>
      </c>
      <c r="J17" s="2140" t="str">
        <f t="shared" si="23"/>
        <v/>
      </c>
      <c r="K17" s="2141" t="str">
        <f t="shared" si="10"/>
        <v/>
      </c>
      <c r="L17" s="2142"/>
      <c r="M17" s="1399"/>
      <c r="N17" s="1400"/>
      <c r="O17" s="1400"/>
      <c r="P17" s="1401"/>
      <c r="Q17" s="1402"/>
      <c r="R17" s="1407"/>
      <c r="S17" s="2143" t="str">
        <f t="shared" si="0"/>
        <v/>
      </c>
      <c r="T17" s="1404"/>
      <c r="U17" s="2144" t="str">
        <f t="shared" si="11"/>
        <v/>
      </c>
      <c r="V17" s="2145" t="str">
        <f t="shared" si="1"/>
        <v/>
      </c>
      <c r="W17" s="1405"/>
      <c r="X17" s="2145" t="str">
        <f t="shared" si="2"/>
        <v/>
      </c>
      <c r="Y17" s="2146" t="str">
        <f t="shared" si="12"/>
        <v/>
      </c>
      <c r="Z17" s="1406"/>
      <c r="AA17" s="2147" t="str" cm="1">
        <f t="array" ref="AA17">IF(M17="","",IF(P17=AN17,1,Slookup(MID(AN17,1,3)*1,UomConversion!$D$8:$J$500,5,UomConversion!$E$8:$E$500,MID(P17,1,3)*1,UomConversion!$J$8:$J$500,1)))</f>
        <v/>
      </c>
      <c r="AB17" s="2147" t="str">
        <f t="shared" si="13"/>
        <v/>
      </c>
      <c r="AC17" s="2147" t="str">
        <f t="shared" si="14"/>
        <v/>
      </c>
      <c r="AD17" s="2147" t="str">
        <f t="shared" si="15"/>
        <v/>
      </c>
      <c r="AE17" s="2147" t="str">
        <f t="shared" si="16"/>
        <v/>
      </c>
      <c r="AF17" s="2147" t="str">
        <f>IF(M17="","",SUMIFS(ProductPrice!N37:N10009,ProductPrice!D37:D10009,I17,ProductPrice!G37:G10009,invoice_branch_id,ProductPrice!H37:H10009,invoice_price_type_id,ProductPrice!I37:I10009,MID(P17,1,3)*1,ProductPrice!Q37:Q10009,1,ProductPrice!T37:T10009,1))</f>
        <v/>
      </c>
      <c r="AG17" s="2147" t="str">
        <f t="shared" si="17"/>
        <v/>
      </c>
      <c r="AH17" s="2147" t="str">
        <f>IF(I17="","",IF(ISNA(MATCH(I17,IF(invoice_location_id=1,'[1]1_inventory_totals'!$C$8:$C$10000,IF(invoice_location_id=2,'[1]2_inventory_totals'!$C$8:$C$10000,0)),0)),0,IF(AV17&gt;0,1,0)))</f>
        <v/>
      </c>
      <c r="AI17" s="2147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2147" t="str">
        <f>IF(M17="","",IF(ISNA(MATCH(I17,'[1]1_group_totals'!$C$8:$C$10000)),0,IF(AW17&gt;0,1,0)))</f>
        <v/>
      </c>
      <c r="AK17" s="214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214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2147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2147" t="str">
        <f t="shared" si="18"/>
        <v/>
      </c>
      <c r="AO17" s="2147" t="str">
        <f>IF(OR(ISNA(MATCH(MID(AN17,1,3)*1,UomConversion!$D$8:$D$500,0)),M17=""),"",IF(AT17="","",AT17))</f>
        <v/>
      </c>
      <c r="AP17" s="2147" t="str">
        <f>IF(AND(AQ17&gt;0,COUNTIFS(UomConversion!$D$8:$D$500,MID(AN17,1,3)*1,UomConversion!$J$8:$J$500,1)&gt;1),TEXT(AQ17,"000")&amp;"."&amp;VLOOKUP(AQ17,uom_list,5,FALSE),"")</f>
        <v/>
      </c>
      <c r="AQ17" s="2147" t="str">
        <f t="shared" si="19"/>
        <v/>
      </c>
      <c r="AR17" s="2147" t="str">
        <f t="shared" si="20"/>
        <v/>
      </c>
      <c r="AS17" s="2147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147" t="str">
        <f t="shared" si="7"/>
        <v/>
      </c>
      <c r="AU17" s="214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147" t="str">
        <f t="shared" si="8"/>
        <v/>
      </c>
      <c r="AW17" s="2147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2147" t="str">
        <f t="shared" si="21"/>
        <v/>
      </c>
      <c r="AY17" s="2147" t="str">
        <f>IF(M17="","",SUMIFS($AX$8:AX17,$I$8:I17,I17))</f>
        <v/>
      </c>
      <c r="AZ17" s="2147" t="str">
        <f t="shared" si="22"/>
        <v/>
      </c>
      <c r="BA17" s="214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214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1439"/>
      <c r="B18" s="1773"/>
      <c r="C18" s="2133">
        <f>IF(invoice_branch="","",VLOOKUP(MID(invoice_branch,1,2)*1,branch_list,24,FALSE))</f>
        <v>1</v>
      </c>
      <c r="D18" s="1413"/>
      <c r="E18" s="1440"/>
      <c r="F18" s="1774"/>
      <c r="G18" s="1457"/>
      <c r="I18" s="2139" t="str">
        <f t="shared" si="9"/>
        <v/>
      </c>
      <c r="J18" s="2140" t="str">
        <f t="shared" si="23"/>
        <v/>
      </c>
      <c r="K18" s="2141" t="str">
        <f t="shared" si="10"/>
        <v/>
      </c>
      <c r="L18" s="2142"/>
      <c r="M18" s="1399"/>
      <c r="N18" s="1400"/>
      <c r="O18" s="1400"/>
      <c r="P18" s="1401"/>
      <c r="Q18" s="1402"/>
      <c r="R18" s="1407"/>
      <c r="S18" s="2143" t="str">
        <f t="shared" si="0"/>
        <v/>
      </c>
      <c r="T18" s="1404"/>
      <c r="U18" s="2144" t="str">
        <f t="shared" si="11"/>
        <v/>
      </c>
      <c r="V18" s="2145" t="str">
        <f t="shared" si="1"/>
        <v/>
      </c>
      <c r="W18" s="1405"/>
      <c r="X18" s="2145" t="str">
        <f t="shared" si="2"/>
        <v/>
      </c>
      <c r="Y18" s="2146" t="str">
        <f t="shared" si="12"/>
        <v/>
      </c>
      <c r="Z18" s="1406"/>
      <c r="AA18" s="2147" t="str" cm="1">
        <f t="array" ref="AA18">IF(M18="","",IF(P18=AN18,1,Slookup(MID(AN18,1,3)*1,UomConversion!$D$8:$J$500,5,UomConversion!$E$8:$E$500,MID(P18,1,3)*1,UomConversion!$J$8:$J$500,1)))</f>
        <v/>
      </c>
      <c r="AB18" s="2147" t="str">
        <f t="shared" si="13"/>
        <v/>
      </c>
      <c r="AC18" s="2147" t="str">
        <f t="shared" si="14"/>
        <v/>
      </c>
      <c r="AD18" s="2147" t="str">
        <f t="shared" si="15"/>
        <v/>
      </c>
      <c r="AE18" s="2147" t="str">
        <f t="shared" si="16"/>
        <v/>
      </c>
      <c r="AF18" s="2147" t="str">
        <f>IF(M18="","",SUMIFS(ProductPrice!N38:N10010,ProductPrice!D38:D10010,I18,ProductPrice!G38:G10010,invoice_branch_id,ProductPrice!H38:H10010,invoice_price_type_id,ProductPrice!I38:I10010,MID(P18,1,3)*1,ProductPrice!Q38:Q10010,1,ProductPrice!T38:T10010,1))</f>
        <v/>
      </c>
      <c r="AG18" s="2147" t="str">
        <f t="shared" si="17"/>
        <v/>
      </c>
      <c r="AH18" s="2147" t="str">
        <f>IF(I18="","",IF(ISNA(MATCH(I18,IF(invoice_location_id=1,'[1]1_inventory_totals'!$C$8:$C$10000,IF(invoice_location_id=2,'[1]2_inventory_totals'!$C$8:$C$10000,0)),0)),0,IF(AV18&gt;0,1,0)))</f>
        <v/>
      </c>
      <c r="AI18" s="2147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2147" t="str">
        <f>IF(M18="","",IF(ISNA(MATCH(I18,'[1]1_group_totals'!$C$8:$C$10000)),0,IF(AW18&gt;0,1,0)))</f>
        <v/>
      </c>
      <c r="AK18" s="214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214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2147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2147" t="str">
        <f t="shared" si="18"/>
        <v/>
      </c>
      <c r="AO18" s="2147" t="str">
        <f>IF(OR(ISNA(MATCH(MID(AN18,1,3)*1,UomConversion!$D$8:$D$500,0)),M18=""),"",IF(AT18="","",AT18))</f>
        <v/>
      </c>
      <c r="AP18" s="2147" t="str">
        <f>IF(AND(AQ18&gt;0,COUNTIFS(UomConversion!$D$8:$D$500,MID(AN18,1,3)*1,UomConversion!$J$8:$J$500,1)&gt;1),TEXT(AQ18,"000")&amp;"."&amp;VLOOKUP(AQ18,uom_list,5,FALSE),"")</f>
        <v/>
      </c>
      <c r="AQ18" s="2147" t="str">
        <f t="shared" si="19"/>
        <v/>
      </c>
      <c r="AR18" s="2147" t="str">
        <f t="shared" si="20"/>
        <v/>
      </c>
      <c r="AS18" s="2147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147" t="str">
        <f t="shared" si="7"/>
        <v/>
      </c>
      <c r="AU18" s="214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147" t="str">
        <f t="shared" si="8"/>
        <v/>
      </c>
      <c r="AW18" s="2147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2147" t="str">
        <f t="shared" si="21"/>
        <v/>
      </c>
      <c r="AY18" s="2147" t="str">
        <f>IF(M18="","",SUMIFS($AX$8:AX18,$I$8:I18,I18))</f>
        <v/>
      </c>
      <c r="AZ18" s="2147" t="str">
        <f t="shared" si="22"/>
        <v/>
      </c>
      <c r="BA18" s="214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214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1439"/>
      <c r="B19" s="1773"/>
      <c r="C19" s="1463" t="s">
        <v>1886</v>
      </c>
      <c r="D19" s="1464">
        <f>VLOOKUP(13, chart_account_default_list, 5, FALSE)</f>
        <v>17</v>
      </c>
      <c r="E19" s="1463" t="s">
        <v>1984</v>
      </c>
      <c r="F19" s="1779"/>
      <c r="G19" s="1457"/>
      <c r="I19" s="2139" t="str">
        <f t="shared" si="9"/>
        <v/>
      </c>
      <c r="J19" s="2140" t="str">
        <f t="shared" si="23"/>
        <v/>
      </c>
      <c r="K19" s="2141" t="str">
        <f t="shared" si="10"/>
        <v/>
      </c>
      <c r="L19" s="2142"/>
      <c r="M19" s="1399"/>
      <c r="N19" s="1400"/>
      <c r="O19" s="1400"/>
      <c r="P19" s="1401"/>
      <c r="Q19" s="1402"/>
      <c r="R19" s="1407"/>
      <c r="S19" s="2143" t="str">
        <f t="shared" si="0"/>
        <v/>
      </c>
      <c r="T19" s="1404"/>
      <c r="U19" s="2144" t="str">
        <f t="shared" si="11"/>
        <v/>
      </c>
      <c r="V19" s="2145" t="str">
        <f t="shared" si="1"/>
        <v/>
      </c>
      <c r="W19" s="1405"/>
      <c r="X19" s="2145" t="str">
        <f t="shared" si="2"/>
        <v/>
      </c>
      <c r="Y19" s="2146" t="str">
        <f t="shared" si="12"/>
        <v/>
      </c>
      <c r="Z19" s="1406"/>
      <c r="AA19" s="2147" t="str" cm="1">
        <f t="array" ref="AA19">IF(M19="","",IF(P19=AN19,1,Slookup(MID(AN19,1,3)*1,UomConversion!$D$8:$J$500,5,UomConversion!$E$8:$E$500,MID(P19,1,3)*1,UomConversion!$J$8:$J$500,1)))</f>
        <v/>
      </c>
      <c r="AB19" s="2147" t="str">
        <f t="shared" si="13"/>
        <v/>
      </c>
      <c r="AC19" s="2147" t="str">
        <f t="shared" si="14"/>
        <v/>
      </c>
      <c r="AD19" s="2147" t="str">
        <f t="shared" si="15"/>
        <v/>
      </c>
      <c r="AE19" s="2147" t="str">
        <f t="shared" si="16"/>
        <v/>
      </c>
      <c r="AF19" s="2147" t="str">
        <f>IF(M19="","",SUMIFS(ProductPrice!N39:N10011,ProductPrice!D39:D10011,I19,ProductPrice!G39:G10011,invoice_branch_id,ProductPrice!H39:H10011,invoice_price_type_id,ProductPrice!I39:I10011,MID(P19,1,3)*1,ProductPrice!Q39:Q10011,1,ProductPrice!T39:T10011,1))</f>
        <v/>
      </c>
      <c r="AG19" s="2147" t="str">
        <f t="shared" si="17"/>
        <v/>
      </c>
      <c r="AH19" s="2147" t="str">
        <f>IF(I19="","",IF(ISNA(MATCH(I19,IF(invoice_location_id=1,'[1]1_inventory_totals'!$C$8:$C$10000,IF(invoice_location_id=2,'[1]2_inventory_totals'!$C$8:$C$10000,0)),0)),0,IF(AV19&gt;0,1,0)))</f>
        <v/>
      </c>
      <c r="AI19" s="2147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2147" t="str">
        <f>IF(M19="","",IF(ISNA(MATCH(I19,'[1]1_group_totals'!$C$8:$C$10000)),0,IF(AW19&gt;0,1,0)))</f>
        <v/>
      </c>
      <c r="AK19" s="214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214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2147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2147" t="str">
        <f t="shared" si="18"/>
        <v/>
      </c>
      <c r="AO19" s="2147" t="str">
        <f>IF(OR(ISNA(MATCH(MID(AN19,1,3)*1,UomConversion!$D$8:$D$500,0)),M19=""),"",IF(AT19="","",AT19))</f>
        <v/>
      </c>
      <c r="AP19" s="2147" t="str">
        <f>IF(AND(AQ19&gt;0,COUNTIFS(UomConversion!$D$8:$D$500,MID(AN19,1,3)*1,UomConversion!$J$8:$J$500,1)&gt;1),TEXT(AQ19,"000")&amp;"."&amp;VLOOKUP(AQ19,uom_list,5,FALSE),"")</f>
        <v/>
      </c>
      <c r="AQ19" s="2147" t="str">
        <f t="shared" si="19"/>
        <v/>
      </c>
      <c r="AR19" s="2147" t="str">
        <f t="shared" si="20"/>
        <v/>
      </c>
      <c r="AS19" s="2147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147" t="str">
        <f t="shared" si="7"/>
        <v/>
      </c>
      <c r="AU19" s="214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147" t="str">
        <f t="shared" si="8"/>
        <v/>
      </c>
      <c r="AW19" s="2147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2147" t="str">
        <f t="shared" si="21"/>
        <v/>
      </c>
      <c r="AY19" s="2147" t="str">
        <f>IF(M19="","",SUMIFS($AX$8:AX19,$I$8:I19,I19))</f>
        <v/>
      </c>
      <c r="AZ19" s="2147" t="str">
        <f t="shared" si="22"/>
        <v/>
      </c>
      <c r="BA19" s="214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214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1439"/>
      <c r="B20" s="1768"/>
      <c r="C20" s="1762" t="s">
        <v>1891</v>
      </c>
      <c r="D20" s="1464">
        <f>VLOOKUP(MID(C20,1,3)*1,chart_account_default_list,5,FALSE)</f>
        <v>18</v>
      </c>
      <c r="E20" s="1762" t="s">
        <v>2013</v>
      </c>
      <c r="F20" s="2132">
        <f>MID(E20,1,2)*1</f>
        <v>1</v>
      </c>
      <c r="I20" s="2139" t="str">
        <f t="shared" si="9"/>
        <v/>
      </c>
      <c r="J20" s="2140" t="str">
        <f t="shared" si="23"/>
        <v/>
      </c>
      <c r="K20" s="2141" t="str">
        <f t="shared" si="10"/>
        <v/>
      </c>
      <c r="L20" s="2142"/>
      <c r="M20" s="1399"/>
      <c r="N20" s="1400"/>
      <c r="O20" s="1400"/>
      <c r="P20" s="1401"/>
      <c r="Q20" s="1402"/>
      <c r="R20" s="1407"/>
      <c r="S20" s="2143" t="str">
        <f t="shared" si="0"/>
        <v/>
      </c>
      <c r="T20" s="1404"/>
      <c r="U20" s="2144" t="str">
        <f t="shared" si="11"/>
        <v/>
      </c>
      <c r="V20" s="2145" t="str">
        <f t="shared" si="1"/>
        <v/>
      </c>
      <c r="W20" s="1405"/>
      <c r="X20" s="2145" t="str">
        <f t="shared" si="2"/>
        <v/>
      </c>
      <c r="Y20" s="2146" t="str">
        <f t="shared" si="12"/>
        <v/>
      </c>
      <c r="Z20" s="1406"/>
      <c r="AA20" s="2147" t="str" cm="1">
        <f t="array" ref="AA20">IF(M20="","",IF(P20=AN20,1,Slookup(MID(AN20,1,3)*1,UomConversion!$D$8:$J$500,5,UomConversion!$E$8:$E$500,MID(P20,1,3)*1,UomConversion!$J$8:$J$500,1)))</f>
        <v/>
      </c>
      <c r="AB20" s="2147" t="str">
        <f t="shared" si="13"/>
        <v/>
      </c>
      <c r="AC20" s="2147" t="str">
        <f t="shared" si="14"/>
        <v/>
      </c>
      <c r="AD20" s="2147" t="str">
        <f t="shared" si="15"/>
        <v/>
      </c>
      <c r="AE20" s="2147" t="str">
        <f t="shared" si="16"/>
        <v/>
      </c>
      <c r="AF20" s="2147" t="str">
        <f>IF(M20="","",SUMIFS(ProductPrice!N40:N10012,ProductPrice!D40:D10012,I20,ProductPrice!G40:G10012,invoice_branch_id,ProductPrice!H40:H10012,invoice_price_type_id,ProductPrice!I40:I10012,MID(P20,1,3)*1,ProductPrice!Q40:Q10012,1,ProductPrice!T40:T10012,1))</f>
        <v/>
      </c>
      <c r="AG20" s="2147" t="str">
        <f t="shared" si="17"/>
        <v/>
      </c>
      <c r="AH20" s="2147" t="str">
        <f>IF(I20="","",IF(ISNA(MATCH(I20,IF(invoice_location_id=1,'[1]1_inventory_totals'!$C$8:$C$10000,IF(invoice_location_id=2,'[1]2_inventory_totals'!$C$8:$C$10000,0)),0)),0,IF(AV20&gt;0,1,0)))</f>
        <v/>
      </c>
      <c r="AI20" s="2147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2147" t="str">
        <f>IF(M20="","",IF(ISNA(MATCH(I20,'[1]1_group_totals'!$C$8:$C$10000)),0,IF(AW20&gt;0,1,0)))</f>
        <v/>
      </c>
      <c r="AK20" s="214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214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2147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2147" t="str">
        <f t="shared" si="18"/>
        <v/>
      </c>
      <c r="AO20" s="2147" t="str">
        <f>IF(OR(ISNA(MATCH(MID(AN20,1,3)*1,UomConversion!$D$8:$D$500,0)),M20=""),"",IF(AT20="","",AT20))</f>
        <v/>
      </c>
      <c r="AP20" s="2147" t="str">
        <f>IF(AND(AQ20&gt;0,COUNTIFS(UomConversion!$D$8:$D$500,MID(AN20,1,3)*1,UomConversion!$J$8:$J$500,1)&gt;1),TEXT(AQ20,"000")&amp;"."&amp;VLOOKUP(AQ20,uom_list,5,FALSE),"")</f>
        <v/>
      </c>
      <c r="AQ20" s="2147" t="str">
        <f t="shared" si="19"/>
        <v/>
      </c>
      <c r="AR20" s="2147" t="str">
        <f t="shared" si="20"/>
        <v/>
      </c>
      <c r="AS20" s="2147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147" t="str">
        <f t="shared" si="7"/>
        <v/>
      </c>
      <c r="AU20" s="214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147" t="str">
        <f t="shared" si="8"/>
        <v/>
      </c>
      <c r="AW20" s="2147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2147" t="str">
        <f t="shared" si="21"/>
        <v/>
      </c>
      <c r="AY20" s="2147" t="str">
        <f>IF(M20="","",SUMIFS($AX$8:AX20,$I$8:I20,I20))</f>
        <v/>
      </c>
      <c r="AZ20" s="2147" t="str">
        <f t="shared" si="22"/>
        <v/>
      </c>
      <c r="BA20" s="214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214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1439"/>
      <c r="B21" s="1768"/>
      <c r="C21" s="1463" t="s">
        <v>300</v>
      </c>
      <c r="D21" s="1465"/>
      <c r="E21" s="1466"/>
      <c r="F21" s="1779"/>
      <c r="I21" s="2139" t="str">
        <f t="shared" si="9"/>
        <v/>
      </c>
      <c r="J21" s="2140" t="str">
        <f t="shared" si="23"/>
        <v/>
      </c>
      <c r="K21" s="2141" t="str">
        <f t="shared" si="10"/>
        <v/>
      </c>
      <c r="L21" s="2142"/>
      <c r="M21" s="1399"/>
      <c r="N21" s="1400"/>
      <c r="O21" s="1400"/>
      <c r="P21" s="1401"/>
      <c r="Q21" s="1402"/>
      <c r="R21" s="1407"/>
      <c r="S21" s="2143" t="str">
        <f t="shared" si="0"/>
        <v/>
      </c>
      <c r="T21" s="1404"/>
      <c r="U21" s="2144" t="str">
        <f t="shared" si="11"/>
        <v/>
      </c>
      <c r="V21" s="2145" t="str">
        <f t="shared" si="1"/>
        <v/>
      </c>
      <c r="W21" s="1405"/>
      <c r="X21" s="2145" t="str">
        <f t="shared" si="2"/>
        <v/>
      </c>
      <c r="Y21" s="2146" t="str">
        <f t="shared" si="12"/>
        <v/>
      </c>
      <c r="Z21" s="1406"/>
      <c r="AA21" s="2147" t="str" cm="1">
        <f t="array" ref="AA21">IF(M21="","",IF(P21=AN21,1,Slookup(MID(AN21,1,3)*1,UomConversion!$D$8:$J$500,5,UomConversion!$E$8:$E$500,MID(P21,1,3)*1,UomConversion!$J$8:$J$500,1)))</f>
        <v/>
      </c>
      <c r="AB21" s="2147" t="str">
        <f t="shared" si="13"/>
        <v/>
      </c>
      <c r="AC21" s="2147" t="str">
        <f t="shared" si="14"/>
        <v/>
      </c>
      <c r="AD21" s="2147" t="str">
        <f t="shared" si="15"/>
        <v/>
      </c>
      <c r="AE21" s="2147" t="str">
        <f t="shared" si="16"/>
        <v/>
      </c>
      <c r="AF21" s="2147" t="str">
        <f>IF(M21="","",SUMIFS(ProductPrice!N41:N10013,ProductPrice!D41:D10013,I21,ProductPrice!G41:G10013,invoice_branch_id,ProductPrice!H41:H10013,invoice_price_type_id,ProductPrice!I41:I10013,MID(P21,1,3)*1,ProductPrice!Q41:Q10013,1,ProductPrice!T41:T10013,1))</f>
        <v/>
      </c>
      <c r="AG21" s="2147" t="str">
        <f t="shared" si="17"/>
        <v/>
      </c>
      <c r="AH21" s="2147" t="str">
        <f>IF(I21="","",IF(ISNA(MATCH(I21,IF(invoice_location_id=1,'[1]1_inventory_totals'!$C$8:$C$10000,IF(invoice_location_id=2,'[1]2_inventory_totals'!$C$8:$C$10000,0)),0)),0,IF(AV21&gt;0,1,0)))</f>
        <v/>
      </c>
      <c r="AI21" s="2147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2147" t="str">
        <f>IF(M21="","",IF(ISNA(MATCH(I21,'[1]1_group_totals'!$C$8:$C$10000)),0,IF(AW21&gt;0,1,0)))</f>
        <v/>
      </c>
      <c r="AK21" s="214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214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2147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2147" t="str">
        <f t="shared" si="18"/>
        <v/>
      </c>
      <c r="AO21" s="2147" t="str">
        <f>IF(OR(ISNA(MATCH(MID(AN21,1,3)*1,UomConversion!$D$8:$D$500,0)),M21=""),"",IF(AT21="","",AT21))</f>
        <v/>
      </c>
      <c r="AP21" s="2147" t="str">
        <f>IF(AND(AQ21&gt;0,COUNTIFS(UomConversion!$D$8:$D$500,MID(AN21,1,3)*1,UomConversion!$J$8:$J$500,1)&gt;1),TEXT(AQ21,"000")&amp;"."&amp;VLOOKUP(AQ21,uom_list,5,FALSE),"")</f>
        <v/>
      </c>
      <c r="AQ21" s="2147" t="str">
        <f t="shared" si="19"/>
        <v/>
      </c>
      <c r="AR21" s="2147" t="str">
        <f t="shared" si="20"/>
        <v/>
      </c>
      <c r="AS21" s="2147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147" t="str">
        <f t="shared" si="7"/>
        <v/>
      </c>
      <c r="AU21" s="214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147" t="str">
        <f t="shared" si="8"/>
        <v/>
      </c>
      <c r="AW21" s="2147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2147" t="str">
        <f t="shared" si="21"/>
        <v/>
      </c>
      <c r="AY21" s="2147" t="str">
        <f>IF(M21="","",SUMIFS($AX$8:AX21,$I$8:I21,I21))</f>
        <v/>
      </c>
      <c r="AZ21" s="2147" t="str">
        <f t="shared" si="22"/>
        <v/>
      </c>
      <c r="BA21" s="214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214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1439"/>
      <c r="B22" s="1768"/>
      <c r="C22" s="1811" t="s">
        <v>214</v>
      </c>
      <c r="D22" s="1812"/>
      <c r="E22" s="1813"/>
      <c r="F22" s="1779"/>
      <c r="I22" s="2139" t="str">
        <f t="shared" si="9"/>
        <v/>
      </c>
      <c r="J22" s="2140" t="str">
        <f t="shared" si="23"/>
        <v/>
      </c>
      <c r="K22" s="2141" t="str">
        <f t="shared" si="10"/>
        <v/>
      </c>
      <c r="L22" s="2142"/>
      <c r="M22" s="1399"/>
      <c r="N22" s="1400"/>
      <c r="O22" s="1400"/>
      <c r="P22" s="1401"/>
      <c r="Q22" s="1402"/>
      <c r="R22" s="1407"/>
      <c r="S22" s="2143" t="str">
        <f t="shared" si="0"/>
        <v/>
      </c>
      <c r="T22" s="1404"/>
      <c r="U22" s="2144" t="str">
        <f t="shared" si="11"/>
        <v/>
      </c>
      <c r="V22" s="2145" t="str">
        <f t="shared" si="1"/>
        <v/>
      </c>
      <c r="W22" s="1405"/>
      <c r="X22" s="2145" t="str">
        <f t="shared" si="2"/>
        <v/>
      </c>
      <c r="Y22" s="2146" t="str">
        <f t="shared" si="12"/>
        <v/>
      </c>
      <c r="Z22" s="1406"/>
      <c r="AA22" s="2147" t="str" cm="1">
        <f t="array" ref="AA22">IF(M22="","",IF(P22=AN22,1,Slookup(MID(AN22,1,3)*1,UomConversion!$D$8:$J$500,5,UomConversion!$E$8:$E$500,MID(P22,1,3)*1,UomConversion!$J$8:$J$500,1)))</f>
        <v/>
      </c>
      <c r="AB22" s="2147" t="str">
        <f t="shared" si="13"/>
        <v/>
      </c>
      <c r="AC22" s="2147" t="str">
        <f t="shared" si="14"/>
        <v/>
      </c>
      <c r="AD22" s="2147" t="str">
        <f t="shared" si="15"/>
        <v/>
      </c>
      <c r="AE22" s="2147" t="str">
        <f t="shared" si="16"/>
        <v/>
      </c>
      <c r="AF22" s="2147" t="str">
        <f>IF(M22="","",SUMIFS(ProductPrice!N42:N10014,ProductPrice!D42:D10014,I22,ProductPrice!G42:G10014,invoice_branch_id,ProductPrice!H42:H10014,invoice_price_type_id,ProductPrice!I42:I10014,MID(P22,1,3)*1,ProductPrice!Q42:Q10014,1,ProductPrice!T42:T10014,1))</f>
        <v/>
      </c>
      <c r="AG22" s="2147" t="str">
        <f t="shared" si="17"/>
        <v/>
      </c>
      <c r="AH22" s="2147" t="str">
        <f>IF(I22="","",IF(ISNA(MATCH(I22,IF(invoice_location_id=1,'[1]1_inventory_totals'!$C$8:$C$10000,IF(invoice_location_id=2,'[1]2_inventory_totals'!$C$8:$C$10000,0)),0)),0,IF(AV22&gt;0,1,0)))</f>
        <v/>
      </c>
      <c r="AI22" s="2147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2147" t="str">
        <f>IF(M22="","",IF(ISNA(MATCH(I22,'[1]1_group_totals'!$C$8:$C$10000)),0,IF(AW22&gt;0,1,0)))</f>
        <v/>
      </c>
      <c r="AK22" s="214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214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2147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2147" t="str">
        <f t="shared" si="18"/>
        <v/>
      </c>
      <c r="AO22" s="2147" t="str">
        <f>IF(OR(ISNA(MATCH(MID(AN22,1,3)*1,UomConversion!$D$8:$D$500,0)),M22=""),"",IF(AT22="","",AT22))</f>
        <v/>
      </c>
      <c r="AP22" s="2147" t="str">
        <f>IF(AND(AQ22&gt;0,COUNTIFS(UomConversion!$D$8:$D$500,MID(AN22,1,3)*1,UomConversion!$J$8:$J$500,1)&gt;1),TEXT(AQ22,"000")&amp;"."&amp;VLOOKUP(AQ22,uom_list,5,FALSE),"")</f>
        <v/>
      </c>
      <c r="AQ22" s="2147" t="str">
        <f t="shared" si="19"/>
        <v/>
      </c>
      <c r="AR22" s="2147" t="str">
        <f t="shared" si="20"/>
        <v/>
      </c>
      <c r="AS22" s="2147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147" t="str">
        <f t="shared" si="7"/>
        <v/>
      </c>
      <c r="AU22" s="214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147" t="str">
        <f t="shared" si="8"/>
        <v/>
      </c>
      <c r="AW22" s="2147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2147" t="str">
        <f t="shared" si="21"/>
        <v/>
      </c>
      <c r="AY22" s="2147" t="str">
        <f>IF(M22="","",SUMIFS($AX$8:AX22,$I$8:I22,I22))</f>
        <v/>
      </c>
      <c r="AZ22" s="2147" t="str">
        <f t="shared" si="22"/>
        <v/>
      </c>
      <c r="BA22" s="214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214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1439"/>
      <c r="B23" s="1768"/>
      <c r="C23" s="1814"/>
      <c r="D23" s="1815"/>
      <c r="E23" s="1816"/>
      <c r="F23" s="1779"/>
      <c r="I23" s="2139" t="str">
        <f t="shared" si="9"/>
        <v/>
      </c>
      <c r="J23" s="2140" t="str">
        <f t="shared" si="23"/>
        <v/>
      </c>
      <c r="K23" s="2141" t="str">
        <f t="shared" si="10"/>
        <v/>
      </c>
      <c r="L23" s="2142"/>
      <c r="M23" s="1399"/>
      <c r="N23" s="1400"/>
      <c r="O23" s="1400"/>
      <c r="P23" s="1401"/>
      <c r="Q23" s="1402"/>
      <c r="R23" s="1407"/>
      <c r="S23" s="2143" t="str">
        <f t="shared" si="0"/>
        <v/>
      </c>
      <c r="T23" s="1404"/>
      <c r="U23" s="2144" t="str">
        <f t="shared" si="11"/>
        <v/>
      </c>
      <c r="V23" s="2145" t="str">
        <f t="shared" si="1"/>
        <v/>
      </c>
      <c r="W23" s="1405"/>
      <c r="X23" s="2145" t="str">
        <f t="shared" si="2"/>
        <v/>
      </c>
      <c r="Y23" s="2146" t="str">
        <f t="shared" si="12"/>
        <v/>
      </c>
      <c r="Z23" s="1406"/>
      <c r="AA23" s="2147" t="str" cm="1">
        <f t="array" ref="AA23">IF(M23="","",IF(P23=AN23,1,Slookup(MID(AN23,1,3)*1,UomConversion!$D$8:$J$500,5,UomConversion!$E$8:$E$500,MID(P23,1,3)*1,UomConversion!$J$8:$J$500,1)))</f>
        <v/>
      </c>
      <c r="AB23" s="2147" t="str">
        <f t="shared" si="13"/>
        <v/>
      </c>
      <c r="AC23" s="2147" t="str">
        <f t="shared" si="14"/>
        <v/>
      </c>
      <c r="AD23" s="2147" t="str">
        <f t="shared" si="15"/>
        <v/>
      </c>
      <c r="AE23" s="2147" t="str">
        <f t="shared" si="16"/>
        <v/>
      </c>
      <c r="AF23" s="2147" t="str">
        <f>IF(M23="","",SUMIFS(ProductPrice!N43:N10015,ProductPrice!D43:D10015,I23,ProductPrice!G43:G10015,invoice_branch_id,ProductPrice!H43:H10015,invoice_price_type_id,ProductPrice!I43:I10015,MID(P23,1,3)*1,ProductPrice!Q43:Q10015,1,ProductPrice!T43:T10015,1))</f>
        <v/>
      </c>
      <c r="AG23" s="2147" t="str">
        <f t="shared" si="17"/>
        <v/>
      </c>
      <c r="AH23" s="2147" t="str">
        <f>IF(I23="","",IF(ISNA(MATCH(I23,IF(invoice_location_id=1,'[1]1_inventory_totals'!$C$8:$C$10000,IF(invoice_location_id=2,'[1]2_inventory_totals'!$C$8:$C$10000,0)),0)),0,IF(AV23&gt;0,1,0)))</f>
        <v/>
      </c>
      <c r="AI23" s="2147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2147" t="str">
        <f>IF(M23="","",IF(ISNA(MATCH(I23,'[1]1_group_totals'!$C$8:$C$10000)),0,IF(AW23&gt;0,1,0)))</f>
        <v/>
      </c>
      <c r="AK23" s="214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214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2147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2147" t="str">
        <f t="shared" si="18"/>
        <v/>
      </c>
      <c r="AO23" s="2147" t="str">
        <f>IF(OR(ISNA(MATCH(MID(AN23,1,3)*1,UomConversion!$D$8:$D$500,0)),M23=""),"",IF(AT23="","",AT23))</f>
        <v/>
      </c>
      <c r="AP23" s="2147" t="str">
        <f>IF(AND(AQ23&gt;0,COUNTIFS(UomConversion!$D$8:$D$500,MID(AN23,1,3)*1,UomConversion!$J$8:$J$500,1)&gt;1),TEXT(AQ23,"000")&amp;"."&amp;VLOOKUP(AQ23,uom_list,5,FALSE),"")</f>
        <v/>
      </c>
      <c r="AQ23" s="2147" t="str">
        <f t="shared" si="19"/>
        <v/>
      </c>
      <c r="AR23" s="2147" t="str">
        <f t="shared" si="20"/>
        <v/>
      </c>
      <c r="AS23" s="2147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147" t="str">
        <f t="shared" si="7"/>
        <v/>
      </c>
      <c r="AU23" s="214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147" t="str">
        <f t="shared" si="8"/>
        <v/>
      </c>
      <c r="AW23" s="2147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2147" t="str">
        <f t="shared" si="21"/>
        <v/>
      </c>
      <c r="AY23" s="2147" t="str">
        <f>IF(M23="","",SUMIFS($AX$8:AX23,$I$8:I23,I23))</f>
        <v/>
      </c>
      <c r="AZ23" s="2147" t="str">
        <f t="shared" si="22"/>
        <v/>
      </c>
      <c r="BA23" s="214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214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1439"/>
      <c r="B24" s="1768"/>
      <c r="C24" s="1817"/>
      <c r="D24" s="1818"/>
      <c r="E24" s="1819"/>
      <c r="F24" s="1779"/>
      <c r="I24" s="2139" t="str">
        <f t="shared" si="9"/>
        <v/>
      </c>
      <c r="J24" s="2140" t="str">
        <f t="shared" si="23"/>
        <v/>
      </c>
      <c r="K24" s="2141" t="str">
        <f t="shared" si="10"/>
        <v/>
      </c>
      <c r="L24" s="2142"/>
      <c r="M24" s="1399"/>
      <c r="N24" s="1400"/>
      <c r="O24" s="1400"/>
      <c r="P24" s="1401"/>
      <c r="Q24" s="1402"/>
      <c r="R24" s="1407"/>
      <c r="S24" s="2143" t="str">
        <f t="shared" si="0"/>
        <v/>
      </c>
      <c r="T24" s="1404"/>
      <c r="U24" s="2144" t="str">
        <f t="shared" si="11"/>
        <v/>
      </c>
      <c r="V24" s="2145" t="str">
        <f t="shared" si="1"/>
        <v/>
      </c>
      <c r="W24" s="1405"/>
      <c r="X24" s="2145" t="str">
        <f t="shared" si="2"/>
        <v/>
      </c>
      <c r="Y24" s="2146" t="str">
        <f t="shared" si="12"/>
        <v/>
      </c>
      <c r="Z24" s="1406"/>
      <c r="AA24" s="2147" t="str" cm="1">
        <f t="array" ref="AA24">IF(M24="","",IF(P24=AN24,1,Slookup(MID(AN24,1,3)*1,UomConversion!$D$8:$J$500,5,UomConversion!$E$8:$E$500,MID(P24,1,3)*1,UomConversion!$J$8:$J$500,1)))</f>
        <v/>
      </c>
      <c r="AB24" s="2147" t="str">
        <f t="shared" si="13"/>
        <v/>
      </c>
      <c r="AC24" s="2147" t="str">
        <f t="shared" si="14"/>
        <v/>
      </c>
      <c r="AD24" s="2147" t="str">
        <f t="shared" si="15"/>
        <v/>
      </c>
      <c r="AE24" s="2147" t="str">
        <f t="shared" si="16"/>
        <v/>
      </c>
      <c r="AF24" s="2147" t="str">
        <f>IF(M24="","",SUMIFS(ProductPrice!N44:N10016,ProductPrice!D44:D10016,I24,ProductPrice!G44:G10016,invoice_branch_id,ProductPrice!H44:H10016,invoice_price_type_id,ProductPrice!I44:I10016,MID(P24,1,3)*1,ProductPrice!Q44:Q10016,1,ProductPrice!T44:T10016,1))</f>
        <v/>
      </c>
      <c r="AG24" s="2147" t="str">
        <f t="shared" si="17"/>
        <v/>
      </c>
      <c r="AH24" s="2147" t="str">
        <f>IF(I24="","",IF(ISNA(MATCH(I24,IF(invoice_location_id=1,'[1]1_inventory_totals'!$C$8:$C$10000,IF(invoice_location_id=2,'[1]2_inventory_totals'!$C$8:$C$10000,0)),0)),0,IF(AV24&gt;0,1,0)))</f>
        <v/>
      </c>
      <c r="AI24" s="2147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2147" t="str">
        <f>IF(M24="","",IF(ISNA(MATCH(I24,'[1]1_group_totals'!$C$8:$C$10000)),0,IF(AW24&gt;0,1,0)))</f>
        <v/>
      </c>
      <c r="AK24" s="214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214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2147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2147" t="str">
        <f t="shared" si="18"/>
        <v/>
      </c>
      <c r="AO24" s="2147" t="str">
        <f>IF(OR(ISNA(MATCH(MID(AN24,1,3)*1,UomConversion!$D$8:$D$500,0)),M24=""),"",IF(AT24="","",AT24))</f>
        <v/>
      </c>
      <c r="AP24" s="2147" t="str">
        <f>IF(AND(AQ24&gt;0,COUNTIFS(UomConversion!$D$8:$D$500,MID(AN24,1,3)*1,UomConversion!$J$8:$J$500,1)&gt;1),TEXT(AQ24,"000")&amp;"."&amp;VLOOKUP(AQ24,uom_list,5,FALSE),"")</f>
        <v/>
      </c>
      <c r="AQ24" s="2147" t="str">
        <f t="shared" si="19"/>
        <v/>
      </c>
      <c r="AR24" s="2147" t="str">
        <f t="shared" si="20"/>
        <v/>
      </c>
      <c r="AS24" s="2147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147" t="str">
        <f t="shared" si="7"/>
        <v/>
      </c>
      <c r="AU24" s="214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147" t="str">
        <f t="shared" si="8"/>
        <v/>
      </c>
      <c r="AW24" s="2147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2147" t="str">
        <f t="shared" si="21"/>
        <v/>
      </c>
      <c r="AY24" s="2147" t="str">
        <f>IF(M24="","",SUMIFS($AX$8:AX24,$I$8:I24,I24))</f>
        <v/>
      </c>
      <c r="AZ24" s="2147" t="str">
        <f t="shared" si="22"/>
        <v/>
      </c>
      <c r="BA24" s="214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214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1439"/>
      <c r="B25" s="1768"/>
      <c r="C25" s="1784" t="s">
        <v>3456</v>
      </c>
      <c r="D25" s="1466"/>
      <c r="E25" s="1466"/>
      <c r="F25" s="1779"/>
      <c r="I25" s="2139" t="str">
        <f t="shared" si="9"/>
        <v/>
      </c>
      <c r="J25" s="2140" t="str">
        <f t="shared" si="23"/>
        <v/>
      </c>
      <c r="K25" s="2141" t="str">
        <f t="shared" si="10"/>
        <v/>
      </c>
      <c r="L25" s="2142"/>
      <c r="M25" s="1399"/>
      <c r="N25" s="1400"/>
      <c r="O25" s="1400"/>
      <c r="P25" s="1401"/>
      <c r="Q25" s="1402"/>
      <c r="R25" s="1407"/>
      <c r="S25" s="2143" t="str">
        <f t="shared" si="0"/>
        <v/>
      </c>
      <c r="T25" s="1404"/>
      <c r="U25" s="2144" t="str">
        <f t="shared" si="11"/>
        <v/>
      </c>
      <c r="V25" s="2145" t="str">
        <f t="shared" si="1"/>
        <v/>
      </c>
      <c r="W25" s="1405"/>
      <c r="X25" s="2145" t="str">
        <f t="shared" si="2"/>
        <v/>
      </c>
      <c r="Y25" s="2146" t="str">
        <f t="shared" si="12"/>
        <v/>
      </c>
      <c r="Z25" s="1406"/>
      <c r="AA25" s="2147" t="str" cm="1">
        <f t="array" ref="AA25">IF(M25="","",IF(P25=AN25,1,Slookup(MID(AN25,1,3)*1,UomConversion!$D$8:$J$500,5,UomConversion!$E$8:$E$500,MID(P25,1,3)*1,UomConversion!$J$8:$J$500,1)))</f>
        <v/>
      </c>
      <c r="AB25" s="2147" t="str">
        <f t="shared" si="13"/>
        <v/>
      </c>
      <c r="AC25" s="2147" t="str">
        <f t="shared" si="14"/>
        <v/>
      </c>
      <c r="AD25" s="2147" t="str">
        <f t="shared" si="15"/>
        <v/>
      </c>
      <c r="AE25" s="2147" t="str">
        <f t="shared" si="16"/>
        <v/>
      </c>
      <c r="AF25" s="2147" t="str">
        <f>IF(M25="","",SUMIFS(ProductPrice!N45:N10017,ProductPrice!D45:D10017,I25,ProductPrice!G45:G10017,invoice_branch_id,ProductPrice!H45:H10017,invoice_price_type_id,ProductPrice!I45:I10017,MID(P25,1,3)*1,ProductPrice!Q45:Q10017,1,ProductPrice!T45:T10017,1))</f>
        <v/>
      </c>
      <c r="AG25" s="2147" t="str">
        <f t="shared" si="17"/>
        <v/>
      </c>
      <c r="AH25" s="2147" t="str">
        <f>IF(I25="","",IF(ISNA(MATCH(I25,IF(invoice_location_id=1,'[1]1_inventory_totals'!$C$8:$C$10000,IF(invoice_location_id=2,'[1]2_inventory_totals'!$C$8:$C$10000,0)),0)),0,IF(AV25&gt;0,1,0)))</f>
        <v/>
      </c>
      <c r="AI25" s="2147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2147" t="str">
        <f>IF(M25="","",IF(ISNA(MATCH(I25,'[1]1_group_totals'!$C$8:$C$10000)),0,IF(AW25&gt;0,1,0)))</f>
        <v/>
      </c>
      <c r="AK25" s="214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214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2147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2147" t="str">
        <f t="shared" si="18"/>
        <v/>
      </c>
      <c r="AO25" s="2147" t="str">
        <f>IF(OR(ISNA(MATCH(MID(AN25,1,3)*1,UomConversion!$D$8:$D$500,0)),M25=""),"",IF(AT25="","",AT25))</f>
        <v/>
      </c>
      <c r="AP25" s="2147" t="str">
        <f>IF(AND(AQ25&gt;0,COUNTIFS(UomConversion!$D$8:$D$500,MID(AN25,1,3)*1,UomConversion!$J$8:$J$500,1)&gt;1),TEXT(AQ25,"000")&amp;"."&amp;VLOOKUP(AQ25,uom_list,5,FALSE),"")</f>
        <v/>
      </c>
      <c r="AQ25" s="2147" t="str">
        <f t="shared" si="19"/>
        <v/>
      </c>
      <c r="AR25" s="2147" t="str">
        <f t="shared" si="20"/>
        <v/>
      </c>
      <c r="AS25" s="2147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147" t="str">
        <f t="shared" si="7"/>
        <v/>
      </c>
      <c r="AU25" s="214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147" t="str">
        <f t="shared" si="8"/>
        <v/>
      </c>
      <c r="AW25" s="2147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2147" t="str">
        <f t="shared" si="21"/>
        <v/>
      </c>
      <c r="AY25" s="2147" t="str">
        <f>IF(M25="","",SUMIFS($AX$8:AX25,$I$8:I25,I25))</f>
        <v/>
      </c>
      <c r="AZ25" s="2147" t="str">
        <f t="shared" si="22"/>
        <v/>
      </c>
      <c r="BA25" s="214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214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1439"/>
      <c r="B26" s="1768"/>
      <c r="C26" s="1466"/>
      <c r="D26" s="1466"/>
      <c r="E26" s="1466"/>
      <c r="F26" s="1779"/>
      <c r="I26" s="2139" t="str">
        <f t="shared" si="9"/>
        <v/>
      </c>
      <c r="J26" s="2140" t="str">
        <f t="shared" si="23"/>
        <v/>
      </c>
      <c r="K26" s="2141" t="str">
        <f t="shared" si="10"/>
        <v/>
      </c>
      <c r="L26" s="2142"/>
      <c r="M26" s="1399"/>
      <c r="N26" s="1400"/>
      <c r="O26" s="1400"/>
      <c r="P26" s="1401"/>
      <c r="Q26" s="1402"/>
      <c r="R26" s="1407"/>
      <c r="S26" s="2143" t="str">
        <f t="shared" si="0"/>
        <v/>
      </c>
      <c r="T26" s="1404"/>
      <c r="U26" s="2144" t="str">
        <f t="shared" si="11"/>
        <v/>
      </c>
      <c r="V26" s="2145" t="str">
        <f t="shared" si="1"/>
        <v/>
      </c>
      <c r="W26" s="1405"/>
      <c r="X26" s="2145" t="str">
        <f t="shared" si="2"/>
        <v/>
      </c>
      <c r="Y26" s="2146" t="str">
        <f t="shared" si="12"/>
        <v/>
      </c>
      <c r="Z26" s="1406"/>
      <c r="AA26" s="2147" t="str" cm="1">
        <f t="array" ref="AA26">IF(M26="","",IF(P26=AN26,1,Slookup(MID(AN26,1,3)*1,UomConversion!$D$8:$J$500,5,UomConversion!$E$8:$E$500,MID(P26,1,3)*1,UomConversion!$J$8:$J$500,1)))</f>
        <v/>
      </c>
      <c r="AB26" s="2147" t="str">
        <f t="shared" si="13"/>
        <v/>
      </c>
      <c r="AC26" s="2147" t="str">
        <f t="shared" si="14"/>
        <v/>
      </c>
      <c r="AD26" s="2147" t="str">
        <f t="shared" si="15"/>
        <v/>
      </c>
      <c r="AE26" s="2147" t="str">
        <f t="shared" si="16"/>
        <v/>
      </c>
      <c r="AF26" s="2147" t="str">
        <f>IF(M26="","",SUMIFS(ProductPrice!N46:N10018,ProductPrice!D46:D10018,I26,ProductPrice!G46:G10018,invoice_branch_id,ProductPrice!H46:H10018,invoice_price_type_id,ProductPrice!I46:I10018,MID(P26,1,3)*1,ProductPrice!Q46:Q10018,1,ProductPrice!T46:T10018,1))</f>
        <v/>
      </c>
      <c r="AG26" s="2147" t="str">
        <f t="shared" si="17"/>
        <v/>
      </c>
      <c r="AH26" s="2147" t="str">
        <f>IF(I26="","",IF(ISNA(MATCH(I26,IF(invoice_location_id=1,'[1]1_inventory_totals'!$C$8:$C$10000,IF(invoice_location_id=2,'[1]2_inventory_totals'!$C$8:$C$10000,0)),0)),0,IF(AV26&gt;0,1,0)))</f>
        <v/>
      </c>
      <c r="AI26" s="2147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2147" t="str">
        <f>IF(M26="","",IF(ISNA(MATCH(I26,'[1]1_group_totals'!$C$8:$C$10000)),0,IF(AW26&gt;0,1,0)))</f>
        <v/>
      </c>
      <c r="AK26" s="214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214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2147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2147" t="str">
        <f t="shared" si="18"/>
        <v/>
      </c>
      <c r="AO26" s="2147" t="str">
        <f>IF(OR(ISNA(MATCH(MID(AN26,1,3)*1,UomConversion!$D$8:$D$500,0)),M26=""),"",IF(AT26="","",AT26))</f>
        <v/>
      </c>
      <c r="AP26" s="2147" t="str">
        <f>IF(AND(AQ26&gt;0,COUNTIFS(UomConversion!$D$8:$D$500,MID(AN26,1,3)*1,UomConversion!$J$8:$J$500,1)&gt;1),TEXT(AQ26,"000")&amp;"."&amp;VLOOKUP(AQ26,uom_list,5,FALSE),"")</f>
        <v/>
      </c>
      <c r="AQ26" s="2147" t="str">
        <f t="shared" si="19"/>
        <v/>
      </c>
      <c r="AR26" s="2147" t="str">
        <f t="shared" si="20"/>
        <v/>
      </c>
      <c r="AS26" s="2147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147" t="str">
        <f t="shared" si="7"/>
        <v/>
      </c>
      <c r="AU26" s="214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147" t="str">
        <f t="shared" si="8"/>
        <v/>
      </c>
      <c r="AW26" s="2147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2147" t="str">
        <f t="shared" si="21"/>
        <v/>
      </c>
      <c r="AY26" s="2147" t="str">
        <f>IF(M26="","",SUMIFS($AX$8:AX26,$I$8:I26,I26))</f>
        <v/>
      </c>
      <c r="AZ26" s="2147" t="str">
        <f t="shared" si="22"/>
        <v/>
      </c>
      <c r="BA26" s="214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214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1439"/>
      <c r="B27" s="1768"/>
      <c r="C27" s="1466"/>
      <c r="D27" s="1466"/>
      <c r="E27" s="1466"/>
      <c r="F27" s="1779"/>
      <c r="I27" s="2139" t="str">
        <f t="shared" si="9"/>
        <v/>
      </c>
      <c r="J27" s="2140" t="str">
        <f t="shared" si="23"/>
        <v/>
      </c>
      <c r="K27" s="2141" t="str">
        <f t="shared" si="10"/>
        <v/>
      </c>
      <c r="L27" s="2142"/>
      <c r="M27" s="1399"/>
      <c r="N27" s="1400"/>
      <c r="O27" s="1400"/>
      <c r="P27" s="1401"/>
      <c r="Q27" s="1402"/>
      <c r="R27" s="1407"/>
      <c r="S27" s="2143" t="str">
        <f t="shared" si="0"/>
        <v/>
      </c>
      <c r="T27" s="1404"/>
      <c r="U27" s="2144" t="str">
        <f t="shared" si="11"/>
        <v/>
      </c>
      <c r="V27" s="2145" t="str">
        <f t="shared" si="1"/>
        <v/>
      </c>
      <c r="W27" s="1405"/>
      <c r="X27" s="2145" t="str">
        <f t="shared" si="2"/>
        <v/>
      </c>
      <c r="Y27" s="2146" t="str">
        <f t="shared" si="12"/>
        <v/>
      </c>
      <c r="Z27" s="1406"/>
      <c r="AA27" s="2147" t="str" cm="1">
        <f t="array" ref="AA27">IF(M27="","",IF(P27=AN27,1,Slookup(MID(AN27,1,3)*1,UomConversion!$D$8:$J$500,5,UomConversion!$E$8:$E$500,MID(P27,1,3)*1,UomConversion!$J$8:$J$500,1)))</f>
        <v/>
      </c>
      <c r="AB27" s="2147" t="str">
        <f t="shared" si="13"/>
        <v/>
      </c>
      <c r="AC27" s="2147" t="str">
        <f t="shared" si="14"/>
        <v/>
      </c>
      <c r="AD27" s="2147" t="str">
        <f t="shared" si="15"/>
        <v/>
      </c>
      <c r="AE27" s="2147" t="str">
        <f t="shared" si="16"/>
        <v/>
      </c>
      <c r="AF27" s="2147" t="str">
        <f>IF(M27="","",SUMIFS(ProductPrice!N47:N10019,ProductPrice!D47:D10019,I27,ProductPrice!G47:G10019,invoice_branch_id,ProductPrice!H47:H10019,invoice_price_type_id,ProductPrice!I47:I10019,MID(P27,1,3)*1,ProductPrice!Q47:Q10019,1,ProductPrice!T47:T10019,1))</f>
        <v/>
      </c>
      <c r="AG27" s="2147" t="str">
        <f t="shared" si="17"/>
        <v/>
      </c>
      <c r="AH27" s="2147" t="str">
        <f>IF(I27="","",IF(ISNA(MATCH(I27,IF(invoice_location_id=1,'[1]1_inventory_totals'!$C$8:$C$10000,IF(invoice_location_id=2,'[1]2_inventory_totals'!$C$8:$C$10000,0)),0)),0,IF(AV27&gt;0,1,0)))</f>
        <v/>
      </c>
      <c r="AI27" s="2147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2147" t="str">
        <f>IF(M27="","",IF(ISNA(MATCH(I27,'[1]1_group_totals'!$C$8:$C$10000)),0,IF(AW27&gt;0,1,0)))</f>
        <v/>
      </c>
      <c r="AK27" s="214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214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2147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2147" t="str">
        <f t="shared" si="18"/>
        <v/>
      </c>
      <c r="AO27" s="2147" t="str">
        <f>IF(OR(ISNA(MATCH(MID(AN27,1,3)*1,UomConversion!$D$8:$D$500,0)),M27=""),"",IF(AT27="","",AT27))</f>
        <v/>
      </c>
      <c r="AP27" s="2147" t="str">
        <f>IF(AND(AQ27&gt;0,COUNTIFS(UomConversion!$D$8:$D$500,MID(AN27,1,3)*1,UomConversion!$J$8:$J$500,1)&gt;1),TEXT(AQ27,"000")&amp;"."&amp;VLOOKUP(AQ27,uom_list,5,FALSE),"")</f>
        <v/>
      </c>
      <c r="AQ27" s="2147" t="str">
        <f t="shared" si="19"/>
        <v/>
      </c>
      <c r="AR27" s="2147" t="str">
        <f t="shared" si="20"/>
        <v/>
      </c>
      <c r="AS27" s="2147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147" t="str">
        <f t="shared" si="7"/>
        <v/>
      </c>
      <c r="AU27" s="214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147" t="str">
        <f t="shared" si="8"/>
        <v/>
      </c>
      <c r="AW27" s="2147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2147" t="str">
        <f t="shared" si="21"/>
        <v/>
      </c>
      <c r="AY27" s="2147" t="str">
        <f>IF(M27="","",SUMIFS($AX$8:AX27,$I$8:I27,I27))</f>
        <v/>
      </c>
      <c r="AZ27" s="2147" t="str">
        <f t="shared" si="22"/>
        <v/>
      </c>
      <c r="BA27" s="214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214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1439"/>
      <c r="B28" s="1768"/>
      <c r="C28" s="1466"/>
      <c r="D28" s="1466"/>
      <c r="E28" s="1466"/>
      <c r="F28" s="1779"/>
      <c r="I28" s="2139" t="str">
        <f t="shared" si="9"/>
        <v/>
      </c>
      <c r="J28" s="2140" t="str">
        <f t="shared" si="23"/>
        <v/>
      </c>
      <c r="K28" s="2141" t="str">
        <f t="shared" si="10"/>
        <v/>
      </c>
      <c r="L28" s="2142"/>
      <c r="M28" s="1399"/>
      <c r="N28" s="1400"/>
      <c r="O28" s="1400"/>
      <c r="P28" s="1401"/>
      <c r="Q28" s="1402"/>
      <c r="R28" s="1407"/>
      <c r="S28" s="2143" t="str">
        <f t="shared" si="0"/>
        <v/>
      </c>
      <c r="T28" s="1404"/>
      <c r="U28" s="2144" t="str">
        <f t="shared" si="11"/>
        <v/>
      </c>
      <c r="V28" s="2145" t="str">
        <f t="shared" si="1"/>
        <v/>
      </c>
      <c r="W28" s="1405"/>
      <c r="X28" s="2145" t="str">
        <f t="shared" si="2"/>
        <v/>
      </c>
      <c r="Y28" s="2146" t="str">
        <f t="shared" si="12"/>
        <v/>
      </c>
      <c r="Z28" s="1406"/>
      <c r="AA28" s="2147" t="str" cm="1">
        <f t="array" ref="AA28">IF(M28="","",IF(P28=AN28,1,Slookup(MID(AN28,1,3)*1,UomConversion!$D$8:$J$500,5,UomConversion!$E$8:$E$500,MID(P28,1,3)*1,UomConversion!$J$8:$J$500,1)))</f>
        <v/>
      </c>
      <c r="AB28" s="2147" t="str">
        <f t="shared" si="13"/>
        <v/>
      </c>
      <c r="AC28" s="2147" t="str">
        <f t="shared" si="14"/>
        <v/>
      </c>
      <c r="AD28" s="2147" t="str">
        <f t="shared" si="15"/>
        <v/>
      </c>
      <c r="AE28" s="2147" t="str">
        <f t="shared" si="16"/>
        <v/>
      </c>
      <c r="AF28" s="2147" t="str">
        <f>IF(M28="","",SUMIFS(ProductPrice!N48:N10020,ProductPrice!D48:D10020,I28,ProductPrice!G48:G10020,invoice_branch_id,ProductPrice!H48:H10020,invoice_price_type_id,ProductPrice!I48:I10020,MID(P28,1,3)*1,ProductPrice!Q48:Q10020,1,ProductPrice!T48:T10020,1))</f>
        <v/>
      </c>
      <c r="AG28" s="2147" t="str">
        <f t="shared" si="17"/>
        <v/>
      </c>
      <c r="AH28" s="2147" t="str">
        <f>IF(I28="","",IF(ISNA(MATCH(I28,IF(invoice_location_id=1,'[1]1_inventory_totals'!$C$8:$C$10000,IF(invoice_location_id=2,'[1]2_inventory_totals'!$C$8:$C$10000,0)),0)),0,IF(AV28&gt;0,1,0)))</f>
        <v/>
      </c>
      <c r="AI28" s="2147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2147" t="str">
        <f>IF(M28="","",IF(ISNA(MATCH(I28,'[1]1_group_totals'!$C$8:$C$10000)),0,IF(AW28&gt;0,1,0)))</f>
        <v/>
      </c>
      <c r="AK28" s="214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214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2147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2147" t="str">
        <f t="shared" si="18"/>
        <v/>
      </c>
      <c r="AO28" s="2147" t="str">
        <f>IF(OR(ISNA(MATCH(MID(AN28,1,3)*1,UomConversion!$D$8:$D$500,0)),M28=""),"",IF(AT28="","",AT28))</f>
        <v/>
      </c>
      <c r="AP28" s="2147" t="str">
        <f>IF(AND(AQ28&gt;0,COUNTIFS(UomConversion!$D$8:$D$500,MID(AN28,1,3)*1,UomConversion!$J$8:$J$500,1)&gt;1),TEXT(AQ28,"000")&amp;"."&amp;VLOOKUP(AQ28,uom_list,5,FALSE),"")</f>
        <v/>
      </c>
      <c r="AQ28" s="2147" t="str">
        <f t="shared" si="19"/>
        <v/>
      </c>
      <c r="AR28" s="2147" t="str">
        <f t="shared" si="20"/>
        <v/>
      </c>
      <c r="AS28" s="2147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147" t="str">
        <f t="shared" si="7"/>
        <v/>
      </c>
      <c r="AU28" s="214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147" t="str">
        <f t="shared" si="8"/>
        <v/>
      </c>
      <c r="AW28" s="2147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2147" t="str">
        <f t="shared" si="21"/>
        <v/>
      </c>
      <c r="AY28" s="2147" t="str">
        <f>IF(M28="","",SUMIFS($AX$8:AX28,$I$8:I28,I28))</f>
        <v/>
      </c>
      <c r="AZ28" s="2147" t="str">
        <f t="shared" si="22"/>
        <v/>
      </c>
      <c r="BA28" s="214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214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1439"/>
      <c r="B29" s="1768"/>
      <c r="C29" s="1466"/>
      <c r="D29" s="1466"/>
      <c r="E29" s="1466"/>
      <c r="F29" s="1779"/>
      <c r="I29" s="2139" t="str">
        <f t="shared" si="9"/>
        <v/>
      </c>
      <c r="J29" s="2140" t="str">
        <f t="shared" si="23"/>
        <v/>
      </c>
      <c r="K29" s="2141" t="str">
        <f t="shared" si="10"/>
        <v/>
      </c>
      <c r="L29" s="2142"/>
      <c r="M29" s="1399"/>
      <c r="N29" s="1400"/>
      <c r="O29" s="1400"/>
      <c r="P29" s="1401"/>
      <c r="Q29" s="1402"/>
      <c r="R29" s="1407"/>
      <c r="S29" s="2143" t="str">
        <f t="shared" si="0"/>
        <v/>
      </c>
      <c r="T29" s="1404"/>
      <c r="U29" s="2144" t="str">
        <f t="shared" si="11"/>
        <v/>
      </c>
      <c r="V29" s="2145" t="str">
        <f t="shared" si="1"/>
        <v/>
      </c>
      <c r="W29" s="1405"/>
      <c r="X29" s="2145" t="str">
        <f t="shared" si="2"/>
        <v/>
      </c>
      <c r="Y29" s="2146" t="str">
        <f t="shared" si="12"/>
        <v/>
      </c>
      <c r="Z29" s="1406"/>
      <c r="AA29" s="2147" t="str" cm="1">
        <f t="array" ref="AA29">IF(M29="","",IF(P29=AN29,1,Slookup(MID(AN29,1,3)*1,UomConversion!$D$8:$J$500,5,UomConversion!$E$8:$E$500,MID(P29,1,3)*1,UomConversion!$J$8:$J$500,1)))</f>
        <v/>
      </c>
      <c r="AB29" s="2147" t="str">
        <f t="shared" si="13"/>
        <v/>
      </c>
      <c r="AC29" s="2147" t="str">
        <f t="shared" si="14"/>
        <v/>
      </c>
      <c r="AD29" s="2147" t="str">
        <f t="shared" si="15"/>
        <v/>
      </c>
      <c r="AE29" s="2147" t="str">
        <f t="shared" si="16"/>
        <v/>
      </c>
      <c r="AF29" s="2147" t="str">
        <f>IF(M29="","",SUMIFS(ProductPrice!N49:N10021,ProductPrice!D49:D10021,I29,ProductPrice!G49:G10021,invoice_branch_id,ProductPrice!H49:H10021,invoice_price_type_id,ProductPrice!I49:I10021,MID(P29,1,3)*1,ProductPrice!Q49:Q10021,1,ProductPrice!T49:T10021,1))</f>
        <v/>
      </c>
      <c r="AG29" s="2147" t="str">
        <f t="shared" si="17"/>
        <v/>
      </c>
      <c r="AH29" s="2147" t="str">
        <f>IF(I29="","",IF(ISNA(MATCH(I29,IF(invoice_location_id=1,'[1]1_inventory_totals'!$C$8:$C$10000,IF(invoice_location_id=2,'[1]2_inventory_totals'!$C$8:$C$10000,0)),0)),0,IF(AV29&gt;0,1,0)))</f>
        <v/>
      </c>
      <c r="AI29" s="2147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2147" t="str">
        <f>IF(M29="","",IF(ISNA(MATCH(I29,'[1]1_group_totals'!$C$8:$C$10000)),0,IF(AW29&gt;0,1,0)))</f>
        <v/>
      </c>
      <c r="AK29" s="214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214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2147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2147" t="str">
        <f t="shared" si="18"/>
        <v/>
      </c>
      <c r="AO29" s="2147" t="str">
        <f>IF(OR(ISNA(MATCH(MID(AN29,1,3)*1,UomConversion!$D$8:$D$500,0)),M29=""),"",IF(AT29="","",AT29))</f>
        <v/>
      </c>
      <c r="AP29" s="2147" t="str">
        <f>IF(AND(AQ29&gt;0,COUNTIFS(UomConversion!$D$8:$D$500,MID(AN29,1,3)*1,UomConversion!$J$8:$J$500,1)&gt;1),TEXT(AQ29,"000")&amp;"."&amp;VLOOKUP(AQ29,uom_list,5,FALSE),"")</f>
        <v/>
      </c>
      <c r="AQ29" s="2147" t="str">
        <f t="shared" si="19"/>
        <v/>
      </c>
      <c r="AR29" s="2147" t="str">
        <f t="shared" si="20"/>
        <v/>
      </c>
      <c r="AS29" s="2147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147" t="str">
        <f t="shared" si="7"/>
        <v/>
      </c>
      <c r="AU29" s="214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147" t="str">
        <f t="shared" si="8"/>
        <v/>
      </c>
      <c r="AW29" s="2147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2147" t="str">
        <f t="shared" si="21"/>
        <v/>
      </c>
      <c r="AY29" s="2147" t="str">
        <f>IF(M29="","",SUMIFS($AX$8:AX29,$I$8:I29,I29))</f>
        <v/>
      </c>
      <c r="AZ29" s="2147" t="str">
        <f t="shared" si="22"/>
        <v/>
      </c>
      <c r="BA29" s="214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214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1439"/>
      <c r="B30" s="1768"/>
      <c r="C30" s="1466"/>
      <c r="D30" s="1466"/>
      <c r="E30" s="1466"/>
      <c r="F30" s="1779"/>
      <c r="I30" s="2139" t="str">
        <f t="shared" si="9"/>
        <v/>
      </c>
      <c r="J30" s="2140" t="str">
        <f t="shared" si="23"/>
        <v/>
      </c>
      <c r="K30" s="2141" t="str">
        <f t="shared" si="10"/>
        <v/>
      </c>
      <c r="L30" s="2142"/>
      <c r="M30" s="1399"/>
      <c r="N30" s="1400"/>
      <c r="O30" s="1400"/>
      <c r="P30" s="1401"/>
      <c r="Q30" s="1402"/>
      <c r="R30" s="1407"/>
      <c r="S30" s="2143" t="str">
        <f t="shared" si="0"/>
        <v/>
      </c>
      <c r="T30" s="1404"/>
      <c r="U30" s="2144" t="str">
        <f t="shared" si="11"/>
        <v/>
      </c>
      <c r="V30" s="2145" t="str">
        <f t="shared" si="1"/>
        <v/>
      </c>
      <c r="W30" s="1405"/>
      <c r="X30" s="2145" t="str">
        <f t="shared" si="2"/>
        <v/>
      </c>
      <c r="Y30" s="2146" t="str">
        <f t="shared" si="12"/>
        <v/>
      </c>
      <c r="Z30" s="1406"/>
      <c r="AA30" s="2147" t="str" cm="1">
        <f t="array" ref="AA30">IF(M30="","",IF(P30=AN30,1,Slookup(MID(AN30,1,3)*1,UomConversion!$D$8:$J$500,5,UomConversion!$E$8:$E$500,MID(P30,1,3)*1,UomConversion!$J$8:$J$500,1)))</f>
        <v/>
      </c>
      <c r="AB30" s="2147" t="str">
        <f t="shared" si="13"/>
        <v/>
      </c>
      <c r="AC30" s="2147" t="str">
        <f t="shared" si="14"/>
        <v/>
      </c>
      <c r="AD30" s="2147" t="str">
        <f t="shared" si="15"/>
        <v/>
      </c>
      <c r="AE30" s="2147" t="str">
        <f t="shared" si="16"/>
        <v/>
      </c>
      <c r="AF30" s="2147" t="str">
        <f>IF(M30="","",SUMIFS(ProductPrice!N50:N10022,ProductPrice!D50:D10022,I30,ProductPrice!G50:G10022,invoice_branch_id,ProductPrice!H50:H10022,invoice_price_type_id,ProductPrice!I50:I10022,MID(P30,1,3)*1,ProductPrice!Q50:Q10022,1,ProductPrice!T50:T10022,1))</f>
        <v/>
      </c>
      <c r="AG30" s="2147" t="str">
        <f t="shared" si="17"/>
        <v/>
      </c>
      <c r="AH30" s="2147" t="str">
        <f>IF(I30="","",IF(ISNA(MATCH(I30,IF(invoice_location_id=1,'[1]1_inventory_totals'!$C$8:$C$10000,IF(invoice_location_id=2,'[1]2_inventory_totals'!$C$8:$C$10000,0)),0)),0,IF(AV30&gt;0,1,0)))</f>
        <v/>
      </c>
      <c r="AI30" s="2147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2147" t="str">
        <f>IF(M30="","",IF(ISNA(MATCH(I30,'[1]1_group_totals'!$C$8:$C$10000)),0,IF(AW30&gt;0,1,0)))</f>
        <v/>
      </c>
      <c r="AK30" s="214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214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2147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2147" t="str">
        <f t="shared" si="18"/>
        <v/>
      </c>
      <c r="AO30" s="2147" t="str">
        <f>IF(OR(ISNA(MATCH(MID(AN30,1,3)*1,UomConversion!$D$8:$D$500,0)),M30=""),"",IF(AT30="","",AT30))</f>
        <v/>
      </c>
      <c r="AP30" s="2147" t="str">
        <f>IF(AND(AQ30&gt;0,COUNTIFS(UomConversion!$D$8:$D$500,MID(AN30,1,3)*1,UomConversion!$J$8:$J$500,1)&gt;1),TEXT(AQ30,"000")&amp;"."&amp;VLOOKUP(AQ30,uom_list,5,FALSE),"")</f>
        <v/>
      </c>
      <c r="AQ30" s="2147" t="str">
        <f t="shared" si="19"/>
        <v/>
      </c>
      <c r="AR30" s="2147" t="str">
        <f t="shared" si="20"/>
        <v/>
      </c>
      <c r="AS30" s="2147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147" t="str">
        <f t="shared" si="7"/>
        <v/>
      </c>
      <c r="AU30" s="214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147" t="str">
        <f t="shared" si="8"/>
        <v/>
      </c>
      <c r="AW30" s="2147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2147" t="str">
        <f t="shared" si="21"/>
        <v/>
      </c>
      <c r="AY30" s="2147" t="str">
        <f>IF(M30="","",SUMIFS($AX$8:AX30,$I$8:I30,I30))</f>
        <v/>
      </c>
      <c r="AZ30" s="2147" t="str">
        <f t="shared" si="22"/>
        <v/>
      </c>
      <c r="BA30" s="214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214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1439"/>
      <c r="B31" s="1768"/>
      <c r="C31" s="1466"/>
      <c r="D31" s="1466"/>
      <c r="E31" s="1466"/>
      <c r="F31" s="1779"/>
      <c r="I31" s="2139" t="str">
        <f t="shared" si="9"/>
        <v/>
      </c>
      <c r="J31" s="2140" t="str">
        <f t="shared" ref="J31:J72" si="24">IF(M31="","",1)</f>
        <v/>
      </c>
      <c r="K31" s="2141" t="str">
        <f t="shared" si="10"/>
        <v/>
      </c>
      <c r="L31" s="2142"/>
      <c r="M31" s="1399"/>
      <c r="N31" s="1400"/>
      <c r="O31" s="1400"/>
      <c r="P31" s="1401"/>
      <c r="Q31" s="1402"/>
      <c r="R31" s="1407"/>
      <c r="S31" s="2143" t="str">
        <f t="shared" si="0"/>
        <v/>
      </c>
      <c r="T31" s="1404"/>
      <c r="U31" s="2144" t="str">
        <f t="shared" si="11"/>
        <v/>
      </c>
      <c r="V31" s="2145" t="str">
        <f t="shared" si="1"/>
        <v/>
      </c>
      <c r="W31" s="1405"/>
      <c r="X31" s="2145" t="str">
        <f t="shared" si="2"/>
        <v/>
      </c>
      <c r="Y31" s="2146" t="str">
        <f t="shared" si="12"/>
        <v/>
      </c>
      <c r="Z31" s="1406"/>
      <c r="AA31" s="2147" t="str" cm="1">
        <f t="array" ref="AA31">IF(M31="","",IF(P31=AN31,1,Slookup(MID(AN31,1,3)*1,UomConversion!$D$8:$J$500,5,UomConversion!$E$8:$E$500,MID(P31,1,3)*1,UomConversion!$J$8:$J$500,1)))</f>
        <v/>
      </c>
      <c r="AB31" s="2147" t="str">
        <f t="shared" si="13"/>
        <v/>
      </c>
      <c r="AC31" s="2147" t="str">
        <f t="shared" si="14"/>
        <v/>
      </c>
      <c r="AD31" s="2147" t="str">
        <f t="shared" si="15"/>
        <v/>
      </c>
      <c r="AE31" s="2147" t="str">
        <f t="shared" si="16"/>
        <v/>
      </c>
      <c r="AF31" s="2147" t="str">
        <f>IF(M31="","",SUMIFS(ProductPrice!N51:N10023,ProductPrice!D51:D10023,I31,ProductPrice!G51:G10023,invoice_branch_id,ProductPrice!H51:H10023,invoice_price_type_id,ProductPrice!I51:I10023,MID(P31,1,3)*1,ProductPrice!Q51:Q10023,1,ProductPrice!T51:T10023,1))</f>
        <v/>
      </c>
      <c r="AG31" s="2147" t="str">
        <f t="shared" si="17"/>
        <v/>
      </c>
      <c r="AH31" s="2147" t="str">
        <f>IF(I31="","",IF(ISNA(MATCH(I31,IF(invoice_location_id=1,'[1]1_inventory_totals'!$C$8:$C$10000,IF(invoice_location_id=2,'[1]2_inventory_totals'!$C$8:$C$10000,0)),0)),0,IF(AV31&gt;0,1,0)))</f>
        <v/>
      </c>
      <c r="AI31" s="2147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2147" t="str">
        <f>IF(M31="","",IF(ISNA(MATCH(I31,'[1]1_group_totals'!$C$8:$C$10000)),0,IF(AW31&gt;0,1,0)))</f>
        <v/>
      </c>
      <c r="AK31" s="214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214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2147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2147" t="str">
        <f t="shared" si="18"/>
        <v/>
      </c>
      <c r="AO31" s="2147" t="str">
        <f>IF(OR(ISNA(MATCH(MID(AN31,1,3)*1,UomConversion!$D$8:$D$500,0)),M31=""),"",IF(AT31="","",AT31))</f>
        <v/>
      </c>
      <c r="AP31" s="2147" t="str">
        <f>IF(AND(AQ31&gt;0,COUNTIFS(UomConversion!$D$8:$D$500,MID(AN31,1,3)*1,UomConversion!$J$8:$J$500,1)&gt;1),TEXT(AQ31,"000")&amp;"."&amp;VLOOKUP(AQ31,uom_list,5,FALSE),"")</f>
        <v/>
      </c>
      <c r="AQ31" s="2147" t="str">
        <f t="shared" si="19"/>
        <v/>
      </c>
      <c r="AR31" s="2147" t="str">
        <f t="shared" si="20"/>
        <v/>
      </c>
      <c r="AS31" s="2147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147" t="str">
        <f t="shared" si="7"/>
        <v/>
      </c>
      <c r="AU31" s="214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147" t="str">
        <f t="shared" si="8"/>
        <v/>
      </c>
      <c r="AW31" s="2147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2147" t="str">
        <f t="shared" si="21"/>
        <v/>
      </c>
      <c r="AY31" s="2147" t="str">
        <f>IF(M31="","",SUMIFS($AX$8:AX31,$I$8:I31,I31))</f>
        <v/>
      </c>
      <c r="AZ31" s="2147" t="str">
        <f t="shared" si="22"/>
        <v/>
      </c>
      <c r="BA31" s="214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214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1439"/>
      <c r="B32" s="1768"/>
      <c r="C32" s="1466"/>
      <c r="D32" s="1466"/>
      <c r="E32" s="1466"/>
      <c r="F32" s="1779"/>
      <c r="I32" s="2139" t="str">
        <f t="shared" si="9"/>
        <v/>
      </c>
      <c r="J32" s="2140" t="str">
        <f t="shared" si="24"/>
        <v/>
      </c>
      <c r="K32" s="2141" t="str">
        <f t="shared" si="10"/>
        <v/>
      </c>
      <c r="L32" s="2142"/>
      <c r="M32" s="1399"/>
      <c r="N32" s="1400"/>
      <c r="O32" s="1400"/>
      <c r="P32" s="1401"/>
      <c r="Q32" s="1402"/>
      <c r="R32" s="1407"/>
      <c r="S32" s="2143" t="str">
        <f t="shared" si="0"/>
        <v/>
      </c>
      <c r="T32" s="1404"/>
      <c r="U32" s="2144" t="str">
        <f t="shared" si="11"/>
        <v/>
      </c>
      <c r="V32" s="2145" t="str">
        <f t="shared" si="1"/>
        <v/>
      </c>
      <c r="W32" s="1405"/>
      <c r="X32" s="2145" t="str">
        <f t="shared" si="2"/>
        <v/>
      </c>
      <c r="Y32" s="2146" t="str">
        <f t="shared" si="12"/>
        <v/>
      </c>
      <c r="Z32" s="1406"/>
      <c r="AA32" s="2147" t="str" cm="1">
        <f t="array" ref="AA32">IF(M32="","",IF(P32=AN32,1,Slookup(MID(AN32,1,3)*1,UomConversion!$D$8:$J$500,5,UomConversion!$E$8:$E$500,MID(P32,1,3)*1,UomConversion!$J$8:$J$500,1)))</f>
        <v/>
      </c>
      <c r="AB32" s="2147" t="str">
        <f t="shared" si="13"/>
        <v/>
      </c>
      <c r="AC32" s="2147" t="str">
        <f t="shared" si="14"/>
        <v/>
      </c>
      <c r="AD32" s="2147" t="str">
        <f t="shared" si="15"/>
        <v/>
      </c>
      <c r="AE32" s="2147" t="str">
        <f t="shared" si="16"/>
        <v/>
      </c>
      <c r="AF32" s="2147" t="str">
        <f>IF(M32="","",SUMIFS(ProductPrice!N52:N10024,ProductPrice!D52:D10024,I32,ProductPrice!G52:G10024,invoice_branch_id,ProductPrice!H52:H10024,invoice_price_type_id,ProductPrice!I52:I10024,MID(P32,1,3)*1,ProductPrice!Q52:Q10024,1,ProductPrice!T52:T10024,1))</f>
        <v/>
      </c>
      <c r="AG32" s="2147" t="str">
        <f t="shared" si="17"/>
        <v/>
      </c>
      <c r="AH32" s="2147" t="str">
        <f>IF(I32="","",IF(ISNA(MATCH(I32,IF(invoice_location_id=1,'[1]1_inventory_totals'!$C$8:$C$10000,IF(invoice_location_id=2,'[1]2_inventory_totals'!$C$8:$C$10000,0)),0)),0,IF(AV32&gt;0,1,0)))</f>
        <v/>
      </c>
      <c r="AI32" s="2147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2147" t="str">
        <f>IF(M32="","",IF(ISNA(MATCH(I32,'[1]1_group_totals'!$C$8:$C$10000)),0,IF(AW32&gt;0,1,0)))</f>
        <v/>
      </c>
      <c r="AK32" s="214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214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2147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2147" t="str">
        <f t="shared" si="18"/>
        <v/>
      </c>
      <c r="AO32" s="2147" t="str">
        <f>IF(OR(ISNA(MATCH(MID(AN32,1,3)*1,UomConversion!$D$8:$D$500,0)),M32=""),"",IF(AT32="","",AT32))</f>
        <v/>
      </c>
      <c r="AP32" s="2147" t="str">
        <f>IF(AND(AQ32&gt;0,COUNTIFS(UomConversion!$D$8:$D$500,MID(AN32,1,3)*1,UomConversion!$J$8:$J$500,1)&gt;1),TEXT(AQ32,"000")&amp;"."&amp;VLOOKUP(AQ32,uom_list,5,FALSE),"")</f>
        <v/>
      </c>
      <c r="AQ32" s="2147" t="str">
        <f t="shared" si="19"/>
        <v/>
      </c>
      <c r="AR32" s="2147" t="str">
        <f t="shared" si="20"/>
        <v/>
      </c>
      <c r="AS32" s="2147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147" t="str">
        <f t="shared" si="7"/>
        <v/>
      </c>
      <c r="AU32" s="214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147" t="str">
        <f t="shared" si="8"/>
        <v/>
      </c>
      <c r="AW32" s="2147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2147" t="str">
        <f t="shared" si="21"/>
        <v/>
      </c>
      <c r="AY32" s="2147" t="str">
        <f>IF(M32="","",SUMIFS($AX$8:AX32,$I$8:I32,I32))</f>
        <v/>
      </c>
      <c r="AZ32" s="2147" t="str">
        <f t="shared" si="22"/>
        <v/>
      </c>
      <c r="BA32" s="214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214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1439"/>
      <c r="B33" s="1768"/>
      <c r="C33" s="1466"/>
      <c r="D33" s="1466"/>
      <c r="E33" s="1466"/>
      <c r="F33" s="1779"/>
      <c r="I33" s="2139" t="str">
        <f t="shared" si="9"/>
        <v/>
      </c>
      <c r="J33" s="2140" t="str">
        <f t="shared" si="24"/>
        <v/>
      </c>
      <c r="K33" s="2141" t="str">
        <f t="shared" si="10"/>
        <v/>
      </c>
      <c r="L33" s="2142"/>
      <c r="M33" s="1399"/>
      <c r="N33" s="1400"/>
      <c r="O33" s="1400"/>
      <c r="P33" s="1401"/>
      <c r="Q33" s="1402"/>
      <c r="R33" s="1407"/>
      <c r="S33" s="2143" t="str">
        <f t="shared" si="0"/>
        <v/>
      </c>
      <c r="T33" s="1404"/>
      <c r="U33" s="2144" t="str">
        <f t="shared" si="11"/>
        <v/>
      </c>
      <c r="V33" s="2145" t="str">
        <f t="shared" si="1"/>
        <v/>
      </c>
      <c r="W33" s="1405"/>
      <c r="X33" s="2145" t="str">
        <f t="shared" si="2"/>
        <v/>
      </c>
      <c r="Y33" s="2146" t="str">
        <f t="shared" si="12"/>
        <v/>
      </c>
      <c r="Z33" s="1406"/>
      <c r="AA33" s="2147" t="str" cm="1">
        <f t="array" ref="AA33">IF(M33="","",IF(P33=AN33,1,Slookup(MID(AN33,1,3)*1,UomConversion!$D$8:$J$500,5,UomConversion!$E$8:$E$500,MID(P33,1,3)*1,UomConversion!$J$8:$J$500,1)))</f>
        <v/>
      </c>
      <c r="AB33" s="2147" t="str">
        <f t="shared" si="13"/>
        <v/>
      </c>
      <c r="AC33" s="2147" t="str">
        <f t="shared" si="14"/>
        <v/>
      </c>
      <c r="AD33" s="2147" t="str">
        <f t="shared" si="15"/>
        <v/>
      </c>
      <c r="AE33" s="2147" t="str">
        <f t="shared" si="16"/>
        <v/>
      </c>
      <c r="AF33" s="2147" t="str">
        <f>IF(M33="","",SUMIFS(ProductPrice!N53:N10025,ProductPrice!D53:D10025,I33,ProductPrice!G53:G10025,invoice_branch_id,ProductPrice!H53:H10025,invoice_price_type_id,ProductPrice!I53:I10025,MID(P33,1,3)*1,ProductPrice!Q53:Q10025,1,ProductPrice!T53:T10025,1))</f>
        <v/>
      </c>
      <c r="AG33" s="2147" t="str">
        <f t="shared" si="17"/>
        <v/>
      </c>
      <c r="AH33" s="2147" t="str">
        <f>IF(I33="","",IF(ISNA(MATCH(I33,IF(invoice_location_id=1,'[1]1_inventory_totals'!$C$8:$C$10000,IF(invoice_location_id=2,'[1]2_inventory_totals'!$C$8:$C$10000,0)),0)),0,IF(AV33&gt;0,1,0)))</f>
        <v/>
      </c>
      <c r="AI33" s="2147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2147" t="str">
        <f>IF(M33="","",IF(ISNA(MATCH(I33,'[1]1_group_totals'!$C$8:$C$10000)),0,IF(AW33&gt;0,1,0)))</f>
        <v/>
      </c>
      <c r="AK33" s="214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214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2147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2147" t="str">
        <f t="shared" si="18"/>
        <v/>
      </c>
      <c r="AO33" s="2147" t="str">
        <f>IF(OR(ISNA(MATCH(MID(AN33,1,3)*1,UomConversion!$D$8:$D$500,0)),M33=""),"",IF(AT33="","",AT33))</f>
        <v/>
      </c>
      <c r="AP33" s="2147" t="str">
        <f>IF(AND(AQ33&gt;0,COUNTIFS(UomConversion!$D$8:$D$500,MID(AN33,1,3)*1,UomConversion!$J$8:$J$500,1)&gt;1),TEXT(AQ33,"000")&amp;"."&amp;VLOOKUP(AQ33,uom_list,5,FALSE),"")</f>
        <v/>
      </c>
      <c r="AQ33" s="2147" t="str">
        <f t="shared" si="19"/>
        <v/>
      </c>
      <c r="AR33" s="2147" t="str">
        <f t="shared" si="20"/>
        <v/>
      </c>
      <c r="AS33" s="2147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147" t="str">
        <f t="shared" si="7"/>
        <v/>
      </c>
      <c r="AU33" s="214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147" t="str">
        <f t="shared" si="8"/>
        <v/>
      </c>
      <c r="AW33" s="2147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2147" t="str">
        <f t="shared" si="21"/>
        <v/>
      </c>
      <c r="AY33" s="2147" t="str">
        <f>IF(M33="","",SUMIFS($AX$8:AX33,$I$8:I33,I33))</f>
        <v/>
      </c>
      <c r="AZ33" s="2147" t="str">
        <f t="shared" si="22"/>
        <v/>
      </c>
      <c r="BA33" s="214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214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1439"/>
      <c r="B34" s="1768"/>
      <c r="C34" s="1466"/>
      <c r="D34" s="1466"/>
      <c r="E34" s="1466"/>
      <c r="F34" s="1779"/>
      <c r="I34" s="2139" t="str">
        <f t="shared" si="9"/>
        <v/>
      </c>
      <c r="J34" s="2140" t="str">
        <f t="shared" si="24"/>
        <v/>
      </c>
      <c r="K34" s="2141" t="str">
        <f t="shared" si="10"/>
        <v/>
      </c>
      <c r="L34" s="2142"/>
      <c r="M34" s="1399"/>
      <c r="N34" s="1400"/>
      <c r="O34" s="1400"/>
      <c r="P34" s="1401"/>
      <c r="Q34" s="1402"/>
      <c r="R34" s="1407"/>
      <c r="S34" s="2143" t="str">
        <f t="shared" si="0"/>
        <v/>
      </c>
      <c r="T34" s="1404"/>
      <c r="U34" s="2144" t="str">
        <f t="shared" si="11"/>
        <v/>
      </c>
      <c r="V34" s="2145" t="str">
        <f t="shared" si="1"/>
        <v/>
      </c>
      <c r="W34" s="1405"/>
      <c r="X34" s="2145" t="str">
        <f t="shared" si="2"/>
        <v/>
      </c>
      <c r="Y34" s="2146" t="str">
        <f t="shared" si="12"/>
        <v/>
      </c>
      <c r="Z34" s="1406"/>
      <c r="AA34" s="2147" t="str" cm="1">
        <f t="array" ref="AA34">IF(M34="","",IF(P34=AN34,1,Slookup(MID(AN34,1,3)*1,UomConversion!$D$8:$J$500,5,UomConversion!$E$8:$E$500,MID(P34,1,3)*1,UomConversion!$J$8:$J$500,1)))</f>
        <v/>
      </c>
      <c r="AB34" s="2147" t="str">
        <f t="shared" si="13"/>
        <v/>
      </c>
      <c r="AC34" s="2147" t="str">
        <f t="shared" si="14"/>
        <v/>
      </c>
      <c r="AD34" s="2147" t="str">
        <f t="shared" si="15"/>
        <v/>
      </c>
      <c r="AE34" s="2147" t="str">
        <f t="shared" si="16"/>
        <v/>
      </c>
      <c r="AF34" s="2147" t="str">
        <f>IF(M34="","",SUMIFS(ProductPrice!N54:N10026,ProductPrice!D54:D10026,I34,ProductPrice!G54:G10026,invoice_branch_id,ProductPrice!H54:H10026,invoice_price_type_id,ProductPrice!I54:I10026,MID(P34,1,3)*1,ProductPrice!Q54:Q10026,1,ProductPrice!T54:T10026,1))</f>
        <v/>
      </c>
      <c r="AG34" s="2147" t="str">
        <f t="shared" si="17"/>
        <v/>
      </c>
      <c r="AH34" s="2147" t="str">
        <f>IF(I34="","",IF(ISNA(MATCH(I34,IF(invoice_location_id=1,'[1]1_inventory_totals'!$C$8:$C$10000,IF(invoice_location_id=2,'[1]2_inventory_totals'!$C$8:$C$10000,0)),0)),0,IF(AV34&gt;0,1,0)))</f>
        <v/>
      </c>
      <c r="AI34" s="2147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2147" t="str">
        <f>IF(M34="","",IF(ISNA(MATCH(I34,'[1]1_group_totals'!$C$8:$C$10000)),0,IF(AW34&gt;0,1,0)))</f>
        <v/>
      </c>
      <c r="AK34" s="214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214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2147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2147" t="str">
        <f t="shared" si="18"/>
        <v/>
      </c>
      <c r="AO34" s="2147" t="str">
        <f>IF(OR(ISNA(MATCH(MID(AN34,1,3)*1,UomConversion!$D$8:$D$500,0)),M34=""),"",IF(AT34="","",AT34))</f>
        <v/>
      </c>
      <c r="AP34" s="2147" t="str">
        <f>IF(AND(AQ34&gt;0,COUNTIFS(UomConversion!$D$8:$D$500,MID(AN34,1,3)*1,UomConversion!$J$8:$J$500,1)&gt;1),TEXT(AQ34,"000")&amp;"."&amp;VLOOKUP(AQ34,uom_list,5,FALSE),"")</f>
        <v/>
      </c>
      <c r="AQ34" s="2147" t="str">
        <f t="shared" si="19"/>
        <v/>
      </c>
      <c r="AR34" s="2147" t="str">
        <f t="shared" si="20"/>
        <v/>
      </c>
      <c r="AS34" s="2147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147" t="str">
        <f t="shared" si="7"/>
        <v/>
      </c>
      <c r="AU34" s="214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147" t="str">
        <f t="shared" si="8"/>
        <v/>
      </c>
      <c r="AW34" s="2147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2147" t="str">
        <f t="shared" si="21"/>
        <v/>
      </c>
      <c r="AY34" s="2147" t="str">
        <f>IF(M34="","",SUMIFS($AX$8:AX34,$I$8:I34,I34))</f>
        <v/>
      </c>
      <c r="AZ34" s="2147" t="str">
        <f t="shared" si="22"/>
        <v/>
      </c>
      <c r="BA34" s="214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214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1439"/>
      <c r="B35" s="1768"/>
      <c r="C35" s="1785"/>
      <c r="D35" s="1466"/>
      <c r="E35" s="1466"/>
      <c r="F35" s="1779"/>
      <c r="I35" s="2139" t="str">
        <f t="shared" si="9"/>
        <v/>
      </c>
      <c r="J35" s="2140" t="str">
        <f t="shared" si="24"/>
        <v/>
      </c>
      <c r="K35" s="2141" t="str">
        <f t="shared" si="10"/>
        <v/>
      </c>
      <c r="L35" s="2142"/>
      <c r="M35" s="1399"/>
      <c r="N35" s="1400"/>
      <c r="O35" s="1400"/>
      <c r="P35" s="1401"/>
      <c r="Q35" s="1402"/>
      <c r="R35" s="1407"/>
      <c r="S35" s="2143" t="str">
        <f t="shared" si="0"/>
        <v/>
      </c>
      <c r="T35" s="1404"/>
      <c r="U35" s="2144" t="str">
        <f t="shared" si="11"/>
        <v/>
      </c>
      <c r="V35" s="2145" t="str">
        <f t="shared" si="1"/>
        <v/>
      </c>
      <c r="W35" s="1405"/>
      <c r="X35" s="2145" t="str">
        <f t="shared" si="2"/>
        <v/>
      </c>
      <c r="Y35" s="2146" t="str">
        <f t="shared" si="12"/>
        <v/>
      </c>
      <c r="Z35" s="1406"/>
      <c r="AA35" s="2147" t="str" cm="1">
        <f t="array" ref="AA35">IF(M35="","",IF(P35=AN35,1,Slookup(MID(AN35,1,3)*1,UomConversion!$D$8:$J$500,5,UomConversion!$E$8:$E$500,MID(P35,1,3)*1,UomConversion!$J$8:$J$500,1)))</f>
        <v/>
      </c>
      <c r="AB35" s="2147" t="str">
        <f t="shared" si="13"/>
        <v/>
      </c>
      <c r="AC35" s="2147" t="str">
        <f t="shared" si="14"/>
        <v/>
      </c>
      <c r="AD35" s="2147" t="str">
        <f t="shared" si="15"/>
        <v/>
      </c>
      <c r="AE35" s="2147" t="str">
        <f t="shared" si="16"/>
        <v/>
      </c>
      <c r="AF35" s="2147" t="str">
        <f>IF(M35="","",SUMIFS(ProductPrice!N55:N10027,ProductPrice!D55:D10027,I35,ProductPrice!G55:G10027,invoice_branch_id,ProductPrice!H55:H10027,invoice_price_type_id,ProductPrice!I55:I10027,MID(P35,1,3)*1,ProductPrice!Q55:Q10027,1,ProductPrice!T55:T10027,1))</f>
        <v/>
      </c>
      <c r="AG35" s="2147" t="str">
        <f t="shared" si="17"/>
        <v/>
      </c>
      <c r="AH35" s="2147" t="str">
        <f>IF(I35="","",IF(ISNA(MATCH(I35,IF(invoice_location_id=1,'[1]1_inventory_totals'!$C$8:$C$10000,IF(invoice_location_id=2,'[1]2_inventory_totals'!$C$8:$C$10000,0)),0)),0,IF(AV35&gt;0,1,0)))</f>
        <v/>
      </c>
      <c r="AI35" s="2147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2147" t="str">
        <f>IF(M35="","",IF(ISNA(MATCH(I35,'[1]1_group_totals'!$C$8:$C$10000)),0,IF(AW35&gt;0,1,0)))</f>
        <v/>
      </c>
      <c r="AK35" s="214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214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2147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2147" t="str">
        <f t="shared" si="18"/>
        <v/>
      </c>
      <c r="AO35" s="2147" t="str">
        <f>IF(OR(ISNA(MATCH(MID(AN35,1,3)*1,UomConversion!$D$8:$D$500,0)),M35=""),"",IF(AT35="","",AT35))</f>
        <v/>
      </c>
      <c r="AP35" s="2147" t="str">
        <f>IF(AND(AQ35&gt;0,COUNTIFS(UomConversion!$D$8:$D$500,MID(AN35,1,3)*1,UomConversion!$J$8:$J$500,1)&gt;1),TEXT(AQ35,"000")&amp;"."&amp;VLOOKUP(AQ35,uom_list,5,FALSE),"")</f>
        <v/>
      </c>
      <c r="AQ35" s="2147" t="str">
        <f t="shared" si="19"/>
        <v/>
      </c>
      <c r="AR35" s="2147" t="str">
        <f t="shared" si="20"/>
        <v/>
      </c>
      <c r="AS35" s="2147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147" t="str">
        <f t="shared" si="7"/>
        <v/>
      </c>
      <c r="AU35" s="214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147" t="str">
        <f t="shared" si="8"/>
        <v/>
      </c>
      <c r="AW35" s="2147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2147" t="str">
        <f t="shared" si="21"/>
        <v/>
      </c>
      <c r="AY35" s="2147" t="str">
        <f>IF(M35="","",SUMIFS($AX$8:AX35,$I$8:I35,I35))</f>
        <v/>
      </c>
      <c r="AZ35" s="2147" t="str">
        <f t="shared" si="22"/>
        <v/>
      </c>
      <c r="BA35" s="214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214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1439"/>
      <c r="B36" s="1768"/>
      <c r="C36" s="1785"/>
      <c r="D36" s="1466"/>
      <c r="E36" s="1466"/>
      <c r="F36" s="1779"/>
      <c r="I36" s="2139" t="str">
        <f t="shared" si="9"/>
        <v/>
      </c>
      <c r="J36" s="2140" t="str">
        <f t="shared" si="24"/>
        <v/>
      </c>
      <c r="K36" s="2141" t="str">
        <f t="shared" si="10"/>
        <v/>
      </c>
      <c r="L36" s="2142"/>
      <c r="M36" s="1399"/>
      <c r="N36" s="1400"/>
      <c r="O36" s="1400"/>
      <c r="P36" s="1401"/>
      <c r="Q36" s="1402"/>
      <c r="R36" s="1407"/>
      <c r="S36" s="2143" t="str">
        <f t="shared" si="0"/>
        <v/>
      </c>
      <c r="T36" s="1404"/>
      <c r="U36" s="2144" t="str">
        <f t="shared" si="11"/>
        <v/>
      </c>
      <c r="V36" s="2145" t="str">
        <f t="shared" si="1"/>
        <v/>
      </c>
      <c r="W36" s="1405"/>
      <c r="X36" s="2145" t="str">
        <f t="shared" si="2"/>
        <v/>
      </c>
      <c r="Y36" s="2146" t="str">
        <f t="shared" si="12"/>
        <v/>
      </c>
      <c r="Z36" s="1406"/>
      <c r="AA36" s="2147" t="str" cm="1">
        <f t="array" ref="AA36">IF(M36="","",IF(P36=AN36,1,Slookup(MID(AN36,1,3)*1,UomConversion!$D$8:$J$500,5,UomConversion!$E$8:$E$500,MID(P36,1,3)*1,UomConversion!$J$8:$J$500,1)))</f>
        <v/>
      </c>
      <c r="AB36" s="2147" t="str">
        <f t="shared" si="13"/>
        <v/>
      </c>
      <c r="AC36" s="2147" t="str">
        <f t="shared" si="14"/>
        <v/>
      </c>
      <c r="AD36" s="2147" t="str">
        <f t="shared" si="15"/>
        <v/>
      </c>
      <c r="AE36" s="2147" t="str">
        <f t="shared" si="16"/>
        <v/>
      </c>
      <c r="AF36" s="2147" t="str">
        <f>IF(M36="","",SUMIFS(ProductPrice!N56:N10028,ProductPrice!D56:D10028,I36,ProductPrice!G56:G10028,invoice_branch_id,ProductPrice!H56:H10028,invoice_price_type_id,ProductPrice!I56:I10028,MID(P36,1,3)*1,ProductPrice!Q56:Q10028,1,ProductPrice!T56:T10028,1))</f>
        <v/>
      </c>
      <c r="AG36" s="2147" t="str">
        <f t="shared" si="17"/>
        <v/>
      </c>
      <c r="AH36" s="2147" t="str">
        <f>IF(I36="","",IF(ISNA(MATCH(I36,IF(invoice_location_id=1,'[1]1_inventory_totals'!$C$8:$C$10000,IF(invoice_location_id=2,'[1]2_inventory_totals'!$C$8:$C$10000,0)),0)),0,IF(AV36&gt;0,1,0)))</f>
        <v/>
      </c>
      <c r="AI36" s="2147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2147" t="str">
        <f>IF(M36="","",IF(ISNA(MATCH(I36,'[1]1_group_totals'!$C$8:$C$10000)),0,IF(AW36&gt;0,1,0)))</f>
        <v/>
      </c>
      <c r="AK36" s="214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214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2147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2147" t="str">
        <f t="shared" si="18"/>
        <v/>
      </c>
      <c r="AO36" s="2147" t="str">
        <f>IF(OR(ISNA(MATCH(MID(AN36,1,3)*1,UomConversion!$D$8:$D$500,0)),M36=""),"",IF(AT36="","",AT36))</f>
        <v/>
      </c>
      <c r="AP36" s="2147" t="str">
        <f>IF(AND(AQ36&gt;0,COUNTIFS(UomConversion!$D$8:$D$500,MID(AN36,1,3)*1,UomConversion!$J$8:$J$500,1)&gt;1),TEXT(AQ36,"000")&amp;"."&amp;VLOOKUP(AQ36,uom_list,5,FALSE),"")</f>
        <v/>
      </c>
      <c r="AQ36" s="2147" t="str">
        <f t="shared" si="19"/>
        <v/>
      </c>
      <c r="AR36" s="2147" t="str">
        <f t="shared" si="20"/>
        <v/>
      </c>
      <c r="AS36" s="2147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147" t="str">
        <f t="shared" si="7"/>
        <v/>
      </c>
      <c r="AU36" s="214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147" t="str">
        <f t="shared" si="8"/>
        <v/>
      </c>
      <c r="AW36" s="2147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2147" t="str">
        <f t="shared" si="21"/>
        <v/>
      </c>
      <c r="AY36" s="2147" t="str">
        <f>IF(M36="","",SUMIFS($AX$8:AX36,$I$8:I36,I36))</f>
        <v/>
      </c>
      <c r="AZ36" s="2147" t="str">
        <f t="shared" si="22"/>
        <v/>
      </c>
      <c r="BA36" s="214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214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1439"/>
      <c r="B37" s="1768"/>
      <c r="C37" s="1785"/>
      <c r="D37" s="1466"/>
      <c r="E37" s="1466"/>
      <c r="F37" s="1779"/>
      <c r="I37" s="2139" t="str">
        <f t="shared" si="9"/>
        <v/>
      </c>
      <c r="J37" s="2140" t="str">
        <f t="shared" si="24"/>
        <v/>
      </c>
      <c r="K37" s="2141" t="str">
        <f t="shared" si="10"/>
        <v/>
      </c>
      <c r="L37" s="2142"/>
      <c r="M37" s="1399"/>
      <c r="N37" s="1400"/>
      <c r="O37" s="1400"/>
      <c r="P37" s="1401"/>
      <c r="Q37" s="1402"/>
      <c r="R37" s="1407"/>
      <c r="S37" s="2143" t="str">
        <f t="shared" si="0"/>
        <v/>
      </c>
      <c r="T37" s="1404"/>
      <c r="U37" s="2144" t="str">
        <f t="shared" si="11"/>
        <v/>
      </c>
      <c r="V37" s="2145" t="str">
        <f t="shared" si="1"/>
        <v/>
      </c>
      <c r="W37" s="1405"/>
      <c r="X37" s="2145" t="str">
        <f t="shared" si="2"/>
        <v/>
      </c>
      <c r="Y37" s="2146" t="str">
        <f t="shared" si="12"/>
        <v/>
      </c>
      <c r="Z37" s="1406"/>
      <c r="AA37" s="2147" t="str" cm="1">
        <f t="array" ref="AA37">IF(M37="","",IF(P37=AN37,1,Slookup(MID(AN37,1,3)*1,UomConversion!$D$8:$J$500,5,UomConversion!$E$8:$E$500,MID(P37,1,3)*1,UomConversion!$J$8:$J$500,1)))</f>
        <v/>
      </c>
      <c r="AB37" s="2147" t="str">
        <f t="shared" si="13"/>
        <v/>
      </c>
      <c r="AC37" s="2147" t="str">
        <f t="shared" si="14"/>
        <v/>
      </c>
      <c r="AD37" s="2147" t="str">
        <f t="shared" si="15"/>
        <v/>
      </c>
      <c r="AE37" s="2147" t="str">
        <f t="shared" si="16"/>
        <v/>
      </c>
      <c r="AF37" s="2147" t="str">
        <f>IF(M37="","",SUMIFS(ProductPrice!N57:N10029,ProductPrice!D57:D10029,I37,ProductPrice!G57:G10029,invoice_branch_id,ProductPrice!H57:H10029,invoice_price_type_id,ProductPrice!I57:I10029,MID(P37,1,3)*1,ProductPrice!Q57:Q10029,1,ProductPrice!T57:T10029,1))</f>
        <v/>
      </c>
      <c r="AG37" s="2147" t="str">
        <f t="shared" si="17"/>
        <v/>
      </c>
      <c r="AH37" s="2147" t="str">
        <f>IF(I37="","",IF(ISNA(MATCH(I37,IF(invoice_location_id=1,'[1]1_inventory_totals'!$C$8:$C$10000,IF(invoice_location_id=2,'[1]2_inventory_totals'!$C$8:$C$10000,0)),0)),0,IF(AV37&gt;0,1,0)))</f>
        <v/>
      </c>
      <c r="AI37" s="2147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2147" t="str">
        <f>IF(M37="","",IF(ISNA(MATCH(I37,'[1]1_group_totals'!$C$8:$C$10000)),0,IF(AW37&gt;0,1,0)))</f>
        <v/>
      </c>
      <c r="AK37" s="214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214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2147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2147" t="str">
        <f t="shared" si="18"/>
        <v/>
      </c>
      <c r="AO37" s="2147" t="str">
        <f>IF(OR(ISNA(MATCH(MID(AN37,1,3)*1,UomConversion!$D$8:$D$500,0)),M37=""),"",IF(AT37="","",AT37))</f>
        <v/>
      </c>
      <c r="AP37" s="2147" t="str">
        <f>IF(AND(AQ37&gt;0,COUNTIFS(UomConversion!$D$8:$D$500,MID(AN37,1,3)*1,UomConversion!$J$8:$J$500,1)&gt;1),TEXT(AQ37,"000")&amp;"."&amp;VLOOKUP(AQ37,uom_list,5,FALSE),"")</f>
        <v/>
      </c>
      <c r="AQ37" s="2147" t="str">
        <f t="shared" si="19"/>
        <v/>
      </c>
      <c r="AR37" s="2147" t="str">
        <f t="shared" si="20"/>
        <v/>
      </c>
      <c r="AS37" s="2147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147" t="str">
        <f t="shared" si="7"/>
        <v/>
      </c>
      <c r="AU37" s="214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147" t="str">
        <f t="shared" si="8"/>
        <v/>
      </c>
      <c r="AW37" s="2147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2147" t="str">
        <f t="shared" si="21"/>
        <v/>
      </c>
      <c r="AY37" s="2147" t="str">
        <f>IF(M37="","",SUMIFS($AX$8:AX37,$I$8:I37,I37))</f>
        <v/>
      </c>
      <c r="AZ37" s="2147" t="str">
        <f t="shared" si="22"/>
        <v/>
      </c>
      <c r="BA37" s="214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214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1439"/>
      <c r="B38" s="1768"/>
      <c r="C38" s="1785"/>
      <c r="D38" s="1466"/>
      <c r="E38" s="1466"/>
      <c r="F38" s="1779"/>
      <c r="I38" s="2139" t="str">
        <f t="shared" si="9"/>
        <v/>
      </c>
      <c r="J38" s="2140" t="str">
        <f t="shared" si="24"/>
        <v/>
      </c>
      <c r="K38" s="2141" t="str">
        <f t="shared" si="10"/>
        <v/>
      </c>
      <c r="L38" s="2142"/>
      <c r="M38" s="1399"/>
      <c r="N38" s="1400"/>
      <c r="O38" s="1400"/>
      <c r="P38" s="1401"/>
      <c r="Q38" s="1402"/>
      <c r="R38" s="1407"/>
      <c r="S38" s="2143" t="str">
        <f t="shared" si="0"/>
        <v/>
      </c>
      <c r="T38" s="1404"/>
      <c r="U38" s="2144" t="str">
        <f t="shared" si="11"/>
        <v/>
      </c>
      <c r="V38" s="2145" t="str">
        <f t="shared" si="1"/>
        <v/>
      </c>
      <c r="W38" s="1405"/>
      <c r="X38" s="2145" t="str">
        <f t="shared" si="2"/>
        <v/>
      </c>
      <c r="Y38" s="2146" t="str">
        <f t="shared" si="12"/>
        <v/>
      </c>
      <c r="Z38" s="1406"/>
      <c r="AA38" s="2147" t="str" cm="1">
        <f t="array" ref="AA38">IF(M38="","",IF(P38=AN38,1,Slookup(MID(AN38,1,3)*1,UomConversion!$D$8:$J$500,5,UomConversion!$E$8:$E$500,MID(P38,1,3)*1,UomConversion!$J$8:$J$500,1)))</f>
        <v/>
      </c>
      <c r="AB38" s="2147" t="str">
        <f t="shared" si="13"/>
        <v/>
      </c>
      <c r="AC38" s="2147" t="str">
        <f t="shared" si="14"/>
        <v/>
      </c>
      <c r="AD38" s="2147" t="str">
        <f t="shared" si="15"/>
        <v/>
      </c>
      <c r="AE38" s="2147" t="str">
        <f t="shared" si="16"/>
        <v/>
      </c>
      <c r="AF38" s="2147" t="str">
        <f>IF(M38="","",SUMIFS(ProductPrice!N58:N10030,ProductPrice!D58:D10030,I38,ProductPrice!G58:G10030,invoice_branch_id,ProductPrice!H58:H10030,invoice_price_type_id,ProductPrice!I58:I10030,MID(P38,1,3)*1,ProductPrice!Q58:Q10030,1,ProductPrice!T58:T10030,1))</f>
        <v/>
      </c>
      <c r="AG38" s="2147" t="str">
        <f t="shared" si="17"/>
        <v/>
      </c>
      <c r="AH38" s="2147" t="str">
        <f>IF(I38="","",IF(ISNA(MATCH(I38,IF(invoice_location_id=1,'[1]1_inventory_totals'!$C$8:$C$10000,IF(invoice_location_id=2,'[1]2_inventory_totals'!$C$8:$C$10000,0)),0)),0,IF(AV38&gt;0,1,0)))</f>
        <v/>
      </c>
      <c r="AI38" s="2147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2147" t="str">
        <f>IF(M38="","",IF(ISNA(MATCH(I38,'[1]1_group_totals'!$C$8:$C$10000)),0,IF(AW38&gt;0,1,0)))</f>
        <v/>
      </c>
      <c r="AK38" s="214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214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2147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2147" t="str">
        <f t="shared" si="18"/>
        <v/>
      </c>
      <c r="AO38" s="2147" t="str">
        <f>IF(OR(ISNA(MATCH(MID(AN38,1,3)*1,UomConversion!$D$8:$D$500,0)),M38=""),"",IF(AT38="","",AT38))</f>
        <v/>
      </c>
      <c r="AP38" s="2147" t="str">
        <f>IF(AND(AQ38&gt;0,COUNTIFS(UomConversion!$D$8:$D$500,MID(AN38,1,3)*1,UomConversion!$J$8:$J$500,1)&gt;1),TEXT(AQ38,"000")&amp;"."&amp;VLOOKUP(AQ38,uom_list,5,FALSE),"")</f>
        <v/>
      </c>
      <c r="AQ38" s="2147" t="str">
        <f t="shared" si="19"/>
        <v/>
      </c>
      <c r="AR38" s="2147" t="str">
        <f t="shared" si="20"/>
        <v/>
      </c>
      <c r="AS38" s="2147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147" t="str">
        <f t="shared" si="7"/>
        <v/>
      </c>
      <c r="AU38" s="214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147" t="str">
        <f t="shared" si="8"/>
        <v/>
      </c>
      <c r="AW38" s="2147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2147" t="str">
        <f t="shared" si="21"/>
        <v/>
      </c>
      <c r="AY38" s="2147" t="str">
        <f>IF(M38="","",SUMIFS($AX$8:AX38,$I$8:I38,I38))</f>
        <v/>
      </c>
      <c r="AZ38" s="2147" t="str">
        <f t="shared" si="22"/>
        <v/>
      </c>
      <c r="BA38" s="214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214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1439"/>
      <c r="B39" s="1768"/>
      <c r="C39" s="1785"/>
      <c r="D39" s="1466"/>
      <c r="E39" s="1466"/>
      <c r="F39" s="1779"/>
      <c r="I39" s="2139" t="str">
        <f t="shared" si="9"/>
        <v/>
      </c>
      <c r="J39" s="2140" t="str">
        <f t="shared" si="24"/>
        <v/>
      </c>
      <c r="K39" s="2141" t="str">
        <f t="shared" si="10"/>
        <v/>
      </c>
      <c r="L39" s="2142"/>
      <c r="M39" s="1399"/>
      <c r="N39" s="1400"/>
      <c r="O39" s="1400"/>
      <c r="P39" s="1401"/>
      <c r="Q39" s="1402"/>
      <c r="R39" s="1407"/>
      <c r="S39" s="2143" t="str">
        <f t="shared" si="0"/>
        <v/>
      </c>
      <c r="T39" s="1404"/>
      <c r="U39" s="2144" t="str">
        <f t="shared" si="11"/>
        <v/>
      </c>
      <c r="V39" s="2145" t="str">
        <f t="shared" si="1"/>
        <v/>
      </c>
      <c r="W39" s="1405"/>
      <c r="X39" s="2145" t="str">
        <f t="shared" si="2"/>
        <v/>
      </c>
      <c r="Y39" s="2146" t="str">
        <f t="shared" si="12"/>
        <v/>
      </c>
      <c r="Z39" s="1406"/>
      <c r="AA39" s="2147" t="str" cm="1">
        <f t="array" ref="AA39">IF(M39="","",IF(P39=AN39,1,Slookup(MID(AN39,1,3)*1,UomConversion!$D$8:$J$500,5,UomConversion!$E$8:$E$500,MID(P39,1,3)*1,UomConversion!$J$8:$J$500,1)))</f>
        <v/>
      </c>
      <c r="AB39" s="2147" t="str">
        <f t="shared" si="13"/>
        <v/>
      </c>
      <c r="AC39" s="2147" t="str">
        <f t="shared" si="14"/>
        <v/>
      </c>
      <c r="AD39" s="2147" t="str">
        <f t="shared" si="15"/>
        <v/>
      </c>
      <c r="AE39" s="2147" t="str">
        <f t="shared" si="16"/>
        <v/>
      </c>
      <c r="AF39" s="2147" t="str">
        <f>IF(M39="","",SUMIFS(ProductPrice!N59:N10031,ProductPrice!D59:D10031,I39,ProductPrice!G59:G10031,invoice_branch_id,ProductPrice!H59:H10031,invoice_price_type_id,ProductPrice!I59:I10031,MID(P39,1,3)*1,ProductPrice!Q59:Q10031,1,ProductPrice!T59:T10031,1))</f>
        <v/>
      </c>
      <c r="AG39" s="2147" t="str">
        <f t="shared" si="17"/>
        <v/>
      </c>
      <c r="AH39" s="2147" t="str">
        <f>IF(I39="","",IF(ISNA(MATCH(I39,IF(invoice_location_id=1,'[1]1_inventory_totals'!$C$8:$C$10000,IF(invoice_location_id=2,'[1]2_inventory_totals'!$C$8:$C$10000,0)),0)),0,IF(AV39&gt;0,1,0)))</f>
        <v/>
      </c>
      <c r="AI39" s="2147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2147" t="str">
        <f>IF(M39="","",IF(ISNA(MATCH(I39,'[1]1_group_totals'!$C$8:$C$10000)),0,IF(AW39&gt;0,1,0)))</f>
        <v/>
      </c>
      <c r="AK39" s="214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214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2147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2147" t="str">
        <f t="shared" si="18"/>
        <v/>
      </c>
      <c r="AO39" s="2147" t="str">
        <f>IF(OR(ISNA(MATCH(MID(AN39,1,3)*1,UomConversion!$D$8:$D$500,0)),M39=""),"",IF(AT39="","",AT39))</f>
        <v/>
      </c>
      <c r="AP39" s="2147" t="str">
        <f>IF(AND(AQ39&gt;0,COUNTIFS(UomConversion!$D$8:$D$500,MID(AN39,1,3)*1,UomConversion!$J$8:$J$500,1)&gt;1),TEXT(AQ39,"000")&amp;"."&amp;VLOOKUP(AQ39,uom_list,5,FALSE),"")</f>
        <v/>
      </c>
      <c r="AQ39" s="2147" t="str">
        <f t="shared" si="19"/>
        <v/>
      </c>
      <c r="AR39" s="2147" t="str">
        <f t="shared" si="20"/>
        <v/>
      </c>
      <c r="AS39" s="2147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147" t="str">
        <f t="shared" si="7"/>
        <v/>
      </c>
      <c r="AU39" s="214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147" t="str">
        <f t="shared" si="8"/>
        <v/>
      </c>
      <c r="AW39" s="2147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2147" t="str">
        <f t="shared" si="21"/>
        <v/>
      </c>
      <c r="AY39" s="2147" t="str">
        <f>IF(M39="","",SUMIFS($AX$8:AX39,$I$8:I39,I39))</f>
        <v/>
      </c>
      <c r="AZ39" s="2147" t="str">
        <f t="shared" si="22"/>
        <v/>
      </c>
      <c r="BA39" s="214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214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1439"/>
      <c r="B40" s="1768"/>
      <c r="C40" s="1785"/>
      <c r="D40" s="1466"/>
      <c r="E40" s="1466"/>
      <c r="F40" s="1779"/>
      <c r="I40" s="2139" t="str">
        <f t="shared" si="9"/>
        <v/>
      </c>
      <c r="J40" s="2140" t="str">
        <f t="shared" si="24"/>
        <v/>
      </c>
      <c r="K40" s="2141" t="str">
        <f t="shared" si="10"/>
        <v/>
      </c>
      <c r="L40" s="2142"/>
      <c r="M40" s="1399"/>
      <c r="N40" s="1400"/>
      <c r="O40" s="1400"/>
      <c r="P40" s="1401"/>
      <c r="Q40" s="1402"/>
      <c r="R40" s="1407"/>
      <c r="S40" s="2143" t="str">
        <f t="shared" si="0"/>
        <v/>
      </c>
      <c r="T40" s="1404"/>
      <c r="U40" s="2144" t="str">
        <f t="shared" si="11"/>
        <v/>
      </c>
      <c r="V40" s="2145" t="str">
        <f t="shared" ref="V40:V71" si="25">IF(W40=0,"",invoice_currency_symbol)</f>
        <v/>
      </c>
      <c r="W40" s="1405"/>
      <c r="X40" s="2145" t="str">
        <f t="shared" ref="X40:X71" si="26">IF(M40="","",invoice_currency_symbol)</f>
        <v/>
      </c>
      <c r="Y40" s="2146" t="str">
        <f t="shared" si="12"/>
        <v/>
      </c>
      <c r="Z40" s="1406"/>
      <c r="AA40" s="2147" t="str" cm="1">
        <f t="array" ref="AA40">IF(M40="","",IF(P40=AN40,1,Slookup(MID(AN40,1,3)*1,UomConversion!$D$8:$J$500,5,UomConversion!$E$8:$E$500,MID(P40,1,3)*1,UomConversion!$J$8:$J$500,1)))</f>
        <v/>
      </c>
      <c r="AB40" s="2147" t="str">
        <f t="shared" si="13"/>
        <v/>
      </c>
      <c r="AC40" s="2147" t="str">
        <f t="shared" si="14"/>
        <v/>
      </c>
      <c r="AD40" s="2147" t="str">
        <f t="shared" si="15"/>
        <v/>
      </c>
      <c r="AE40" s="2147" t="str">
        <f t="shared" si="16"/>
        <v/>
      </c>
      <c r="AF40" s="2147" t="str">
        <f>IF(M40="","",SUMIFS(ProductPrice!N60:N10032,ProductPrice!D60:D10032,I40,ProductPrice!G60:G10032,invoice_branch_id,ProductPrice!H60:H10032,invoice_price_type_id,ProductPrice!I60:I10032,MID(P40,1,3)*1,ProductPrice!Q60:Q10032,1,ProductPrice!T60:T10032,1))</f>
        <v/>
      </c>
      <c r="AG40" s="2147" t="str">
        <f t="shared" si="17"/>
        <v/>
      </c>
      <c r="AH40" s="2147" t="str">
        <f>IF(I40="","",IF(ISNA(MATCH(I40,IF(invoice_location_id=1,'[1]1_inventory_totals'!$C$8:$C$10000,IF(invoice_location_id=2,'[1]2_inventory_totals'!$C$8:$C$10000,0)),0)),0,IF(AV40&gt;0,1,0)))</f>
        <v/>
      </c>
      <c r="AI40" s="2147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2147" t="str">
        <f>IF(M40="","",IF(ISNA(MATCH(I40,'[1]1_group_totals'!$C$8:$C$10000)),0,IF(AW40&gt;0,1,0)))</f>
        <v/>
      </c>
      <c r="AK40" s="214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214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2147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2147" t="str">
        <f t="shared" si="18"/>
        <v/>
      </c>
      <c r="AO40" s="2147" t="str">
        <f>IF(OR(ISNA(MATCH(MID(AN40,1,3)*1,UomConversion!$D$8:$D$500,0)),M40=""),"",IF(AT40="","",AT40))</f>
        <v/>
      </c>
      <c r="AP40" s="2147" t="str">
        <f>IF(AND(AQ40&gt;0,COUNTIFS(UomConversion!$D$8:$D$500,MID(AN40,1,3)*1,UomConversion!$J$8:$J$500,1)&gt;1),TEXT(AQ40,"000")&amp;"."&amp;VLOOKUP(AQ40,uom_list,5,FALSE),"")</f>
        <v/>
      </c>
      <c r="AQ40" s="2147" t="str">
        <f t="shared" si="19"/>
        <v/>
      </c>
      <c r="AR40" s="2147" t="str">
        <f t="shared" si="20"/>
        <v/>
      </c>
      <c r="AS40" s="2147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147" t="str">
        <f t="shared" ref="AT40:AT71" si="27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214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147" t="str">
        <f t="shared" ref="AV40:AV71" si="28">IF(M40="","",IF(invoice_location_id=1,BA40,IF(invoice_location_id=2,BB40,0)))</f>
        <v/>
      </c>
      <c r="AW40" s="2147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2147" t="str">
        <f t="shared" si="21"/>
        <v/>
      </c>
      <c r="AY40" s="2147" t="str">
        <f>IF(M40="","",SUMIFS($AX$8:AX40,$I$8:I40,I40))</f>
        <v/>
      </c>
      <c r="AZ40" s="2147" t="str">
        <f t="shared" si="22"/>
        <v/>
      </c>
      <c r="BA40" s="214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214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1439"/>
      <c r="B41" s="1768"/>
      <c r="C41" s="1785"/>
      <c r="D41" s="1466"/>
      <c r="E41" s="1466"/>
      <c r="F41" s="1779"/>
      <c r="I41" s="2139" t="str">
        <f t="shared" si="9"/>
        <v/>
      </c>
      <c r="J41" s="2140" t="str">
        <f t="shared" si="24"/>
        <v/>
      </c>
      <c r="K41" s="2141" t="str">
        <f t="shared" ref="K41:K71" si="29">IF(M41="","",VLOOKUP(I41,product_list,4,FALSE))</f>
        <v/>
      </c>
      <c r="L41" s="2142"/>
      <c r="M41" s="1399"/>
      <c r="N41" s="1400"/>
      <c r="O41" s="1400"/>
      <c r="P41" s="1401"/>
      <c r="Q41" s="1402"/>
      <c r="R41" s="1407"/>
      <c r="S41" s="2143" t="str">
        <f t="shared" si="0"/>
        <v/>
      </c>
      <c r="T41" s="1404"/>
      <c r="U41" s="2144" t="str">
        <f t="shared" si="11"/>
        <v/>
      </c>
      <c r="V41" s="2145" t="str">
        <f t="shared" si="25"/>
        <v/>
      </c>
      <c r="W41" s="1405"/>
      <c r="X41" s="2145" t="str">
        <f t="shared" si="26"/>
        <v/>
      </c>
      <c r="Y41" s="2146" t="str">
        <f t="shared" si="12"/>
        <v/>
      </c>
      <c r="Z41" s="1406"/>
      <c r="AA41" s="2147" t="str" cm="1">
        <f t="array" ref="AA41">IF(M41="","",IF(P41=AN41,1,Slookup(MID(AN41,1,3)*1,UomConversion!$D$8:$J$500,5,UomConversion!$E$8:$E$500,MID(P41,1,3)*1,UomConversion!$J$8:$J$500,1)))</f>
        <v/>
      </c>
      <c r="AB41" s="2147" t="str">
        <f t="shared" si="13"/>
        <v/>
      </c>
      <c r="AC41" s="2147" t="str">
        <f t="shared" si="14"/>
        <v/>
      </c>
      <c r="AD41" s="2147" t="str">
        <f t="shared" si="15"/>
        <v/>
      </c>
      <c r="AE41" s="2147" t="str">
        <f t="shared" si="16"/>
        <v/>
      </c>
      <c r="AF41" s="2147" t="str">
        <f>IF(M41="","",SUMIFS(ProductPrice!N61:N10033,ProductPrice!D61:D10033,I41,ProductPrice!G61:G10033,invoice_branch_id,ProductPrice!H61:H10033,invoice_price_type_id,ProductPrice!I61:I10033,MID(P41,1,3)*1,ProductPrice!Q61:Q10033,1,ProductPrice!T61:T10033,1))</f>
        <v/>
      </c>
      <c r="AG41" s="2147" t="str">
        <f t="shared" si="17"/>
        <v/>
      </c>
      <c r="AH41" s="2147" t="str">
        <f>IF(I41="","",IF(ISNA(MATCH(I41,IF(invoice_location_id=1,'[1]1_inventory_totals'!$C$8:$C$10000,IF(invoice_location_id=2,'[1]2_inventory_totals'!$C$8:$C$10000,0)),0)),0,IF(AV41&gt;0,1,0)))</f>
        <v/>
      </c>
      <c r="AI41" s="2147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2147" t="str">
        <f>IF(M41="","",IF(ISNA(MATCH(I41,'[1]1_group_totals'!$C$8:$C$10000)),0,IF(AW41&gt;0,1,0)))</f>
        <v/>
      </c>
      <c r="AK41" s="214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214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2147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2147" t="str">
        <f t="shared" si="18"/>
        <v/>
      </c>
      <c r="AO41" s="2147" t="str">
        <f>IF(OR(ISNA(MATCH(MID(AN41,1,3)*1,UomConversion!$D$8:$D$500,0)),M41=""),"",IF(AT41="","",AT41))</f>
        <v/>
      </c>
      <c r="AP41" s="2147" t="str">
        <f>IF(AND(AQ41&gt;0,COUNTIFS(UomConversion!$D$8:$D$500,MID(AN41,1,3)*1,UomConversion!$J$8:$J$500,1)&gt;1),TEXT(AQ41,"000")&amp;"."&amp;VLOOKUP(AQ41,uom_list,5,FALSE),"")</f>
        <v/>
      </c>
      <c r="AQ41" s="2147" t="str">
        <f t="shared" si="19"/>
        <v/>
      </c>
      <c r="AR41" s="2147" t="str">
        <f t="shared" si="20"/>
        <v/>
      </c>
      <c r="AS41" s="2147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147" t="str">
        <f t="shared" si="27"/>
        <v/>
      </c>
      <c r="AU41" s="214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147" t="str">
        <f t="shared" si="28"/>
        <v/>
      </c>
      <c r="AW41" s="2147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2147" t="str">
        <f t="shared" si="21"/>
        <v/>
      </c>
      <c r="AY41" s="2147" t="str">
        <f>IF(M41="","",SUMIFS($AX$8:AX41,$I$8:I41,I41))</f>
        <v/>
      </c>
      <c r="AZ41" s="2147" t="str">
        <f t="shared" si="22"/>
        <v/>
      </c>
      <c r="BA41" s="214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214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1439"/>
      <c r="B42" s="1768"/>
      <c r="C42" s="1785"/>
      <c r="D42" s="1466"/>
      <c r="E42" s="1466"/>
      <c r="F42" s="1779"/>
      <c r="I42" s="2139" t="str">
        <f t="shared" si="9"/>
        <v/>
      </c>
      <c r="J42" s="2140" t="str">
        <f t="shared" si="24"/>
        <v/>
      </c>
      <c r="K42" s="2141" t="str">
        <f t="shared" si="29"/>
        <v/>
      </c>
      <c r="L42" s="2142"/>
      <c r="M42" s="1399"/>
      <c r="N42" s="1400"/>
      <c r="O42" s="1400"/>
      <c r="P42" s="1401"/>
      <c r="Q42" s="1402"/>
      <c r="R42" s="1407"/>
      <c r="S42" s="2143" t="str">
        <f t="shared" si="0"/>
        <v/>
      </c>
      <c r="T42" s="1404"/>
      <c r="U42" s="2144" t="str">
        <f t="shared" si="11"/>
        <v/>
      </c>
      <c r="V42" s="2145" t="str">
        <f t="shared" si="25"/>
        <v/>
      </c>
      <c r="W42" s="1405"/>
      <c r="X42" s="2145" t="str">
        <f t="shared" si="26"/>
        <v/>
      </c>
      <c r="Y42" s="2146" t="str">
        <f t="shared" si="12"/>
        <v/>
      </c>
      <c r="Z42" s="1406"/>
      <c r="AA42" s="2147" t="str" cm="1">
        <f t="array" ref="AA42">IF(M42="","",IF(P42=AN42,1,Slookup(MID(AN42,1,3)*1,UomConversion!$D$8:$J$500,5,UomConversion!$E$8:$E$500,MID(P42,1,3)*1,UomConversion!$J$8:$J$500,1)))</f>
        <v/>
      </c>
      <c r="AB42" s="2147" t="str">
        <f t="shared" si="13"/>
        <v/>
      </c>
      <c r="AC42" s="2147" t="str">
        <f t="shared" si="14"/>
        <v/>
      </c>
      <c r="AD42" s="2147" t="str">
        <f t="shared" si="15"/>
        <v/>
      </c>
      <c r="AE42" s="2147" t="str">
        <f t="shared" si="16"/>
        <v/>
      </c>
      <c r="AF42" s="2147" t="str">
        <f>IF(M42="","",SUMIFS(ProductPrice!N62:N10034,ProductPrice!D62:D10034,I42,ProductPrice!G62:G10034,invoice_branch_id,ProductPrice!H62:H10034,invoice_price_type_id,ProductPrice!I62:I10034,MID(P42,1,3)*1,ProductPrice!Q62:Q10034,1,ProductPrice!T62:T10034,1))</f>
        <v/>
      </c>
      <c r="AG42" s="2147" t="str">
        <f t="shared" si="17"/>
        <v/>
      </c>
      <c r="AH42" s="2147" t="str">
        <f>IF(I42="","",IF(ISNA(MATCH(I42,IF(invoice_location_id=1,'[1]1_inventory_totals'!$C$8:$C$10000,IF(invoice_location_id=2,'[1]2_inventory_totals'!$C$8:$C$10000,0)),0)),0,IF(AV42&gt;0,1,0)))</f>
        <v/>
      </c>
      <c r="AI42" s="2147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2147" t="str">
        <f>IF(M42="","",IF(ISNA(MATCH(I42,'[1]1_group_totals'!$C$8:$C$10000)),0,IF(AW42&gt;0,1,0)))</f>
        <v/>
      </c>
      <c r="AK42" s="214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214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2147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2147" t="str">
        <f t="shared" si="18"/>
        <v/>
      </c>
      <c r="AO42" s="2147" t="str">
        <f>IF(OR(ISNA(MATCH(MID(AN42,1,3)*1,UomConversion!$D$8:$D$500,0)),M42=""),"",IF(AT42="","",AT42))</f>
        <v/>
      </c>
      <c r="AP42" s="2147" t="str">
        <f>IF(AND(AQ42&gt;0,COUNTIFS(UomConversion!$D$8:$D$500,MID(AN42,1,3)*1,UomConversion!$J$8:$J$500,1)&gt;1),TEXT(AQ42,"000")&amp;"."&amp;VLOOKUP(AQ42,uom_list,5,FALSE),"")</f>
        <v/>
      </c>
      <c r="AQ42" s="2147" t="str">
        <f t="shared" si="19"/>
        <v/>
      </c>
      <c r="AR42" s="2147" t="str">
        <f t="shared" si="20"/>
        <v/>
      </c>
      <c r="AS42" s="2147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147" t="str">
        <f t="shared" si="27"/>
        <v/>
      </c>
      <c r="AU42" s="214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147" t="str">
        <f t="shared" si="28"/>
        <v/>
      </c>
      <c r="AW42" s="2147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2147" t="str">
        <f t="shared" si="21"/>
        <v/>
      </c>
      <c r="AY42" s="2147" t="str">
        <f>IF(M42="","",SUMIFS($AX$8:AX42,$I$8:I42,I42))</f>
        <v/>
      </c>
      <c r="AZ42" s="2147" t="str">
        <f t="shared" si="22"/>
        <v/>
      </c>
      <c r="BA42" s="214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214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1439"/>
      <c r="B43" s="1768"/>
      <c r="C43" s="1785"/>
      <c r="D43" s="1466"/>
      <c r="E43" s="1466"/>
      <c r="F43" s="1779"/>
      <c r="I43" s="2139" t="str">
        <f t="shared" si="9"/>
        <v/>
      </c>
      <c r="J43" s="2140" t="str">
        <f t="shared" si="24"/>
        <v/>
      </c>
      <c r="K43" s="2141" t="str">
        <f t="shared" si="29"/>
        <v/>
      </c>
      <c r="L43" s="2142"/>
      <c r="M43" s="1399"/>
      <c r="N43" s="1400"/>
      <c r="O43" s="1400"/>
      <c r="P43" s="1401"/>
      <c r="Q43" s="1402"/>
      <c r="R43" s="1407"/>
      <c r="S43" s="2143" t="str">
        <f t="shared" si="0"/>
        <v/>
      </c>
      <c r="T43" s="1404"/>
      <c r="U43" s="2144" t="str">
        <f t="shared" si="11"/>
        <v/>
      </c>
      <c r="V43" s="2145" t="str">
        <f t="shared" si="25"/>
        <v/>
      </c>
      <c r="W43" s="1405"/>
      <c r="X43" s="2145" t="str">
        <f t="shared" si="26"/>
        <v/>
      </c>
      <c r="Y43" s="2146" t="str">
        <f t="shared" si="12"/>
        <v/>
      </c>
      <c r="Z43" s="1406"/>
      <c r="AA43" s="2147" t="str" cm="1">
        <f t="array" ref="AA43">IF(M43="","",IF(P43=AN43,1,Slookup(MID(AN43,1,3)*1,UomConversion!$D$8:$J$500,5,UomConversion!$E$8:$E$500,MID(P43,1,3)*1,UomConversion!$J$8:$J$500,1)))</f>
        <v/>
      </c>
      <c r="AB43" s="2147" t="str">
        <f t="shared" si="13"/>
        <v/>
      </c>
      <c r="AC43" s="2147" t="str">
        <f t="shared" si="14"/>
        <v/>
      </c>
      <c r="AD43" s="2147" t="str">
        <f t="shared" si="15"/>
        <v/>
      </c>
      <c r="AE43" s="2147" t="str">
        <f t="shared" si="16"/>
        <v/>
      </c>
      <c r="AF43" s="2147" t="str">
        <f>IF(M43="","",SUMIFS(ProductPrice!N63:N10035,ProductPrice!D63:D10035,I43,ProductPrice!G63:G10035,invoice_branch_id,ProductPrice!H63:H10035,invoice_price_type_id,ProductPrice!I63:I10035,MID(P43,1,3)*1,ProductPrice!Q63:Q10035,1,ProductPrice!T63:T10035,1))</f>
        <v/>
      </c>
      <c r="AG43" s="2147" t="str">
        <f t="shared" si="17"/>
        <v/>
      </c>
      <c r="AH43" s="2147" t="str">
        <f>IF(I43="","",IF(ISNA(MATCH(I43,IF(invoice_location_id=1,'[1]1_inventory_totals'!$C$8:$C$10000,IF(invoice_location_id=2,'[1]2_inventory_totals'!$C$8:$C$10000,0)),0)),0,IF(AV43&gt;0,1,0)))</f>
        <v/>
      </c>
      <c r="AI43" s="2147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2147" t="str">
        <f>IF(M43="","",IF(ISNA(MATCH(I43,'[1]1_group_totals'!$C$8:$C$10000)),0,IF(AW43&gt;0,1,0)))</f>
        <v/>
      </c>
      <c r="AK43" s="214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214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2147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2147" t="str">
        <f t="shared" si="18"/>
        <v/>
      </c>
      <c r="AO43" s="2147" t="str">
        <f>IF(OR(ISNA(MATCH(MID(AN43,1,3)*1,UomConversion!$D$8:$D$500,0)),M43=""),"",IF(AT43="","",AT43))</f>
        <v/>
      </c>
      <c r="AP43" s="2147" t="str">
        <f>IF(AND(AQ43&gt;0,COUNTIFS(UomConversion!$D$8:$D$500,MID(AN43,1,3)*1,UomConversion!$J$8:$J$500,1)&gt;1),TEXT(AQ43,"000")&amp;"."&amp;VLOOKUP(AQ43,uom_list,5,FALSE),"")</f>
        <v/>
      </c>
      <c r="AQ43" s="2147" t="str">
        <f t="shared" si="19"/>
        <v/>
      </c>
      <c r="AR43" s="2147" t="str">
        <f t="shared" si="20"/>
        <v/>
      </c>
      <c r="AS43" s="2147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147" t="str">
        <f t="shared" si="27"/>
        <v/>
      </c>
      <c r="AU43" s="214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147" t="str">
        <f t="shared" si="28"/>
        <v/>
      </c>
      <c r="AW43" s="2147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2147" t="str">
        <f t="shared" si="21"/>
        <v/>
      </c>
      <c r="AY43" s="2147" t="str">
        <f>IF(M43="","",SUMIFS($AX$8:AX43,$I$8:I43,I43))</f>
        <v/>
      </c>
      <c r="AZ43" s="2147" t="str">
        <f t="shared" si="22"/>
        <v/>
      </c>
      <c r="BA43" s="214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214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1439"/>
      <c r="B44" s="1768"/>
      <c r="C44" s="1785"/>
      <c r="D44" s="1466"/>
      <c r="E44" s="1466"/>
      <c r="F44" s="1779"/>
      <c r="I44" s="2139" t="str">
        <f t="shared" si="9"/>
        <v/>
      </c>
      <c r="J44" s="2140" t="str">
        <f t="shared" si="24"/>
        <v/>
      </c>
      <c r="K44" s="2141" t="str">
        <f t="shared" si="29"/>
        <v/>
      </c>
      <c r="L44" s="2142"/>
      <c r="M44" s="1399"/>
      <c r="N44" s="1400"/>
      <c r="O44" s="1400"/>
      <c r="P44" s="1401"/>
      <c r="Q44" s="1402"/>
      <c r="R44" s="1407"/>
      <c r="S44" s="2143" t="str">
        <f t="shared" si="0"/>
        <v/>
      </c>
      <c r="T44" s="1404"/>
      <c r="U44" s="2144" t="str">
        <f t="shared" si="11"/>
        <v/>
      </c>
      <c r="V44" s="2145" t="str">
        <f t="shared" si="25"/>
        <v/>
      </c>
      <c r="W44" s="1405"/>
      <c r="X44" s="2145" t="str">
        <f t="shared" si="26"/>
        <v/>
      </c>
      <c r="Y44" s="2146" t="str">
        <f t="shared" si="12"/>
        <v/>
      </c>
      <c r="Z44" s="1406"/>
      <c r="AA44" s="2147" t="str" cm="1">
        <f t="array" ref="AA44">IF(M44="","",IF(P44=AN44,1,Slookup(MID(AN44,1,3)*1,UomConversion!$D$8:$J$500,5,UomConversion!$E$8:$E$500,MID(P44,1,3)*1,UomConversion!$J$8:$J$500,1)))</f>
        <v/>
      </c>
      <c r="AB44" s="2147" t="str">
        <f t="shared" si="13"/>
        <v/>
      </c>
      <c r="AC44" s="2147" t="str">
        <f t="shared" si="14"/>
        <v/>
      </c>
      <c r="AD44" s="2147" t="str">
        <f t="shared" si="15"/>
        <v/>
      </c>
      <c r="AE44" s="2147" t="str">
        <f t="shared" si="16"/>
        <v/>
      </c>
      <c r="AF44" s="2147" t="str">
        <f>IF(M44="","",SUMIFS(ProductPrice!N64:N10036,ProductPrice!D64:D10036,I44,ProductPrice!G64:G10036,invoice_branch_id,ProductPrice!H64:H10036,invoice_price_type_id,ProductPrice!I64:I10036,MID(P44,1,3)*1,ProductPrice!Q64:Q10036,1,ProductPrice!T64:T10036,1))</f>
        <v/>
      </c>
      <c r="AG44" s="2147" t="str">
        <f t="shared" si="17"/>
        <v/>
      </c>
      <c r="AH44" s="2147" t="str">
        <f>IF(I44="","",IF(ISNA(MATCH(I44,IF(invoice_location_id=1,'[1]1_inventory_totals'!$C$8:$C$10000,IF(invoice_location_id=2,'[1]2_inventory_totals'!$C$8:$C$10000,0)),0)),0,IF(AV44&gt;0,1,0)))</f>
        <v/>
      </c>
      <c r="AI44" s="2147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2147" t="str">
        <f>IF(M44="","",IF(ISNA(MATCH(I44,'[1]1_group_totals'!$C$8:$C$10000)),0,IF(AW44&gt;0,1,0)))</f>
        <v/>
      </c>
      <c r="AK44" s="214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214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2147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2147" t="str">
        <f t="shared" si="18"/>
        <v/>
      </c>
      <c r="AO44" s="2147" t="str">
        <f>IF(OR(ISNA(MATCH(MID(AN44,1,3)*1,UomConversion!$D$8:$D$500,0)),M44=""),"",IF(AT44="","",AT44))</f>
        <v/>
      </c>
      <c r="AP44" s="2147" t="str">
        <f>IF(AND(AQ44&gt;0,COUNTIFS(UomConversion!$D$8:$D$500,MID(AN44,1,3)*1,UomConversion!$J$8:$J$500,1)&gt;1),TEXT(AQ44,"000")&amp;"."&amp;VLOOKUP(AQ44,uom_list,5,FALSE),"")</f>
        <v/>
      </c>
      <c r="AQ44" s="2147" t="str">
        <f t="shared" si="19"/>
        <v/>
      </c>
      <c r="AR44" s="2147" t="str">
        <f t="shared" si="20"/>
        <v/>
      </c>
      <c r="AS44" s="2147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147" t="str">
        <f t="shared" si="27"/>
        <v/>
      </c>
      <c r="AU44" s="214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147" t="str">
        <f t="shared" si="28"/>
        <v/>
      </c>
      <c r="AW44" s="2147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2147" t="str">
        <f t="shared" si="21"/>
        <v/>
      </c>
      <c r="AY44" s="2147" t="str">
        <f>IF(M44="","",SUMIFS($AX$8:AX44,$I$8:I44,I44))</f>
        <v/>
      </c>
      <c r="AZ44" s="2147" t="str">
        <f t="shared" si="22"/>
        <v/>
      </c>
      <c r="BA44" s="214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214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1439"/>
      <c r="B45" s="1768"/>
      <c r="C45" s="1785"/>
      <c r="D45" s="1466"/>
      <c r="E45" s="1466"/>
      <c r="F45" s="1779"/>
      <c r="I45" s="2139" t="str">
        <f t="shared" si="9"/>
        <v/>
      </c>
      <c r="J45" s="2140" t="str">
        <f t="shared" si="24"/>
        <v/>
      </c>
      <c r="K45" s="2141" t="str">
        <f t="shared" si="29"/>
        <v/>
      </c>
      <c r="L45" s="2142"/>
      <c r="M45" s="1399"/>
      <c r="N45" s="1400"/>
      <c r="O45" s="1400"/>
      <c r="P45" s="1401"/>
      <c r="Q45" s="1402"/>
      <c r="R45" s="1407"/>
      <c r="S45" s="2143" t="str">
        <f t="shared" si="0"/>
        <v/>
      </c>
      <c r="T45" s="1404"/>
      <c r="U45" s="2144" t="str">
        <f t="shared" si="11"/>
        <v/>
      </c>
      <c r="V45" s="2145" t="str">
        <f t="shared" si="25"/>
        <v/>
      </c>
      <c r="W45" s="1405"/>
      <c r="X45" s="2145" t="str">
        <f t="shared" si="26"/>
        <v/>
      </c>
      <c r="Y45" s="2146" t="str">
        <f t="shared" si="12"/>
        <v/>
      </c>
      <c r="Z45" s="1406"/>
      <c r="AA45" s="2147" t="str" cm="1">
        <f t="array" ref="AA45">IF(M45="","",IF(P45=AN45,1,Slookup(MID(AN45,1,3)*1,UomConversion!$D$8:$J$500,5,UomConversion!$E$8:$E$500,MID(P45,1,3)*1,UomConversion!$J$8:$J$500,1)))</f>
        <v/>
      </c>
      <c r="AB45" s="2147" t="str">
        <f t="shared" si="13"/>
        <v/>
      </c>
      <c r="AC45" s="2147" t="str">
        <f t="shared" si="14"/>
        <v/>
      </c>
      <c r="AD45" s="2147" t="str">
        <f t="shared" si="15"/>
        <v/>
      </c>
      <c r="AE45" s="2147" t="str">
        <f t="shared" si="16"/>
        <v/>
      </c>
      <c r="AF45" s="2147" t="str">
        <f>IF(M45="","",SUMIFS(ProductPrice!N65:N10037,ProductPrice!D65:D10037,I45,ProductPrice!G65:G10037,invoice_branch_id,ProductPrice!H65:H10037,invoice_price_type_id,ProductPrice!I65:I10037,MID(P45,1,3)*1,ProductPrice!Q65:Q10037,1,ProductPrice!T65:T10037,1))</f>
        <v/>
      </c>
      <c r="AG45" s="2147" t="str">
        <f t="shared" si="17"/>
        <v/>
      </c>
      <c r="AH45" s="2147" t="str">
        <f>IF(I45="","",IF(ISNA(MATCH(I45,IF(invoice_location_id=1,'[1]1_inventory_totals'!$C$8:$C$10000,IF(invoice_location_id=2,'[1]2_inventory_totals'!$C$8:$C$10000,0)),0)),0,IF(AV45&gt;0,1,0)))</f>
        <v/>
      </c>
      <c r="AI45" s="2147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2147" t="str">
        <f>IF(M45="","",IF(ISNA(MATCH(I45,'[1]1_group_totals'!$C$8:$C$10000)),0,IF(AW45&gt;0,1,0)))</f>
        <v/>
      </c>
      <c r="AK45" s="214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214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2147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2147" t="str">
        <f t="shared" si="18"/>
        <v/>
      </c>
      <c r="AO45" s="2147" t="str">
        <f>IF(OR(ISNA(MATCH(MID(AN45,1,3)*1,UomConversion!$D$8:$D$500,0)),M45=""),"",IF(AT45="","",AT45))</f>
        <v/>
      </c>
      <c r="AP45" s="2147" t="str">
        <f>IF(AND(AQ45&gt;0,COUNTIFS(UomConversion!$D$8:$D$500,MID(AN45,1,3)*1,UomConversion!$J$8:$J$500,1)&gt;1),TEXT(AQ45,"000")&amp;"."&amp;VLOOKUP(AQ45,uom_list,5,FALSE),"")</f>
        <v/>
      </c>
      <c r="AQ45" s="2147" t="str">
        <f t="shared" si="19"/>
        <v/>
      </c>
      <c r="AR45" s="2147" t="str">
        <f t="shared" si="20"/>
        <v/>
      </c>
      <c r="AS45" s="2147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147" t="str">
        <f t="shared" si="27"/>
        <v/>
      </c>
      <c r="AU45" s="214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147" t="str">
        <f t="shared" si="28"/>
        <v/>
      </c>
      <c r="AW45" s="2147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2147" t="str">
        <f t="shared" si="21"/>
        <v/>
      </c>
      <c r="AY45" s="2147" t="str">
        <f>IF(M45="","",SUMIFS($AX$8:AX45,$I$8:I45,I45))</f>
        <v/>
      </c>
      <c r="AZ45" s="2147" t="str">
        <f t="shared" si="22"/>
        <v/>
      </c>
      <c r="BA45" s="214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214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1439"/>
      <c r="B46" s="1768"/>
      <c r="C46" s="1785"/>
      <c r="D46" s="1466"/>
      <c r="E46" s="1466"/>
      <c r="F46" s="1779"/>
      <c r="I46" s="2139" t="str">
        <f t="shared" si="9"/>
        <v/>
      </c>
      <c r="J46" s="2140" t="str">
        <f t="shared" si="24"/>
        <v/>
      </c>
      <c r="K46" s="2141" t="str">
        <f t="shared" si="29"/>
        <v/>
      </c>
      <c r="L46" s="2142"/>
      <c r="M46" s="1399"/>
      <c r="N46" s="1400"/>
      <c r="O46" s="1400"/>
      <c r="P46" s="1401"/>
      <c r="Q46" s="1402"/>
      <c r="R46" s="1407"/>
      <c r="S46" s="2143" t="str">
        <f t="shared" si="0"/>
        <v/>
      </c>
      <c r="T46" s="1404"/>
      <c r="U46" s="2144" t="str">
        <f t="shared" si="11"/>
        <v/>
      </c>
      <c r="V46" s="2145" t="str">
        <f t="shared" si="25"/>
        <v/>
      </c>
      <c r="W46" s="1405"/>
      <c r="X46" s="2145" t="str">
        <f t="shared" si="26"/>
        <v/>
      </c>
      <c r="Y46" s="2146" t="str">
        <f t="shared" si="12"/>
        <v/>
      </c>
      <c r="Z46" s="1406"/>
      <c r="AA46" s="2147" t="str" cm="1">
        <f t="array" ref="AA46">IF(M46="","",IF(P46=AN46,1,Slookup(MID(AN46,1,3)*1,UomConversion!$D$8:$J$500,5,UomConversion!$E$8:$E$500,MID(P46,1,3)*1,UomConversion!$J$8:$J$500,1)))</f>
        <v/>
      </c>
      <c r="AB46" s="2147" t="str">
        <f t="shared" si="13"/>
        <v/>
      </c>
      <c r="AC46" s="2147" t="str">
        <f t="shared" si="14"/>
        <v/>
      </c>
      <c r="AD46" s="2147" t="str">
        <f t="shared" si="15"/>
        <v/>
      </c>
      <c r="AE46" s="2147" t="str">
        <f t="shared" si="16"/>
        <v/>
      </c>
      <c r="AF46" s="2147" t="str">
        <f>IF(M46="","",SUMIFS(ProductPrice!N66:N10038,ProductPrice!D66:D10038,I46,ProductPrice!G66:G10038,invoice_branch_id,ProductPrice!H66:H10038,invoice_price_type_id,ProductPrice!I66:I10038,MID(P46,1,3)*1,ProductPrice!Q66:Q10038,1,ProductPrice!T66:T10038,1))</f>
        <v/>
      </c>
      <c r="AG46" s="2147" t="str">
        <f t="shared" si="17"/>
        <v/>
      </c>
      <c r="AH46" s="2147" t="str">
        <f>IF(I46="","",IF(ISNA(MATCH(I46,IF(invoice_location_id=1,'[1]1_inventory_totals'!$C$8:$C$10000,IF(invoice_location_id=2,'[1]2_inventory_totals'!$C$8:$C$10000,0)),0)),0,IF(AV46&gt;0,1,0)))</f>
        <v/>
      </c>
      <c r="AI46" s="2147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2147" t="str">
        <f>IF(M46="","",IF(ISNA(MATCH(I46,'[1]1_group_totals'!$C$8:$C$10000)),0,IF(AW46&gt;0,1,0)))</f>
        <v/>
      </c>
      <c r="AK46" s="214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214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2147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2147" t="str">
        <f t="shared" si="18"/>
        <v/>
      </c>
      <c r="AO46" s="2147" t="str">
        <f>IF(OR(ISNA(MATCH(MID(AN46,1,3)*1,UomConversion!$D$8:$D$500,0)),M46=""),"",IF(AT46="","",AT46))</f>
        <v/>
      </c>
      <c r="AP46" s="2147" t="str">
        <f>IF(AND(AQ46&gt;0,COUNTIFS(UomConversion!$D$8:$D$500,MID(AN46,1,3)*1,UomConversion!$J$8:$J$500,1)&gt;1),TEXT(AQ46,"000")&amp;"."&amp;VLOOKUP(AQ46,uom_list,5,FALSE),"")</f>
        <v/>
      </c>
      <c r="AQ46" s="2147" t="str">
        <f t="shared" si="19"/>
        <v/>
      </c>
      <c r="AR46" s="2147" t="str">
        <f t="shared" si="20"/>
        <v/>
      </c>
      <c r="AS46" s="2147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147" t="str">
        <f t="shared" si="27"/>
        <v/>
      </c>
      <c r="AU46" s="214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147" t="str">
        <f t="shared" si="28"/>
        <v/>
      </c>
      <c r="AW46" s="2147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2147" t="str">
        <f t="shared" si="21"/>
        <v/>
      </c>
      <c r="AY46" s="2147" t="str">
        <f>IF(M46="","",SUMIFS($AX$8:AX46,$I$8:I46,I46))</f>
        <v/>
      </c>
      <c r="AZ46" s="2147" t="str">
        <f t="shared" si="22"/>
        <v/>
      </c>
      <c r="BA46" s="214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214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1439"/>
      <c r="B47" s="1768"/>
      <c r="C47" s="1785"/>
      <c r="D47" s="1466"/>
      <c r="E47" s="1466"/>
      <c r="F47" s="1779"/>
      <c r="I47" s="2139" t="str">
        <f t="shared" si="9"/>
        <v/>
      </c>
      <c r="J47" s="2140" t="str">
        <f t="shared" si="24"/>
        <v/>
      </c>
      <c r="K47" s="2141" t="str">
        <f t="shared" si="29"/>
        <v/>
      </c>
      <c r="L47" s="2142"/>
      <c r="M47" s="1399"/>
      <c r="N47" s="1400"/>
      <c r="O47" s="1400"/>
      <c r="P47" s="1401"/>
      <c r="Q47" s="1402"/>
      <c r="R47" s="1407"/>
      <c r="S47" s="2143" t="str">
        <f t="shared" si="0"/>
        <v/>
      </c>
      <c r="T47" s="1404"/>
      <c r="U47" s="2144" t="str">
        <f t="shared" si="11"/>
        <v/>
      </c>
      <c r="V47" s="2145" t="str">
        <f t="shared" si="25"/>
        <v/>
      </c>
      <c r="W47" s="1405"/>
      <c r="X47" s="2145" t="str">
        <f t="shared" si="26"/>
        <v/>
      </c>
      <c r="Y47" s="2146" t="str">
        <f t="shared" si="12"/>
        <v/>
      </c>
      <c r="Z47" s="1406"/>
      <c r="AA47" s="2147" t="str" cm="1">
        <f t="array" ref="AA47">IF(M47="","",IF(P47=AN47,1,Slookup(MID(AN47,1,3)*1,UomConversion!$D$8:$J$500,5,UomConversion!$E$8:$E$500,MID(P47,1,3)*1,UomConversion!$J$8:$J$500,1)))</f>
        <v/>
      </c>
      <c r="AB47" s="2147" t="str">
        <f t="shared" si="13"/>
        <v/>
      </c>
      <c r="AC47" s="2147" t="str">
        <f t="shared" si="14"/>
        <v/>
      </c>
      <c r="AD47" s="2147" t="str">
        <f t="shared" si="15"/>
        <v/>
      </c>
      <c r="AE47" s="2147" t="str">
        <f t="shared" si="16"/>
        <v/>
      </c>
      <c r="AF47" s="2147" t="str">
        <f>IF(M47="","",SUMIFS(ProductPrice!N67:N10039,ProductPrice!D67:D10039,I47,ProductPrice!G67:G10039,invoice_branch_id,ProductPrice!H67:H10039,invoice_price_type_id,ProductPrice!I67:I10039,MID(P47,1,3)*1,ProductPrice!Q67:Q10039,1,ProductPrice!T67:T10039,1))</f>
        <v/>
      </c>
      <c r="AG47" s="2147" t="str">
        <f t="shared" si="17"/>
        <v/>
      </c>
      <c r="AH47" s="2147" t="str">
        <f>IF(I47="","",IF(ISNA(MATCH(I47,IF(invoice_location_id=1,'[1]1_inventory_totals'!$C$8:$C$10000,IF(invoice_location_id=2,'[1]2_inventory_totals'!$C$8:$C$10000,0)),0)),0,IF(AV47&gt;0,1,0)))</f>
        <v/>
      </c>
      <c r="AI47" s="2147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2147" t="str">
        <f>IF(M47="","",IF(ISNA(MATCH(I47,'[1]1_group_totals'!$C$8:$C$10000)),0,IF(AW47&gt;0,1,0)))</f>
        <v/>
      </c>
      <c r="AK47" s="214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214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2147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2147" t="str">
        <f t="shared" si="18"/>
        <v/>
      </c>
      <c r="AO47" s="2147" t="str">
        <f>IF(OR(ISNA(MATCH(MID(AN47,1,3)*1,UomConversion!$D$8:$D$500,0)),M47=""),"",IF(AT47="","",AT47))</f>
        <v/>
      </c>
      <c r="AP47" s="2147" t="str">
        <f>IF(AND(AQ47&gt;0,COUNTIFS(UomConversion!$D$8:$D$500,MID(AN47,1,3)*1,UomConversion!$J$8:$J$500,1)&gt;1),TEXT(AQ47,"000")&amp;"."&amp;VLOOKUP(AQ47,uom_list,5,FALSE),"")</f>
        <v/>
      </c>
      <c r="AQ47" s="2147" t="str">
        <f t="shared" si="19"/>
        <v/>
      </c>
      <c r="AR47" s="2147" t="str">
        <f t="shared" si="20"/>
        <v/>
      </c>
      <c r="AS47" s="2147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147" t="str">
        <f t="shared" si="27"/>
        <v/>
      </c>
      <c r="AU47" s="214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147" t="str">
        <f t="shared" si="28"/>
        <v/>
      </c>
      <c r="AW47" s="2147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2147" t="str">
        <f t="shared" si="21"/>
        <v/>
      </c>
      <c r="AY47" s="2147" t="str">
        <f>IF(M47="","",SUMIFS($AX$8:AX47,$I$8:I47,I47))</f>
        <v/>
      </c>
      <c r="AZ47" s="2147" t="str">
        <f t="shared" si="22"/>
        <v/>
      </c>
      <c r="BA47" s="214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214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1439"/>
      <c r="B48" s="1768"/>
      <c r="C48" s="1785"/>
      <c r="D48" s="1466"/>
      <c r="E48" s="1466"/>
      <c r="F48" s="1779"/>
      <c r="I48" s="2139" t="str">
        <f t="shared" si="9"/>
        <v/>
      </c>
      <c r="J48" s="2140" t="str">
        <f t="shared" si="24"/>
        <v/>
      </c>
      <c r="K48" s="2141" t="str">
        <f t="shared" si="29"/>
        <v/>
      </c>
      <c r="L48" s="2142"/>
      <c r="M48" s="1399"/>
      <c r="N48" s="1400"/>
      <c r="O48" s="1400"/>
      <c r="P48" s="1401"/>
      <c r="Q48" s="1402"/>
      <c r="R48" s="1407"/>
      <c r="S48" s="2143" t="str">
        <f t="shared" si="0"/>
        <v/>
      </c>
      <c r="T48" s="1404"/>
      <c r="U48" s="2144" t="str">
        <f t="shared" si="11"/>
        <v/>
      </c>
      <c r="V48" s="2145" t="str">
        <f t="shared" si="25"/>
        <v/>
      </c>
      <c r="W48" s="1405"/>
      <c r="X48" s="2145" t="str">
        <f t="shared" si="26"/>
        <v/>
      </c>
      <c r="Y48" s="2146" t="str">
        <f t="shared" si="12"/>
        <v/>
      </c>
      <c r="Z48" s="1406"/>
      <c r="AA48" s="2147" t="str" cm="1">
        <f t="array" ref="AA48">IF(M48="","",IF(P48=AN48,1,Slookup(MID(AN48,1,3)*1,UomConversion!$D$8:$J$500,5,UomConversion!$E$8:$E$500,MID(P48,1,3)*1,UomConversion!$J$8:$J$500,1)))</f>
        <v/>
      </c>
      <c r="AB48" s="2147" t="str">
        <f t="shared" si="13"/>
        <v/>
      </c>
      <c r="AC48" s="2147" t="str">
        <f t="shared" si="14"/>
        <v/>
      </c>
      <c r="AD48" s="2147" t="str">
        <f t="shared" si="15"/>
        <v/>
      </c>
      <c r="AE48" s="2147" t="str">
        <f t="shared" si="16"/>
        <v/>
      </c>
      <c r="AF48" s="2147" t="str">
        <f>IF(M48="","",SUMIFS(ProductPrice!N68:N10040,ProductPrice!D68:D10040,I48,ProductPrice!G68:G10040,invoice_branch_id,ProductPrice!H68:H10040,invoice_price_type_id,ProductPrice!I68:I10040,MID(P48,1,3)*1,ProductPrice!Q68:Q10040,1,ProductPrice!T68:T10040,1))</f>
        <v/>
      </c>
      <c r="AG48" s="2147" t="str">
        <f t="shared" si="17"/>
        <v/>
      </c>
      <c r="AH48" s="2147" t="str">
        <f>IF(I48="","",IF(ISNA(MATCH(I48,IF(invoice_location_id=1,'[1]1_inventory_totals'!$C$8:$C$10000,IF(invoice_location_id=2,'[1]2_inventory_totals'!$C$8:$C$10000,0)),0)),0,IF(AV48&gt;0,1,0)))</f>
        <v/>
      </c>
      <c r="AI48" s="2147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2147" t="str">
        <f>IF(M48="","",IF(ISNA(MATCH(I48,'[1]1_group_totals'!$C$8:$C$10000)),0,IF(AW48&gt;0,1,0)))</f>
        <v/>
      </c>
      <c r="AK48" s="214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214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2147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2147" t="str">
        <f t="shared" si="18"/>
        <v/>
      </c>
      <c r="AO48" s="2147" t="str">
        <f>IF(OR(ISNA(MATCH(MID(AN48,1,3)*1,UomConversion!$D$8:$D$500,0)),M48=""),"",IF(AT48="","",AT48))</f>
        <v/>
      </c>
      <c r="AP48" s="2147" t="str">
        <f>IF(AND(AQ48&gt;0,COUNTIFS(UomConversion!$D$8:$D$500,MID(AN48,1,3)*1,UomConversion!$J$8:$J$500,1)&gt;1),TEXT(AQ48,"000")&amp;"."&amp;VLOOKUP(AQ48,uom_list,5,FALSE),"")</f>
        <v/>
      </c>
      <c r="AQ48" s="2147" t="str">
        <f t="shared" si="19"/>
        <v/>
      </c>
      <c r="AR48" s="2147" t="str">
        <f t="shared" si="20"/>
        <v/>
      </c>
      <c r="AS48" s="2147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147" t="str">
        <f t="shared" si="27"/>
        <v/>
      </c>
      <c r="AU48" s="214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147" t="str">
        <f t="shared" si="28"/>
        <v/>
      </c>
      <c r="AW48" s="2147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2147" t="str">
        <f t="shared" si="21"/>
        <v/>
      </c>
      <c r="AY48" s="2147" t="str">
        <f>IF(M48="","",SUMIFS($AX$8:AX48,$I$8:I48,I48))</f>
        <v/>
      </c>
      <c r="AZ48" s="2147" t="str">
        <f t="shared" si="22"/>
        <v/>
      </c>
      <c r="BA48" s="214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214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1439"/>
      <c r="B49" s="1768"/>
      <c r="C49" s="1785"/>
      <c r="D49" s="1466"/>
      <c r="E49" s="1466"/>
      <c r="F49" s="1779"/>
      <c r="I49" s="2139" t="str">
        <f t="shared" si="9"/>
        <v/>
      </c>
      <c r="J49" s="2140" t="str">
        <f t="shared" si="24"/>
        <v/>
      </c>
      <c r="K49" s="2141" t="str">
        <f t="shared" si="29"/>
        <v/>
      </c>
      <c r="L49" s="2142"/>
      <c r="M49" s="1399"/>
      <c r="N49" s="1400"/>
      <c r="O49" s="1400"/>
      <c r="P49" s="1401"/>
      <c r="Q49" s="1402"/>
      <c r="R49" s="1407"/>
      <c r="S49" s="2143" t="str">
        <f t="shared" si="0"/>
        <v/>
      </c>
      <c r="T49" s="1404"/>
      <c r="U49" s="2144" t="str">
        <f t="shared" si="11"/>
        <v/>
      </c>
      <c r="V49" s="2145" t="str">
        <f t="shared" si="25"/>
        <v/>
      </c>
      <c r="W49" s="1405"/>
      <c r="X49" s="2145" t="str">
        <f t="shared" si="26"/>
        <v/>
      </c>
      <c r="Y49" s="2146" t="str">
        <f t="shared" si="12"/>
        <v/>
      </c>
      <c r="Z49" s="1406"/>
      <c r="AA49" s="2147" t="str" cm="1">
        <f t="array" ref="AA49">IF(M49="","",IF(P49=AN49,1,Slookup(MID(AN49,1,3)*1,UomConversion!$D$8:$J$500,5,UomConversion!$E$8:$E$500,MID(P49,1,3)*1,UomConversion!$J$8:$J$500,1)))</f>
        <v/>
      </c>
      <c r="AB49" s="2147" t="str">
        <f t="shared" si="13"/>
        <v/>
      </c>
      <c r="AC49" s="2147" t="str">
        <f t="shared" si="14"/>
        <v/>
      </c>
      <c r="AD49" s="2147" t="str">
        <f t="shared" si="15"/>
        <v/>
      </c>
      <c r="AE49" s="2147" t="str">
        <f t="shared" si="16"/>
        <v/>
      </c>
      <c r="AF49" s="2147" t="str">
        <f>IF(M49="","",SUMIFS(ProductPrice!N69:N10041,ProductPrice!D69:D10041,I49,ProductPrice!G69:G10041,invoice_branch_id,ProductPrice!H69:H10041,invoice_price_type_id,ProductPrice!I69:I10041,MID(P49,1,3)*1,ProductPrice!Q69:Q10041,1,ProductPrice!T69:T10041,1))</f>
        <v/>
      </c>
      <c r="AG49" s="2147" t="str">
        <f t="shared" si="17"/>
        <v/>
      </c>
      <c r="AH49" s="2147" t="str">
        <f>IF(I49="","",IF(ISNA(MATCH(I49,IF(invoice_location_id=1,'[1]1_inventory_totals'!$C$8:$C$10000,IF(invoice_location_id=2,'[1]2_inventory_totals'!$C$8:$C$10000,0)),0)),0,IF(AV49&gt;0,1,0)))</f>
        <v/>
      </c>
      <c r="AI49" s="2147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2147" t="str">
        <f>IF(M49="","",IF(ISNA(MATCH(I49,'[1]1_group_totals'!$C$8:$C$10000)),0,IF(AW49&gt;0,1,0)))</f>
        <v/>
      </c>
      <c r="AK49" s="214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214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2147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2147" t="str">
        <f t="shared" si="18"/>
        <v/>
      </c>
      <c r="AO49" s="2147" t="str">
        <f>IF(OR(ISNA(MATCH(MID(AN49,1,3)*1,UomConversion!$D$8:$D$500,0)),M49=""),"",IF(AT49="","",AT49))</f>
        <v/>
      </c>
      <c r="AP49" s="2147" t="str">
        <f>IF(AND(AQ49&gt;0,COUNTIFS(UomConversion!$D$8:$D$500,MID(AN49,1,3)*1,UomConversion!$J$8:$J$500,1)&gt;1),TEXT(AQ49,"000")&amp;"."&amp;VLOOKUP(AQ49,uom_list,5,FALSE),"")</f>
        <v/>
      </c>
      <c r="AQ49" s="2147" t="str">
        <f t="shared" si="19"/>
        <v/>
      </c>
      <c r="AR49" s="2147" t="str">
        <f t="shared" si="20"/>
        <v/>
      </c>
      <c r="AS49" s="2147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147" t="str">
        <f t="shared" si="27"/>
        <v/>
      </c>
      <c r="AU49" s="214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147" t="str">
        <f t="shared" si="28"/>
        <v/>
      </c>
      <c r="AW49" s="2147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2147" t="str">
        <f t="shared" si="21"/>
        <v/>
      </c>
      <c r="AY49" s="2147" t="str">
        <f>IF(M49="","",SUMIFS($AX$8:AX49,$I$8:I49,I49))</f>
        <v/>
      </c>
      <c r="AZ49" s="2147" t="str">
        <f t="shared" si="22"/>
        <v/>
      </c>
      <c r="BA49" s="214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214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1439"/>
      <c r="B50" s="1768"/>
      <c r="C50" s="1785"/>
      <c r="D50" s="1466"/>
      <c r="E50" s="1466"/>
      <c r="F50" s="1779"/>
      <c r="I50" s="2139" t="str">
        <f t="shared" si="9"/>
        <v/>
      </c>
      <c r="J50" s="2140" t="str">
        <f t="shared" si="24"/>
        <v/>
      </c>
      <c r="K50" s="2141" t="str">
        <f t="shared" si="29"/>
        <v/>
      </c>
      <c r="L50" s="2142"/>
      <c r="M50" s="1399"/>
      <c r="N50" s="1400"/>
      <c r="O50" s="1400"/>
      <c r="P50" s="1401"/>
      <c r="Q50" s="1402"/>
      <c r="R50" s="1407"/>
      <c r="S50" s="2143" t="str">
        <f t="shared" si="0"/>
        <v/>
      </c>
      <c r="T50" s="1404"/>
      <c r="U50" s="2144" t="str">
        <f t="shared" si="11"/>
        <v/>
      </c>
      <c r="V50" s="2145" t="str">
        <f t="shared" si="25"/>
        <v/>
      </c>
      <c r="W50" s="1405"/>
      <c r="X50" s="2145" t="str">
        <f t="shared" si="26"/>
        <v/>
      </c>
      <c r="Y50" s="2146" t="str">
        <f t="shared" si="12"/>
        <v/>
      </c>
      <c r="Z50" s="1406"/>
      <c r="AA50" s="2147" t="str" cm="1">
        <f t="array" ref="AA50">IF(M50="","",IF(P50=AN50,1,Slookup(MID(AN50,1,3)*1,UomConversion!$D$8:$J$500,5,UomConversion!$E$8:$E$500,MID(P50,1,3)*1,UomConversion!$J$8:$J$500,1)))</f>
        <v/>
      </c>
      <c r="AB50" s="2147" t="str">
        <f t="shared" si="13"/>
        <v/>
      </c>
      <c r="AC50" s="2147" t="str">
        <f t="shared" si="14"/>
        <v/>
      </c>
      <c r="AD50" s="2147" t="str">
        <f t="shared" si="15"/>
        <v/>
      </c>
      <c r="AE50" s="2147" t="str">
        <f t="shared" si="16"/>
        <v/>
      </c>
      <c r="AF50" s="2147" t="str">
        <f>IF(M50="","",SUMIFS(ProductPrice!N70:N10042,ProductPrice!D70:D10042,I50,ProductPrice!G70:G10042,invoice_branch_id,ProductPrice!H70:H10042,invoice_price_type_id,ProductPrice!I70:I10042,MID(P50,1,3)*1,ProductPrice!Q70:Q10042,1,ProductPrice!T70:T10042,1))</f>
        <v/>
      </c>
      <c r="AG50" s="2147" t="str">
        <f t="shared" si="17"/>
        <v/>
      </c>
      <c r="AH50" s="2147" t="str">
        <f>IF(I50="","",IF(ISNA(MATCH(I50,IF(invoice_location_id=1,'[1]1_inventory_totals'!$C$8:$C$10000,IF(invoice_location_id=2,'[1]2_inventory_totals'!$C$8:$C$10000,0)),0)),0,IF(AV50&gt;0,1,0)))</f>
        <v/>
      </c>
      <c r="AI50" s="2147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2147" t="str">
        <f>IF(M50="","",IF(ISNA(MATCH(I50,'[1]1_group_totals'!$C$8:$C$10000)),0,IF(AW50&gt;0,1,0)))</f>
        <v/>
      </c>
      <c r="AK50" s="214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214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2147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2147" t="str">
        <f t="shared" si="18"/>
        <v/>
      </c>
      <c r="AO50" s="2147" t="str">
        <f>IF(OR(ISNA(MATCH(MID(AN50,1,3)*1,UomConversion!$D$8:$D$500,0)),M50=""),"",IF(AT50="","",AT50))</f>
        <v/>
      </c>
      <c r="AP50" s="2147" t="str">
        <f>IF(AND(AQ50&gt;0,COUNTIFS(UomConversion!$D$8:$D$500,MID(AN50,1,3)*1,UomConversion!$J$8:$J$500,1)&gt;1),TEXT(AQ50,"000")&amp;"."&amp;VLOOKUP(AQ50,uom_list,5,FALSE),"")</f>
        <v/>
      </c>
      <c r="AQ50" s="2147" t="str">
        <f t="shared" si="19"/>
        <v/>
      </c>
      <c r="AR50" s="2147" t="str">
        <f t="shared" si="20"/>
        <v/>
      </c>
      <c r="AS50" s="2147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147" t="str">
        <f t="shared" si="27"/>
        <v/>
      </c>
      <c r="AU50" s="214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147" t="str">
        <f t="shared" si="28"/>
        <v/>
      </c>
      <c r="AW50" s="2147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2147" t="str">
        <f t="shared" si="21"/>
        <v/>
      </c>
      <c r="AY50" s="2147" t="str">
        <f>IF(M50="","",SUMIFS($AX$8:AX50,$I$8:I50,I50))</f>
        <v/>
      </c>
      <c r="AZ50" s="2147" t="str">
        <f t="shared" si="22"/>
        <v/>
      </c>
      <c r="BA50" s="214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214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1439"/>
      <c r="B51" s="1768"/>
      <c r="C51" s="1785"/>
      <c r="D51" s="1466"/>
      <c r="E51" s="1466"/>
      <c r="F51" s="1779"/>
      <c r="I51" s="2139" t="str">
        <f t="shared" si="9"/>
        <v/>
      </c>
      <c r="J51" s="2140" t="str">
        <f t="shared" si="24"/>
        <v/>
      </c>
      <c r="K51" s="2141" t="str">
        <f t="shared" si="29"/>
        <v/>
      </c>
      <c r="L51" s="2142"/>
      <c r="M51" s="1399"/>
      <c r="N51" s="1400"/>
      <c r="O51" s="1400"/>
      <c r="P51" s="1401"/>
      <c r="Q51" s="1402"/>
      <c r="R51" s="1407"/>
      <c r="S51" s="2143" t="str">
        <f t="shared" si="0"/>
        <v/>
      </c>
      <c r="T51" s="1404"/>
      <c r="U51" s="2144" t="str">
        <f t="shared" si="11"/>
        <v/>
      </c>
      <c r="V51" s="2145" t="str">
        <f t="shared" si="25"/>
        <v/>
      </c>
      <c r="W51" s="1405"/>
      <c r="X51" s="2145" t="str">
        <f t="shared" si="26"/>
        <v/>
      </c>
      <c r="Y51" s="2146" t="str">
        <f t="shared" si="12"/>
        <v/>
      </c>
      <c r="Z51" s="1406"/>
      <c r="AA51" s="2147" t="str" cm="1">
        <f t="array" ref="AA51">IF(M51="","",IF(P51=AN51,1,Slookup(MID(AN51,1,3)*1,UomConversion!$D$8:$J$500,5,UomConversion!$E$8:$E$500,MID(P51,1,3)*1,UomConversion!$J$8:$J$500,1)))</f>
        <v/>
      </c>
      <c r="AB51" s="2147" t="str">
        <f t="shared" si="13"/>
        <v/>
      </c>
      <c r="AC51" s="2147" t="str">
        <f t="shared" si="14"/>
        <v/>
      </c>
      <c r="AD51" s="2147" t="str">
        <f t="shared" si="15"/>
        <v/>
      </c>
      <c r="AE51" s="2147" t="str">
        <f t="shared" si="16"/>
        <v/>
      </c>
      <c r="AF51" s="2147" t="str">
        <f>IF(M51="","",SUMIFS(ProductPrice!N71:N10043,ProductPrice!D71:D10043,I51,ProductPrice!G71:G10043,invoice_branch_id,ProductPrice!H71:H10043,invoice_price_type_id,ProductPrice!I71:I10043,MID(P51,1,3)*1,ProductPrice!Q71:Q10043,1,ProductPrice!T71:T10043,1))</f>
        <v/>
      </c>
      <c r="AG51" s="2147" t="str">
        <f t="shared" si="17"/>
        <v/>
      </c>
      <c r="AH51" s="2147" t="str">
        <f>IF(I51="","",IF(ISNA(MATCH(I51,IF(invoice_location_id=1,'[1]1_inventory_totals'!$C$8:$C$10000,IF(invoice_location_id=2,'[1]2_inventory_totals'!$C$8:$C$10000,0)),0)),0,IF(AV51&gt;0,1,0)))</f>
        <v/>
      </c>
      <c r="AI51" s="2147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2147" t="str">
        <f>IF(M51="","",IF(ISNA(MATCH(I51,'[1]1_group_totals'!$C$8:$C$10000)),0,IF(AW51&gt;0,1,0)))</f>
        <v/>
      </c>
      <c r="AK51" s="214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214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2147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2147" t="str">
        <f t="shared" si="18"/>
        <v/>
      </c>
      <c r="AO51" s="2147" t="str">
        <f>IF(OR(ISNA(MATCH(MID(AN51,1,3)*1,UomConversion!$D$8:$D$500,0)),M51=""),"",IF(AT51="","",AT51))</f>
        <v/>
      </c>
      <c r="AP51" s="2147" t="str">
        <f>IF(AND(AQ51&gt;0,COUNTIFS(UomConversion!$D$8:$D$500,MID(AN51,1,3)*1,UomConversion!$J$8:$J$500,1)&gt;1),TEXT(AQ51,"000")&amp;"."&amp;VLOOKUP(AQ51,uom_list,5,FALSE),"")</f>
        <v/>
      </c>
      <c r="AQ51" s="2147" t="str">
        <f t="shared" si="19"/>
        <v/>
      </c>
      <c r="AR51" s="2147" t="str">
        <f t="shared" si="20"/>
        <v/>
      </c>
      <c r="AS51" s="2147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147" t="str">
        <f t="shared" si="27"/>
        <v/>
      </c>
      <c r="AU51" s="214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147" t="str">
        <f t="shared" si="28"/>
        <v/>
      </c>
      <c r="AW51" s="2147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2147" t="str">
        <f t="shared" si="21"/>
        <v/>
      </c>
      <c r="AY51" s="2147" t="str">
        <f>IF(M51="","",SUMIFS($AX$8:AX51,$I$8:I51,I51))</f>
        <v/>
      </c>
      <c r="AZ51" s="2147" t="str">
        <f t="shared" si="22"/>
        <v/>
      </c>
      <c r="BA51" s="214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214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1439"/>
      <c r="B52" s="1768"/>
      <c r="C52" s="1785"/>
      <c r="D52" s="1466"/>
      <c r="E52" s="1466"/>
      <c r="F52" s="1779"/>
      <c r="I52" s="2139" t="str">
        <f t="shared" si="9"/>
        <v/>
      </c>
      <c r="J52" s="2140" t="str">
        <f t="shared" si="24"/>
        <v/>
      </c>
      <c r="K52" s="2141" t="str">
        <f t="shared" si="29"/>
        <v/>
      </c>
      <c r="L52" s="2142"/>
      <c r="M52" s="1399"/>
      <c r="N52" s="1400"/>
      <c r="O52" s="1400"/>
      <c r="P52" s="1401"/>
      <c r="Q52" s="1402"/>
      <c r="R52" s="1407"/>
      <c r="S52" s="2143" t="str">
        <f t="shared" si="0"/>
        <v/>
      </c>
      <c r="T52" s="1404"/>
      <c r="U52" s="2144" t="str">
        <f t="shared" si="11"/>
        <v/>
      </c>
      <c r="V52" s="2145" t="str">
        <f t="shared" si="25"/>
        <v/>
      </c>
      <c r="W52" s="1405"/>
      <c r="X52" s="2145" t="str">
        <f t="shared" si="26"/>
        <v/>
      </c>
      <c r="Y52" s="2146" t="str">
        <f t="shared" si="12"/>
        <v/>
      </c>
      <c r="Z52" s="1406"/>
      <c r="AA52" s="2147" t="str" cm="1">
        <f t="array" ref="AA52">IF(M52="","",IF(P52=AN52,1,Slookup(MID(AN52,1,3)*1,UomConversion!$D$8:$J$500,5,UomConversion!$E$8:$E$500,MID(P52,1,3)*1,UomConversion!$J$8:$J$500,1)))</f>
        <v/>
      </c>
      <c r="AB52" s="2147" t="str">
        <f t="shared" si="13"/>
        <v/>
      </c>
      <c r="AC52" s="2147" t="str">
        <f t="shared" si="14"/>
        <v/>
      </c>
      <c r="AD52" s="2147" t="str">
        <f t="shared" si="15"/>
        <v/>
      </c>
      <c r="AE52" s="2147" t="str">
        <f t="shared" si="16"/>
        <v/>
      </c>
      <c r="AF52" s="2147" t="str">
        <f>IF(M52="","",SUMIFS(ProductPrice!N72:N10044,ProductPrice!D72:D10044,I52,ProductPrice!G72:G10044,invoice_branch_id,ProductPrice!H72:H10044,invoice_price_type_id,ProductPrice!I72:I10044,MID(P52,1,3)*1,ProductPrice!Q72:Q10044,1,ProductPrice!T72:T10044,1))</f>
        <v/>
      </c>
      <c r="AG52" s="2147" t="str">
        <f t="shared" si="17"/>
        <v/>
      </c>
      <c r="AH52" s="2147" t="str">
        <f>IF(I52="","",IF(ISNA(MATCH(I52,IF(invoice_location_id=1,'[1]1_inventory_totals'!$C$8:$C$10000,IF(invoice_location_id=2,'[1]2_inventory_totals'!$C$8:$C$10000,0)),0)),0,IF(AV52&gt;0,1,0)))</f>
        <v/>
      </c>
      <c r="AI52" s="2147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2147" t="str">
        <f>IF(M52="","",IF(ISNA(MATCH(I52,'[1]1_group_totals'!$C$8:$C$10000)),0,IF(AW52&gt;0,1,0)))</f>
        <v/>
      </c>
      <c r="AK52" s="214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214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2147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2147" t="str">
        <f t="shared" si="18"/>
        <v/>
      </c>
      <c r="AO52" s="2147" t="str">
        <f>IF(OR(ISNA(MATCH(MID(AN52,1,3)*1,UomConversion!$D$8:$D$500,0)),M52=""),"",IF(AT52="","",AT52))</f>
        <v/>
      </c>
      <c r="AP52" s="2147" t="str">
        <f>IF(AND(AQ52&gt;0,COUNTIFS(UomConversion!$D$8:$D$500,MID(AN52,1,3)*1,UomConversion!$J$8:$J$500,1)&gt;1),TEXT(AQ52,"000")&amp;"."&amp;VLOOKUP(AQ52,uom_list,5,FALSE),"")</f>
        <v/>
      </c>
      <c r="AQ52" s="2147" t="str">
        <f t="shared" si="19"/>
        <v/>
      </c>
      <c r="AR52" s="2147" t="str">
        <f t="shared" si="20"/>
        <v/>
      </c>
      <c r="AS52" s="2147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147" t="str">
        <f t="shared" si="27"/>
        <v/>
      </c>
      <c r="AU52" s="214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147" t="str">
        <f t="shared" si="28"/>
        <v/>
      </c>
      <c r="AW52" s="2147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2147" t="str">
        <f t="shared" si="21"/>
        <v/>
      </c>
      <c r="AY52" s="2147" t="str">
        <f>IF(M52="","",SUMIFS($AX$8:AX52,$I$8:I52,I52))</f>
        <v/>
      </c>
      <c r="AZ52" s="2147" t="str">
        <f t="shared" si="22"/>
        <v/>
      </c>
      <c r="BA52" s="214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214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1439"/>
      <c r="B53" s="1773"/>
      <c r="C53" s="1785"/>
      <c r="D53" s="1466"/>
      <c r="E53" s="1466"/>
      <c r="F53" s="1774"/>
      <c r="G53" s="1457"/>
      <c r="H53" s="1467"/>
      <c r="I53" s="2139" t="str">
        <f t="shared" si="9"/>
        <v/>
      </c>
      <c r="J53" s="2140" t="str">
        <f t="shared" si="24"/>
        <v/>
      </c>
      <c r="K53" s="2141" t="str">
        <f t="shared" si="29"/>
        <v/>
      </c>
      <c r="L53" s="2142"/>
      <c r="M53" s="1399"/>
      <c r="N53" s="1400"/>
      <c r="O53" s="1400"/>
      <c r="P53" s="1401"/>
      <c r="Q53" s="1402"/>
      <c r="R53" s="1407"/>
      <c r="S53" s="2143" t="str">
        <f t="shared" si="0"/>
        <v/>
      </c>
      <c r="T53" s="1404"/>
      <c r="U53" s="2144" t="str">
        <f t="shared" si="11"/>
        <v/>
      </c>
      <c r="V53" s="2145" t="str">
        <f t="shared" si="25"/>
        <v/>
      </c>
      <c r="W53" s="1405"/>
      <c r="X53" s="2145" t="str">
        <f t="shared" si="26"/>
        <v/>
      </c>
      <c r="Y53" s="2146" t="str">
        <f t="shared" si="12"/>
        <v/>
      </c>
      <c r="Z53" s="1406"/>
      <c r="AA53" s="2147" t="str" cm="1">
        <f t="array" ref="AA53">IF(M53="","",IF(P53=AN53,1,Slookup(MID(AN53,1,3)*1,UomConversion!$D$8:$J$500,5,UomConversion!$E$8:$E$500,MID(P53,1,3)*1,UomConversion!$J$8:$J$500,1)))</f>
        <v/>
      </c>
      <c r="AB53" s="2147" t="str">
        <f t="shared" si="13"/>
        <v/>
      </c>
      <c r="AC53" s="2147" t="str">
        <f t="shared" si="14"/>
        <v/>
      </c>
      <c r="AD53" s="2147" t="str">
        <f t="shared" si="15"/>
        <v/>
      </c>
      <c r="AE53" s="2147" t="str">
        <f t="shared" si="16"/>
        <v/>
      </c>
      <c r="AF53" s="2147" t="str">
        <f>IF(M53="","",SUMIFS(ProductPrice!N73:N10045,ProductPrice!D73:D10045,I53,ProductPrice!G73:G10045,invoice_branch_id,ProductPrice!H73:H10045,invoice_price_type_id,ProductPrice!I73:I10045,MID(P53,1,3)*1,ProductPrice!Q73:Q10045,1,ProductPrice!T73:T10045,1))</f>
        <v/>
      </c>
      <c r="AG53" s="2147" t="str">
        <f t="shared" si="17"/>
        <v/>
      </c>
      <c r="AH53" s="2147" t="str">
        <f>IF(I53="","",IF(ISNA(MATCH(I53,IF(invoice_location_id=1,'[1]1_inventory_totals'!$C$8:$C$10000,IF(invoice_location_id=2,'[1]2_inventory_totals'!$C$8:$C$10000,0)),0)),0,IF(AV53&gt;0,1,0)))</f>
        <v/>
      </c>
      <c r="AI53" s="2147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2147" t="str">
        <f>IF(M53="","",IF(ISNA(MATCH(I53,'[1]1_group_totals'!$C$8:$C$10000)),0,IF(AW53&gt;0,1,0)))</f>
        <v/>
      </c>
      <c r="AK53" s="214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214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2147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2147" t="str">
        <f t="shared" si="18"/>
        <v/>
      </c>
      <c r="AO53" s="2147" t="str">
        <f>IF(OR(ISNA(MATCH(MID(AN53,1,3)*1,UomConversion!$D$8:$D$500,0)),M53=""),"",IF(AT53="","",AT53))</f>
        <v/>
      </c>
      <c r="AP53" s="2147" t="str">
        <f>IF(AND(AQ53&gt;0,COUNTIFS(UomConversion!$D$8:$D$500,MID(AN53,1,3)*1,UomConversion!$J$8:$J$500,1)&gt;1),TEXT(AQ53,"000")&amp;"."&amp;VLOOKUP(AQ53,uom_list,5,FALSE),"")</f>
        <v/>
      </c>
      <c r="AQ53" s="2147" t="str">
        <f t="shared" si="19"/>
        <v/>
      </c>
      <c r="AR53" s="2147" t="str">
        <f t="shared" si="20"/>
        <v/>
      </c>
      <c r="AS53" s="2147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147" t="str">
        <f t="shared" si="27"/>
        <v/>
      </c>
      <c r="AU53" s="214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147" t="str">
        <f t="shared" si="28"/>
        <v/>
      </c>
      <c r="AW53" s="2147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2147" t="str">
        <f t="shared" si="21"/>
        <v/>
      </c>
      <c r="AY53" s="2147" t="str">
        <f>IF(M53="","",SUMIFS($AX$8:AX53,$I$8:I53,I53))</f>
        <v/>
      </c>
      <c r="AZ53" s="2147" t="str">
        <f t="shared" si="22"/>
        <v/>
      </c>
      <c r="BA53" s="214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214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1439"/>
      <c r="B54" s="1773"/>
      <c r="C54" s="1785"/>
      <c r="D54" s="1466"/>
      <c r="E54" s="1466"/>
      <c r="F54" s="1774"/>
      <c r="G54" s="1457"/>
      <c r="H54" s="1467"/>
      <c r="I54" s="2139" t="str">
        <f t="shared" si="9"/>
        <v/>
      </c>
      <c r="J54" s="2140" t="str">
        <f t="shared" si="24"/>
        <v/>
      </c>
      <c r="K54" s="2141" t="str">
        <f t="shared" si="29"/>
        <v/>
      </c>
      <c r="L54" s="2142"/>
      <c r="M54" s="1399"/>
      <c r="N54" s="1400"/>
      <c r="O54" s="1400"/>
      <c r="P54" s="1401"/>
      <c r="Q54" s="1402"/>
      <c r="R54" s="1407"/>
      <c r="S54" s="2143" t="str">
        <f t="shared" si="0"/>
        <v/>
      </c>
      <c r="T54" s="1404"/>
      <c r="U54" s="2144" t="str">
        <f t="shared" si="11"/>
        <v/>
      </c>
      <c r="V54" s="2145" t="str">
        <f t="shared" si="25"/>
        <v/>
      </c>
      <c r="W54" s="1405"/>
      <c r="X54" s="2145" t="str">
        <f t="shared" si="26"/>
        <v/>
      </c>
      <c r="Y54" s="2146" t="str">
        <f t="shared" si="12"/>
        <v/>
      </c>
      <c r="Z54" s="1406"/>
      <c r="AA54" s="2147" t="str" cm="1">
        <f t="array" ref="AA54">IF(M54="","",IF(P54=AN54,1,Slookup(MID(AN54,1,3)*1,UomConversion!$D$8:$J$500,5,UomConversion!$E$8:$E$500,MID(P54,1,3)*1,UomConversion!$J$8:$J$500,1)))</f>
        <v/>
      </c>
      <c r="AB54" s="2147" t="str">
        <f t="shared" si="13"/>
        <v/>
      </c>
      <c r="AC54" s="2147" t="str">
        <f t="shared" si="14"/>
        <v/>
      </c>
      <c r="AD54" s="2147" t="str">
        <f t="shared" si="15"/>
        <v/>
      </c>
      <c r="AE54" s="2147" t="str">
        <f t="shared" si="16"/>
        <v/>
      </c>
      <c r="AF54" s="2147" t="str">
        <f>IF(M54="","",SUMIFS(ProductPrice!N74:N10046,ProductPrice!D74:D10046,I54,ProductPrice!G74:G10046,invoice_branch_id,ProductPrice!H74:H10046,invoice_price_type_id,ProductPrice!I74:I10046,MID(P54,1,3)*1,ProductPrice!Q74:Q10046,1,ProductPrice!T74:T10046,1))</f>
        <v/>
      </c>
      <c r="AG54" s="2147" t="str">
        <f t="shared" si="17"/>
        <v/>
      </c>
      <c r="AH54" s="2147" t="str">
        <f>IF(I54="","",IF(ISNA(MATCH(I54,IF(invoice_location_id=1,'[1]1_inventory_totals'!$C$8:$C$10000,IF(invoice_location_id=2,'[1]2_inventory_totals'!$C$8:$C$10000,0)),0)),0,IF(AV54&gt;0,1,0)))</f>
        <v/>
      </c>
      <c r="AI54" s="2147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2147" t="str">
        <f>IF(M54="","",IF(ISNA(MATCH(I54,'[1]1_group_totals'!$C$8:$C$10000)),0,IF(AW54&gt;0,1,0)))</f>
        <v/>
      </c>
      <c r="AK54" s="214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214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2147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2147" t="str">
        <f t="shared" si="18"/>
        <v/>
      </c>
      <c r="AO54" s="2147" t="str">
        <f>IF(OR(ISNA(MATCH(MID(AN54,1,3)*1,UomConversion!$D$8:$D$500,0)),M54=""),"",IF(AT54="","",AT54))</f>
        <v/>
      </c>
      <c r="AP54" s="2147" t="str">
        <f>IF(AND(AQ54&gt;0,COUNTIFS(UomConversion!$D$8:$D$500,MID(AN54,1,3)*1,UomConversion!$J$8:$J$500,1)&gt;1),TEXT(AQ54,"000")&amp;"."&amp;VLOOKUP(AQ54,uom_list,5,FALSE),"")</f>
        <v/>
      </c>
      <c r="AQ54" s="2147" t="str">
        <f t="shared" si="19"/>
        <v/>
      </c>
      <c r="AR54" s="2147" t="str">
        <f t="shared" si="20"/>
        <v/>
      </c>
      <c r="AS54" s="2147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147" t="str">
        <f t="shared" si="27"/>
        <v/>
      </c>
      <c r="AU54" s="214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147" t="str">
        <f t="shared" si="28"/>
        <v/>
      </c>
      <c r="AW54" s="2147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2147" t="str">
        <f t="shared" si="21"/>
        <v/>
      </c>
      <c r="AY54" s="2147" t="str">
        <f>IF(M54="","",SUMIFS($AX$8:AX54,$I$8:I54,I54))</f>
        <v/>
      </c>
      <c r="AZ54" s="2147" t="str">
        <f t="shared" si="22"/>
        <v/>
      </c>
      <c r="BA54" s="214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214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1439"/>
      <c r="B55" s="1773"/>
      <c r="C55" s="1785"/>
      <c r="D55" s="1466"/>
      <c r="E55" s="1466"/>
      <c r="F55" s="1774"/>
      <c r="G55" s="1457"/>
      <c r="H55" s="1467"/>
      <c r="I55" s="2139" t="str">
        <f t="shared" si="9"/>
        <v/>
      </c>
      <c r="J55" s="2140" t="str">
        <f t="shared" si="24"/>
        <v/>
      </c>
      <c r="K55" s="2141" t="str">
        <f t="shared" si="29"/>
        <v/>
      </c>
      <c r="L55" s="2142"/>
      <c r="M55" s="1399"/>
      <c r="N55" s="1400"/>
      <c r="O55" s="1400"/>
      <c r="P55" s="1401"/>
      <c r="Q55" s="1402"/>
      <c r="R55" s="1407"/>
      <c r="S55" s="2143" t="str">
        <f t="shared" si="0"/>
        <v/>
      </c>
      <c r="T55" s="1404"/>
      <c r="U55" s="2144" t="str">
        <f t="shared" si="11"/>
        <v/>
      </c>
      <c r="V55" s="2145" t="str">
        <f t="shared" si="25"/>
        <v/>
      </c>
      <c r="W55" s="1405"/>
      <c r="X55" s="2145" t="str">
        <f t="shared" si="26"/>
        <v/>
      </c>
      <c r="Y55" s="2146" t="str">
        <f t="shared" si="12"/>
        <v/>
      </c>
      <c r="Z55" s="1406"/>
      <c r="AA55" s="2147" t="str" cm="1">
        <f t="array" ref="AA55">IF(M55="","",IF(P55=AN55,1,Slookup(MID(AN55,1,3)*1,UomConversion!$D$8:$J$500,5,UomConversion!$E$8:$E$500,MID(P55,1,3)*1,UomConversion!$J$8:$J$500,1)))</f>
        <v/>
      </c>
      <c r="AB55" s="2147" t="str">
        <f t="shared" si="13"/>
        <v/>
      </c>
      <c r="AC55" s="2147" t="str">
        <f t="shared" si="14"/>
        <v/>
      </c>
      <c r="AD55" s="2147" t="str">
        <f t="shared" si="15"/>
        <v/>
      </c>
      <c r="AE55" s="2147" t="str">
        <f t="shared" si="16"/>
        <v/>
      </c>
      <c r="AF55" s="2147" t="str">
        <f>IF(M55="","",SUMIFS(ProductPrice!N75:N10047,ProductPrice!D75:D10047,I55,ProductPrice!G75:G10047,invoice_branch_id,ProductPrice!H75:H10047,invoice_price_type_id,ProductPrice!I75:I10047,MID(P55,1,3)*1,ProductPrice!Q75:Q10047,1,ProductPrice!T75:T10047,1))</f>
        <v/>
      </c>
      <c r="AG55" s="2147" t="str">
        <f t="shared" si="17"/>
        <v/>
      </c>
      <c r="AH55" s="2147" t="str">
        <f>IF(I55="","",IF(ISNA(MATCH(I55,IF(invoice_location_id=1,'[1]1_inventory_totals'!$C$8:$C$10000,IF(invoice_location_id=2,'[1]2_inventory_totals'!$C$8:$C$10000,0)),0)),0,IF(AV55&gt;0,1,0)))</f>
        <v/>
      </c>
      <c r="AI55" s="2147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2147" t="str">
        <f>IF(M55="","",IF(ISNA(MATCH(I55,'[1]1_group_totals'!$C$8:$C$10000)),0,IF(AW55&gt;0,1,0)))</f>
        <v/>
      </c>
      <c r="AK55" s="214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214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2147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2147" t="str">
        <f t="shared" si="18"/>
        <v/>
      </c>
      <c r="AO55" s="2147" t="str">
        <f>IF(OR(ISNA(MATCH(MID(AN55,1,3)*1,UomConversion!$D$8:$D$500,0)),M55=""),"",IF(AT55="","",AT55))</f>
        <v/>
      </c>
      <c r="AP55" s="2147" t="str">
        <f>IF(AND(AQ55&gt;0,COUNTIFS(UomConversion!$D$8:$D$500,MID(AN55,1,3)*1,UomConversion!$J$8:$J$500,1)&gt;1),TEXT(AQ55,"000")&amp;"."&amp;VLOOKUP(AQ55,uom_list,5,FALSE),"")</f>
        <v/>
      </c>
      <c r="AQ55" s="2147" t="str">
        <f t="shared" si="19"/>
        <v/>
      </c>
      <c r="AR55" s="2147" t="str">
        <f t="shared" si="20"/>
        <v/>
      </c>
      <c r="AS55" s="2147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147" t="str">
        <f t="shared" si="27"/>
        <v/>
      </c>
      <c r="AU55" s="214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147" t="str">
        <f t="shared" si="28"/>
        <v/>
      </c>
      <c r="AW55" s="2147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2147" t="str">
        <f t="shared" si="21"/>
        <v/>
      </c>
      <c r="AY55" s="2147" t="str">
        <f>IF(M55="","",SUMIFS($AX$8:AX55,$I$8:I55,I55))</f>
        <v/>
      </c>
      <c r="AZ55" s="2147" t="str">
        <f t="shared" si="22"/>
        <v/>
      </c>
      <c r="BA55" s="214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214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1439"/>
      <c r="B56" s="1773"/>
      <c r="C56" s="1785"/>
      <c r="D56" s="1466"/>
      <c r="E56" s="1466"/>
      <c r="F56" s="1774"/>
      <c r="G56" s="1457"/>
      <c r="H56" s="1467"/>
      <c r="I56" s="2139" t="str">
        <f t="shared" si="9"/>
        <v/>
      </c>
      <c r="J56" s="2140" t="str">
        <f t="shared" si="24"/>
        <v/>
      </c>
      <c r="K56" s="2141" t="str">
        <f t="shared" si="29"/>
        <v/>
      </c>
      <c r="L56" s="2142"/>
      <c r="M56" s="1399"/>
      <c r="N56" s="1400"/>
      <c r="O56" s="1400"/>
      <c r="P56" s="1401"/>
      <c r="Q56" s="1402"/>
      <c r="R56" s="1407"/>
      <c r="S56" s="2143" t="str">
        <f t="shared" si="0"/>
        <v/>
      </c>
      <c r="T56" s="1404"/>
      <c r="U56" s="2144" t="str">
        <f t="shared" si="11"/>
        <v/>
      </c>
      <c r="V56" s="2145" t="str">
        <f t="shared" si="25"/>
        <v/>
      </c>
      <c r="W56" s="1405"/>
      <c r="X56" s="2145" t="str">
        <f t="shared" si="26"/>
        <v/>
      </c>
      <c r="Y56" s="2146" t="str">
        <f t="shared" si="12"/>
        <v/>
      </c>
      <c r="Z56" s="1406"/>
      <c r="AA56" s="2147" t="str" cm="1">
        <f t="array" ref="AA56">IF(M56="","",IF(P56=AN56,1,Slookup(MID(AN56,1,3)*1,UomConversion!$D$8:$J$500,5,UomConversion!$E$8:$E$500,MID(P56,1,3)*1,UomConversion!$J$8:$J$500,1)))</f>
        <v/>
      </c>
      <c r="AB56" s="2147" t="str">
        <f t="shared" si="13"/>
        <v/>
      </c>
      <c r="AC56" s="2147" t="str">
        <f t="shared" si="14"/>
        <v/>
      </c>
      <c r="AD56" s="2147" t="str">
        <f t="shared" si="15"/>
        <v/>
      </c>
      <c r="AE56" s="2147" t="str">
        <f t="shared" si="16"/>
        <v/>
      </c>
      <c r="AF56" s="2147" t="str">
        <f>IF(M56="","",SUMIFS(ProductPrice!N76:N10048,ProductPrice!D76:D10048,I56,ProductPrice!G76:G10048,invoice_branch_id,ProductPrice!H76:H10048,invoice_price_type_id,ProductPrice!I76:I10048,MID(P56,1,3)*1,ProductPrice!Q76:Q10048,1,ProductPrice!T76:T10048,1))</f>
        <v/>
      </c>
      <c r="AG56" s="2147" t="str">
        <f t="shared" si="17"/>
        <v/>
      </c>
      <c r="AH56" s="2147" t="str">
        <f>IF(I56="","",IF(ISNA(MATCH(I56,IF(invoice_location_id=1,'[1]1_inventory_totals'!$C$8:$C$10000,IF(invoice_location_id=2,'[1]2_inventory_totals'!$C$8:$C$10000,0)),0)),0,IF(AV56&gt;0,1,0)))</f>
        <v/>
      </c>
      <c r="AI56" s="2147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2147" t="str">
        <f>IF(M56="","",IF(ISNA(MATCH(I56,'[1]1_group_totals'!$C$8:$C$10000)),0,IF(AW56&gt;0,1,0)))</f>
        <v/>
      </c>
      <c r="AK56" s="214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214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2147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2147" t="str">
        <f t="shared" si="18"/>
        <v/>
      </c>
      <c r="AO56" s="2147" t="str">
        <f>IF(OR(ISNA(MATCH(MID(AN56,1,3)*1,UomConversion!$D$8:$D$500,0)),M56=""),"",IF(AT56="","",AT56))</f>
        <v/>
      </c>
      <c r="AP56" s="2147" t="str">
        <f>IF(AND(AQ56&gt;0,COUNTIFS(UomConversion!$D$8:$D$500,MID(AN56,1,3)*1,UomConversion!$J$8:$J$500,1)&gt;1),TEXT(AQ56,"000")&amp;"."&amp;VLOOKUP(AQ56,uom_list,5,FALSE),"")</f>
        <v/>
      </c>
      <c r="AQ56" s="2147" t="str">
        <f t="shared" si="19"/>
        <v/>
      </c>
      <c r="AR56" s="2147" t="str">
        <f t="shared" si="20"/>
        <v/>
      </c>
      <c r="AS56" s="2147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147" t="str">
        <f t="shared" si="27"/>
        <v/>
      </c>
      <c r="AU56" s="214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147" t="str">
        <f t="shared" si="28"/>
        <v/>
      </c>
      <c r="AW56" s="2147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2147" t="str">
        <f t="shared" si="21"/>
        <v/>
      </c>
      <c r="AY56" s="2147" t="str">
        <f>IF(M56="","",SUMIFS($AX$8:AX56,$I$8:I56,I56))</f>
        <v/>
      </c>
      <c r="AZ56" s="2147" t="str">
        <f t="shared" si="22"/>
        <v/>
      </c>
      <c r="BA56" s="214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214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1439"/>
      <c r="B57" s="1773"/>
      <c r="C57" s="1466"/>
      <c r="D57" s="1466"/>
      <c r="E57" s="1466"/>
      <c r="F57" s="1774"/>
      <c r="G57" s="1457"/>
      <c r="H57" s="1467"/>
      <c r="I57" s="2139" t="str">
        <f t="shared" si="9"/>
        <v/>
      </c>
      <c r="J57" s="2140" t="str">
        <f t="shared" si="24"/>
        <v/>
      </c>
      <c r="K57" s="2141" t="str">
        <f t="shared" si="29"/>
        <v/>
      </c>
      <c r="L57" s="2142"/>
      <c r="M57" s="1399"/>
      <c r="N57" s="1400"/>
      <c r="O57" s="1400"/>
      <c r="P57" s="1401"/>
      <c r="Q57" s="1402"/>
      <c r="R57" s="1407"/>
      <c r="S57" s="2143" t="str">
        <f t="shared" si="0"/>
        <v/>
      </c>
      <c r="T57" s="1404"/>
      <c r="U57" s="2144" t="str">
        <f t="shared" si="11"/>
        <v/>
      </c>
      <c r="V57" s="2145" t="str">
        <f t="shared" si="25"/>
        <v/>
      </c>
      <c r="W57" s="1405"/>
      <c r="X57" s="2145" t="str">
        <f t="shared" si="26"/>
        <v/>
      </c>
      <c r="Y57" s="2146" t="str">
        <f t="shared" si="12"/>
        <v/>
      </c>
      <c r="Z57" s="1406"/>
      <c r="AA57" s="2147" t="str" cm="1">
        <f t="array" ref="AA57">IF(M57="","",IF(P57=AN57,1,Slookup(MID(AN57,1,3)*1,UomConversion!$D$8:$J$500,5,UomConversion!$E$8:$E$500,MID(P57,1,3)*1,UomConversion!$J$8:$J$500,1)))</f>
        <v/>
      </c>
      <c r="AB57" s="2147" t="str">
        <f t="shared" si="13"/>
        <v/>
      </c>
      <c r="AC57" s="2147" t="str">
        <f t="shared" si="14"/>
        <v/>
      </c>
      <c r="AD57" s="2147" t="str">
        <f t="shared" si="15"/>
        <v/>
      </c>
      <c r="AE57" s="2147" t="str">
        <f t="shared" si="16"/>
        <v/>
      </c>
      <c r="AF57" s="2147" t="str">
        <f>IF(M57="","",SUMIFS(ProductPrice!N77:N10049,ProductPrice!D77:D10049,I57,ProductPrice!G77:G10049,invoice_branch_id,ProductPrice!H77:H10049,invoice_price_type_id,ProductPrice!I77:I10049,MID(P57,1,3)*1,ProductPrice!Q77:Q10049,1,ProductPrice!T77:T10049,1))</f>
        <v/>
      </c>
      <c r="AG57" s="2147" t="str">
        <f t="shared" si="17"/>
        <v/>
      </c>
      <c r="AH57" s="2147" t="str">
        <f>IF(I57="","",IF(ISNA(MATCH(I57,IF(invoice_location_id=1,'[1]1_inventory_totals'!$C$8:$C$10000,IF(invoice_location_id=2,'[1]2_inventory_totals'!$C$8:$C$10000,0)),0)),0,IF(AV57&gt;0,1,0)))</f>
        <v/>
      </c>
      <c r="AI57" s="2147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2147" t="str">
        <f>IF(M57="","",IF(ISNA(MATCH(I57,'[1]1_group_totals'!$C$8:$C$10000)),0,IF(AW57&gt;0,1,0)))</f>
        <v/>
      </c>
      <c r="AK57" s="214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214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2147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2147" t="str">
        <f t="shared" si="18"/>
        <v/>
      </c>
      <c r="AO57" s="2147" t="str">
        <f>IF(OR(ISNA(MATCH(MID(AN57,1,3)*1,UomConversion!$D$8:$D$500,0)),M57=""),"",IF(AT57="","",AT57))</f>
        <v/>
      </c>
      <c r="AP57" s="2147" t="str">
        <f>IF(AND(AQ57&gt;0,COUNTIFS(UomConversion!$D$8:$D$500,MID(AN57,1,3)*1,UomConversion!$J$8:$J$500,1)&gt;1),TEXT(AQ57,"000")&amp;"."&amp;VLOOKUP(AQ57,uom_list,5,FALSE),"")</f>
        <v/>
      </c>
      <c r="AQ57" s="2147" t="str">
        <f t="shared" si="19"/>
        <v/>
      </c>
      <c r="AR57" s="2147" t="str">
        <f t="shared" si="20"/>
        <v/>
      </c>
      <c r="AS57" s="2147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147" t="str">
        <f t="shared" si="27"/>
        <v/>
      </c>
      <c r="AU57" s="214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147" t="str">
        <f t="shared" si="28"/>
        <v/>
      </c>
      <c r="AW57" s="2147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2147" t="str">
        <f t="shared" si="21"/>
        <v/>
      </c>
      <c r="AY57" s="2147" t="str">
        <f>IF(M57="","",SUMIFS($AX$8:AX57,$I$8:I57,I57))</f>
        <v/>
      </c>
      <c r="AZ57" s="2147" t="str">
        <f t="shared" si="22"/>
        <v/>
      </c>
      <c r="BA57" s="214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214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1439"/>
      <c r="B58" s="1773"/>
      <c r="C58" s="1466"/>
      <c r="D58" s="1466"/>
      <c r="E58" s="1466"/>
      <c r="F58" s="1774"/>
      <c r="G58" s="1457"/>
      <c r="H58" s="1467"/>
      <c r="I58" s="2139" t="str">
        <f t="shared" si="9"/>
        <v/>
      </c>
      <c r="J58" s="2140" t="str">
        <f t="shared" si="24"/>
        <v/>
      </c>
      <c r="K58" s="2141" t="str">
        <f t="shared" si="29"/>
        <v/>
      </c>
      <c r="L58" s="2142"/>
      <c r="M58" s="1399"/>
      <c r="N58" s="1400"/>
      <c r="O58" s="1400"/>
      <c r="P58" s="1401"/>
      <c r="Q58" s="1402"/>
      <c r="R58" s="1407"/>
      <c r="S58" s="2143" t="str">
        <f t="shared" si="0"/>
        <v/>
      </c>
      <c r="T58" s="1404"/>
      <c r="U58" s="2144" t="str">
        <f t="shared" si="11"/>
        <v/>
      </c>
      <c r="V58" s="2145" t="str">
        <f t="shared" si="25"/>
        <v/>
      </c>
      <c r="W58" s="1405"/>
      <c r="X58" s="2145" t="str">
        <f t="shared" si="26"/>
        <v/>
      </c>
      <c r="Y58" s="2146" t="str">
        <f t="shared" si="12"/>
        <v/>
      </c>
      <c r="Z58" s="1406"/>
      <c r="AA58" s="2147" t="str" cm="1">
        <f t="array" ref="AA58">IF(M58="","",IF(P58=AN58,1,Slookup(MID(AN58,1,3)*1,UomConversion!$D$8:$J$500,5,UomConversion!$E$8:$E$500,MID(P58,1,3)*1,UomConversion!$J$8:$J$500,1)))</f>
        <v/>
      </c>
      <c r="AB58" s="2147" t="str">
        <f t="shared" si="13"/>
        <v/>
      </c>
      <c r="AC58" s="2147" t="str">
        <f t="shared" si="14"/>
        <v/>
      </c>
      <c r="AD58" s="2147" t="str">
        <f t="shared" si="15"/>
        <v/>
      </c>
      <c r="AE58" s="2147" t="str">
        <f t="shared" si="16"/>
        <v/>
      </c>
      <c r="AF58" s="2147" t="str">
        <f>IF(M58="","",SUMIFS(ProductPrice!N78:N10050,ProductPrice!D78:D10050,I58,ProductPrice!G78:G10050,invoice_branch_id,ProductPrice!H78:H10050,invoice_price_type_id,ProductPrice!I78:I10050,MID(P58,1,3)*1,ProductPrice!Q78:Q10050,1,ProductPrice!T78:T10050,1))</f>
        <v/>
      </c>
      <c r="AG58" s="2147" t="str">
        <f t="shared" si="17"/>
        <v/>
      </c>
      <c r="AH58" s="2147" t="str">
        <f>IF(I58="","",IF(ISNA(MATCH(I58,IF(invoice_location_id=1,'[1]1_inventory_totals'!$C$8:$C$10000,IF(invoice_location_id=2,'[1]2_inventory_totals'!$C$8:$C$10000,0)),0)),0,IF(AV58&gt;0,1,0)))</f>
        <v/>
      </c>
      <c r="AI58" s="2147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2147" t="str">
        <f>IF(M58="","",IF(ISNA(MATCH(I58,'[1]1_group_totals'!$C$8:$C$10000)),0,IF(AW58&gt;0,1,0)))</f>
        <v/>
      </c>
      <c r="AK58" s="214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214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2147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2147" t="str">
        <f t="shared" si="18"/>
        <v/>
      </c>
      <c r="AO58" s="2147" t="str">
        <f>IF(OR(ISNA(MATCH(MID(AN58,1,3)*1,UomConversion!$D$8:$D$500,0)),M58=""),"",IF(AT58="","",AT58))</f>
        <v/>
      </c>
      <c r="AP58" s="2147" t="str">
        <f>IF(AND(AQ58&gt;0,COUNTIFS(UomConversion!$D$8:$D$500,MID(AN58,1,3)*1,UomConversion!$J$8:$J$500,1)&gt;1),TEXT(AQ58,"000")&amp;"."&amp;VLOOKUP(AQ58,uom_list,5,FALSE),"")</f>
        <v/>
      </c>
      <c r="AQ58" s="2147" t="str">
        <f t="shared" si="19"/>
        <v/>
      </c>
      <c r="AR58" s="2147" t="str">
        <f t="shared" si="20"/>
        <v/>
      </c>
      <c r="AS58" s="2147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147" t="str">
        <f t="shared" si="27"/>
        <v/>
      </c>
      <c r="AU58" s="214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147" t="str">
        <f t="shared" si="28"/>
        <v/>
      </c>
      <c r="AW58" s="2147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2147" t="str">
        <f t="shared" si="21"/>
        <v/>
      </c>
      <c r="AY58" s="2147" t="str">
        <f>IF(M58="","",SUMIFS($AX$8:AX58,$I$8:I58,I58))</f>
        <v/>
      </c>
      <c r="AZ58" s="2147" t="str">
        <f t="shared" si="22"/>
        <v/>
      </c>
      <c r="BA58" s="214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214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1439"/>
      <c r="B59" s="1773"/>
      <c r="C59" s="1466"/>
      <c r="D59" s="1466"/>
      <c r="E59" s="1466"/>
      <c r="F59" s="1774"/>
      <c r="G59" s="1457"/>
      <c r="H59" s="1467"/>
      <c r="I59" s="2139" t="str">
        <f t="shared" si="9"/>
        <v/>
      </c>
      <c r="J59" s="2140" t="str">
        <f t="shared" si="24"/>
        <v/>
      </c>
      <c r="K59" s="2141" t="str">
        <f t="shared" si="29"/>
        <v/>
      </c>
      <c r="L59" s="2142"/>
      <c r="M59" s="1399"/>
      <c r="N59" s="1400"/>
      <c r="O59" s="1400"/>
      <c r="P59" s="1401"/>
      <c r="Q59" s="1402"/>
      <c r="R59" s="1407"/>
      <c r="S59" s="2143" t="str">
        <f t="shared" si="0"/>
        <v/>
      </c>
      <c r="T59" s="1404"/>
      <c r="U59" s="2144" t="str">
        <f t="shared" si="11"/>
        <v/>
      </c>
      <c r="V59" s="2145" t="str">
        <f t="shared" si="25"/>
        <v/>
      </c>
      <c r="W59" s="1405"/>
      <c r="X59" s="2145" t="str">
        <f t="shared" si="26"/>
        <v/>
      </c>
      <c r="Y59" s="2146" t="str">
        <f t="shared" si="12"/>
        <v/>
      </c>
      <c r="Z59" s="1406"/>
      <c r="AA59" s="2147" t="str" cm="1">
        <f t="array" ref="AA59">IF(M59="","",IF(P59=AN59,1,Slookup(MID(AN59,1,3)*1,UomConversion!$D$8:$J$500,5,UomConversion!$E$8:$E$500,MID(P59,1,3)*1,UomConversion!$J$8:$J$500,1)))</f>
        <v/>
      </c>
      <c r="AB59" s="2147" t="str">
        <f t="shared" si="13"/>
        <v/>
      </c>
      <c r="AC59" s="2147" t="str">
        <f t="shared" si="14"/>
        <v/>
      </c>
      <c r="AD59" s="2147" t="str">
        <f t="shared" si="15"/>
        <v/>
      </c>
      <c r="AE59" s="2147" t="str">
        <f t="shared" si="16"/>
        <v/>
      </c>
      <c r="AF59" s="2147" t="str">
        <f>IF(M59="","",SUMIFS(ProductPrice!N79:N10051,ProductPrice!D79:D10051,I59,ProductPrice!G79:G10051,invoice_branch_id,ProductPrice!H79:H10051,invoice_price_type_id,ProductPrice!I79:I10051,MID(P59,1,3)*1,ProductPrice!Q79:Q10051,1,ProductPrice!T79:T10051,1))</f>
        <v/>
      </c>
      <c r="AG59" s="2147" t="str">
        <f t="shared" si="17"/>
        <v/>
      </c>
      <c r="AH59" s="2147" t="str">
        <f>IF(I59="","",IF(ISNA(MATCH(I59,IF(invoice_location_id=1,'[1]1_inventory_totals'!$C$8:$C$10000,IF(invoice_location_id=2,'[1]2_inventory_totals'!$C$8:$C$10000,0)),0)),0,IF(AV59&gt;0,1,0)))</f>
        <v/>
      </c>
      <c r="AI59" s="2147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2147" t="str">
        <f>IF(M59="","",IF(ISNA(MATCH(I59,'[1]1_group_totals'!$C$8:$C$10000)),0,IF(AW59&gt;0,1,0)))</f>
        <v/>
      </c>
      <c r="AK59" s="214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214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2147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2147" t="str">
        <f t="shared" si="18"/>
        <v/>
      </c>
      <c r="AO59" s="2147" t="str">
        <f>IF(OR(ISNA(MATCH(MID(AN59,1,3)*1,UomConversion!$D$8:$D$500,0)),M59=""),"",IF(AT59="","",AT59))</f>
        <v/>
      </c>
      <c r="AP59" s="2147" t="str">
        <f>IF(AND(AQ59&gt;0,COUNTIFS(UomConversion!$D$8:$D$500,MID(AN59,1,3)*1,UomConversion!$J$8:$J$500,1)&gt;1),TEXT(AQ59,"000")&amp;"."&amp;VLOOKUP(AQ59,uom_list,5,FALSE),"")</f>
        <v/>
      </c>
      <c r="AQ59" s="2147" t="str">
        <f t="shared" si="19"/>
        <v/>
      </c>
      <c r="AR59" s="2147" t="str">
        <f t="shared" si="20"/>
        <v/>
      </c>
      <c r="AS59" s="2147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147" t="str">
        <f t="shared" si="27"/>
        <v/>
      </c>
      <c r="AU59" s="214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147" t="str">
        <f t="shared" si="28"/>
        <v/>
      </c>
      <c r="AW59" s="2147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2147" t="str">
        <f t="shared" si="21"/>
        <v/>
      </c>
      <c r="AY59" s="2147" t="str">
        <f>IF(M59="","",SUMIFS($AX$8:AX59,$I$8:I59,I59))</f>
        <v/>
      </c>
      <c r="AZ59" s="2147" t="str">
        <f t="shared" si="22"/>
        <v/>
      </c>
      <c r="BA59" s="214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214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1439"/>
      <c r="B60" s="1773"/>
      <c r="C60" s="1466"/>
      <c r="D60" s="1466"/>
      <c r="E60" s="1466"/>
      <c r="F60" s="1774"/>
      <c r="G60" s="1457"/>
      <c r="H60" s="1467"/>
      <c r="I60" s="2139" t="str">
        <f t="shared" si="9"/>
        <v/>
      </c>
      <c r="J60" s="2140" t="str">
        <f t="shared" si="24"/>
        <v/>
      </c>
      <c r="K60" s="2141" t="str">
        <f t="shared" si="29"/>
        <v/>
      </c>
      <c r="L60" s="2142"/>
      <c r="M60" s="1399"/>
      <c r="N60" s="1400"/>
      <c r="O60" s="1400"/>
      <c r="P60" s="1401"/>
      <c r="Q60" s="1402"/>
      <c r="R60" s="1407"/>
      <c r="S60" s="2143" t="str">
        <f t="shared" si="0"/>
        <v/>
      </c>
      <c r="T60" s="1404"/>
      <c r="U60" s="2144" t="str">
        <f t="shared" si="11"/>
        <v/>
      </c>
      <c r="V60" s="2145" t="str">
        <f t="shared" si="25"/>
        <v/>
      </c>
      <c r="W60" s="1405"/>
      <c r="X60" s="2145" t="str">
        <f t="shared" si="26"/>
        <v/>
      </c>
      <c r="Y60" s="2146" t="str">
        <f t="shared" si="12"/>
        <v/>
      </c>
      <c r="Z60" s="1406"/>
      <c r="AA60" s="2147" t="str" cm="1">
        <f t="array" ref="AA60">IF(M60="","",IF(P60=AN60,1,Slookup(MID(AN60,1,3)*1,UomConversion!$D$8:$J$500,5,UomConversion!$E$8:$E$500,MID(P60,1,3)*1,UomConversion!$J$8:$J$500,1)))</f>
        <v/>
      </c>
      <c r="AB60" s="2147" t="str">
        <f t="shared" si="13"/>
        <v/>
      </c>
      <c r="AC60" s="2147" t="str">
        <f t="shared" si="14"/>
        <v/>
      </c>
      <c r="AD60" s="2147" t="str">
        <f t="shared" si="15"/>
        <v/>
      </c>
      <c r="AE60" s="2147" t="str">
        <f t="shared" si="16"/>
        <v/>
      </c>
      <c r="AF60" s="2147" t="str">
        <f>IF(M60="","",SUMIFS(ProductPrice!N80:N10052,ProductPrice!D80:D10052,I60,ProductPrice!G80:G10052,invoice_branch_id,ProductPrice!H80:H10052,invoice_price_type_id,ProductPrice!I80:I10052,MID(P60,1,3)*1,ProductPrice!Q80:Q10052,1,ProductPrice!T80:T10052,1))</f>
        <v/>
      </c>
      <c r="AG60" s="2147" t="str">
        <f t="shared" si="17"/>
        <v/>
      </c>
      <c r="AH60" s="2147" t="str">
        <f>IF(I60="","",IF(ISNA(MATCH(I60,IF(invoice_location_id=1,'[1]1_inventory_totals'!$C$8:$C$10000,IF(invoice_location_id=2,'[1]2_inventory_totals'!$C$8:$C$10000,0)),0)),0,IF(AV60&gt;0,1,0)))</f>
        <v/>
      </c>
      <c r="AI60" s="2147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2147" t="str">
        <f>IF(M60="","",IF(ISNA(MATCH(I60,'[1]1_group_totals'!$C$8:$C$10000)),0,IF(AW60&gt;0,1,0)))</f>
        <v/>
      </c>
      <c r="AK60" s="214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214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2147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2147" t="str">
        <f t="shared" si="18"/>
        <v/>
      </c>
      <c r="AO60" s="2147" t="str">
        <f>IF(OR(ISNA(MATCH(MID(AN60,1,3)*1,UomConversion!$D$8:$D$500,0)),M60=""),"",IF(AT60="","",AT60))</f>
        <v/>
      </c>
      <c r="AP60" s="2147" t="str">
        <f>IF(AND(AQ60&gt;0,COUNTIFS(UomConversion!$D$8:$D$500,MID(AN60,1,3)*1,UomConversion!$J$8:$J$500,1)&gt;1),TEXT(AQ60,"000")&amp;"."&amp;VLOOKUP(AQ60,uom_list,5,FALSE),"")</f>
        <v/>
      </c>
      <c r="AQ60" s="2147" t="str">
        <f t="shared" si="19"/>
        <v/>
      </c>
      <c r="AR60" s="2147" t="str">
        <f t="shared" si="20"/>
        <v/>
      </c>
      <c r="AS60" s="2147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147" t="str">
        <f t="shared" si="27"/>
        <v/>
      </c>
      <c r="AU60" s="214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147" t="str">
        <f t="shared" si="28"/>
        <v/>
      </c>
      <c r="AW60" s="2147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2147" t="str">
        <f t="shared" si="21"/>
        <v/>
      </c>
      <c r="AY60" s="2147" t="str">
        <f>IF(M60="","",SUMIFS($AX$8:AX60,$I$8:I60,I60))</f>
        <v/>
      </c>
      <c r="AZ60" s="2147" t="str">
        <f t="shared" si="22"/>
        <v/>
      </c>
      <c r="BA60" s="214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214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1439"/>
      <c r="B61" s="1773"/>
      <c r="C61" s="1466"/>
      <c r="D61" s="1466"/>
      <c r="E61" s="1466"/>
      <c r="F61" s="1774"/>
      <c r="G61" s="1457"/>
      <c r="H61" s="1467"/>
      <c r="I61" s="2139" t="str">
        <f t="shared" si="9"/>
        <v/>
      </c>
      <c r="J61" s="2140" t="str">
        <f t="shared" si="24"/>
        <v/>
      </c>
      <c r="K61" s="2141" t="str">
        <f t="shared" si="29"/>
        <v/>
      </c>
      <c r="L61" s="2142"/>
      <c r="M61" s="1399"/>
      <c r="N61" s="1400"/>
      <c r="O61" s="1400"/>
      <c r="P61" s="1401"/>
      <c r="Q61" s="1402"/>
      <c r="R61" s="1407"/>
      <c r="S61" s="2143" t="str">
        <f t="shared" si="0"/>
        <v/>
      </c>
      <c r="T61" s="1404"/>
      <c r="U61" s="2144" t="str">
        <f t="shared" si="11"/>
        <v/>
      </c>
      <c r="V61" s="2145" t="str">
        <f t="shared" si="25"/>
        <v/>
      </c>
      <c r="W61" s="1405"/>
      <c r="X61" s="2145" t="str">
        <f t="shared" si="26"/>
        <v/>
      </c>
      <c r="Y61" s="2146" t="str">
        <f t="shared" si="12"/>
        <v/>
      </c>
      <c r="Z61" s="1406"/>
      <c r="AA61" s="2147" t="str" cm="1">
        <f t="array" ref="AA61">IF(M61="","",IF(P61=AN61,1,Slookup(MID(AN61,1,3)*1,UomConversion!$D$8:$J$500,5,UomConversion!$E$8:$E$500,MID(P61,1,3)*1,UomConversion!$J$8:$J$500,1)))</f>
        <v/>
      </c>
      <c r="AB61" s="2147" t="str">
        <f t="shared" si="13"/>
        <v/>
      </c>
      <c r="AC61" s="2147" t="str">
        <f t="shared" si="14"/>
        <v/>
      </c>
      <c r="AD61" s="2147" t="str">
        <f t="shared" si="15"/>
        <v/>
      </c>
      <c r="AE61" s="2147" t="str">
        <f t="shared" si="16"/>
        <v/>
      </c>
      <c r="AF61" s="2147" t="str">
        <f>IF(M61="","",SUMIFS(ProductPrice!N81:N10053,ProductPrice!D81:D10053,I61,ProductPrice!G81:G10053,invoice_branch_id,ProductPrice!H81:H10053,invoice_price_type_id,ProductPrice!I81:I10053,MID(P61,1,3)*1,ProductPrice!Q81:Q10053,1,ProductPrice!T81:T10053,1))</f>
        <v/>
      </c>
      <c r="AG61" s="2147" t="str">
        <f t="shared" si="17"/>
        <v/>
      </c>
      <c r="AH61" s="2147" t="str">
        <f>IF(I61="","",IF(ISNA(MATCH(I61,IF(invoice_location_id=1,'[1]1_inventory_totals'!$C$8:$C$10000,IF(invoice_location_id=2,'[1]2_inventory_totals'!$C$8:$C$10000,0)),0)),0,IF(AV61&gt;0,1,0)))</f>
        <v/>
      </c>
      <c r="AI61" s="2147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2147" t="str">
        <f>IF(M61="","",IF(ISNA(MATCH(I61,'[1]1_group_totals'!$C$8:$C$10000)),0,IF(AW61&gt;0,1,0)))</f>
        <v/>
      </c>
      <c r="AK61" s="214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214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2147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2147" t="str">
        <f t="shared" si="18"/>
        <v/>
      </c>
      <c r="AO61" s="2147" t="str">
        <f>IF(OR(ISNA(MATCH(MID(AN61,1,3)*1,UomConversion!$D$8:$D$500,0)),M61=""),"",IF(AT61="","",AT61))</f>
        <v/>
      </c>
      <c r="AP61" s="2147" t="str">
        <f>IF(AND(AQ61&gt;0,COUNTIFS(UomConversion!$D$8:$D$500,MID(AN61,1,3)*1,UomConversion!$J$8:$J$500,1)&gt;1),TEXT(AQ61,"000")&amp;"."&amp;VLOOKUP(AQ61,uom_list,5,FALSE),"")</f>
        <v/>
      </c>
      <c r="AQ61" s="2147" t="str">
        <f t="shared" si="19"/>
        <v/>
      </c>
      <c r="AR61" s="2147" t="str">
        <f t="shared" si="20"/>
        <v/>
      </c>
      <c r="AS61" s="2147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147" t="str">
        <f t="shared" si="27"/>
        <v/>
      </c>
      <c r="AU61" s="214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147" t="str">
        <f t="shared" si="28"/>
        <v/>
      </c>
      <c r="AW61" s="2147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2147" t="str">
        <f t="shared" si="21"/>
        <v/>
      </c>
      <c r="AY61" s="2147" t="str">
        <f>IF(M61="","",SUMIFS($AX$8:AX61,$I$8:I61,I61))</f>
        <v/>
      </c>
      <c r="AZ61" s="2147" t="str">
        <f t="shared" si="22"/>
        <v/>
      </c>
      <c r="BA61" s="214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214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1439"/>
      <c r="B62" s="1773"/>
      <c r="C62" s="1466"/>
      <c r="D62" s="1466"/>
      <c r="E62" s="1466"/>
      <c r="F62" s="1774"/>
      <c r="G62" s="1457"/>
      <c r="H62" s="1467"/>
      <c r="I62" s="2139" t="str">
        <f t="shared" si="9"/>
        <v/>
      </c>
      <c r="J62" s="2140" t="str">
        <f t="shared" si="24"/>
        <v/>
      </c>
      <c r="K62" s="2141" t="str">
        <f t="shared" si="29"/>
        <v/>
      </c>
      <c r="L62" s="2142"/>
      <c r="M62" s="1399"/>
      <c r="N62" s="1400"/>
      <c r="O62" s="1400"/>
      <c r="P62" s="1401"/>
      <c r="Q62" s="1402"/>
      <c r="R62" s="1407"/>
      <c r="S62" s="2143" t="str">
        <f t="shared" si="0"/>
        <v/>
      </c>
      <c r="T62" s="1404"/>
      <c r="U62" s="2144" t="str">
        <f t="shared" si="11"/>
        <v/>
      </c>
      <c r="V62" s="2145" t="str">
        <f t="shared" si="25"/>
        <v/>
      </c>
      <c r="W62" s="1405"/>
      <c r="X62" s="2145" t="str">
        <f t="shared" si="26"/>
        <v/>
      </c>
      <c r="Y62" s="2146" t="str">
        <f t="shared" si="12"/>
        <v/>
      </c>
      <c r="Z62" s="1406"/>
      <c r="AA62" s="2147" t="str" cm="1">
        <f t="array" ref="AA62">IF(M62="","",IF(P62=AN62,1,Slookup(MID(AN62,1,3)*1,UomConversion!$D$8:$J$500,5,UomConversion!$E$8:$E$500,MID(P62,1,3)*1,UomConversion!$J$8:$J$500,1)))</f>
        <v/>
      </c>
      <c r="AB62" s="2147" t="str">
        <f t="shared" si="13"/>
        <v/>
      </c>
      <c r="AC62" s="2147" t="str">
        <f t="shared" si="14"/>
        <v/>
      </c>
      <c r="AD62" s="2147" t="str">
        <f t="shared" si="15"/>
        <v/>
      </c>
      <c r="AE62" s="2147" t="str">
        <f t="shared" si="16"/>
        <v/>
      </c>
      <c r="AF62" s="2147" t="str">
        <f>IF(M62="","",SUMIFS(ProductPrice!N82:N10054,ProductPrice!D82:D10054,I62,ProductPrice!G82:G10054,invoice_branch_id,ProductPrice!H82:H10054,invoice_price_type_id,ProductPrice!I82:I10054,MID(P62,1,3)*1,ProductPrice!Q82:Q10054,1,ProductPrice!T82:T10054,1))</f>
        <v/>
      </c>
      <c r="AG62" s="2147" t="str">
        <f t="shared" si="17"/>
        <v/>
      </c>
      <c r="AH62" s="2147" t="str">
        <f>IF(I62="","",IF(ISNA(MATCH(I62,IF(invoice_location_id=1,'[1]1_inventory_totals'!$C$8:$C$10000,IF(invoice_location_id=2,'[1]2_inventory_totals'!$C$8:$C$10000,0)),0)),0,IF(AV62&gt;0,1,0)))</f>
        <v/>
      </c>
      <c r="AI62" s="2147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2147" t="str">
        <f>IF(M62="","",IF(ISNA(MATCH(I62,'[1]1_group_totals'!$C$8:$C$10000)),0,IF(AW62&gt;0,1,0)))</f>
        <v/>
      </c>
      <c r="AK62" s="214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214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2147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2147" t="str">
        <f t="shared" si="18"/>
        <v/>
      </c>
      <c r="AO62" s="2147" t="str">
        <f>IF(OR(ISNA(MATCH(MID(AN62,1,3)*1,UomConversion!$D$8:$D$500,0)),M62=""),"",IF(AT62="","",AT62))</f>
        <v/>
      </c>
      <c r="AP62" s="2147" t="str">
        <f>IF(AND(AQ62&gt;0,COUNTIFS(UomConversion!$D$8:$D$500,MID(AN62,1,3)*1,UomConversion!$J$8:$J$500,1)&gt;1),TEXT(AQ62,"000")&amp;"."&amp;VLOOKUP(AQ62,uom_list,5,FALSE),"")</f>
        <v/>
      </c>
      <c r="AQ62" s="2147" t="str">
        <f t="shared" si="19"/>
        <v/>
      </c>
      <c r="AR62" s="2147" t="str">
        <f t="shared" si="20"/>
        <v/>
      </c>
      <c r="AS62" s="2147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147" t="str">
        <f t="shared" si="27"/>
        <v/>
      </c>
      <c r="AU62" s="214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147" t="str">
        <f t="shared" si="28"/>
        <v/>
      </c>
      <c r="AW62" s="2147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2147" t="str">
        <f t="shared" si="21"/>
        <v/>
      </c>
      <c r="AY62" s="2147" t="str">
        <f>IF(M62="","",SUMIFS($AX$8:AX62,$I$8:I62,I62))</f>
        <v/>
      </c>
      <c r="AZ62" s="2147" t="str">
        <f t="shared" si="22"/>
        <v/>
      </c>
      <c r="BA62" s="214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214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1439"/>
      <c r="B63" s="1773"/>
      <c r="C63" s="1466"/>
      <c r="D63" s="1466"/>
      <c r="E63" s="1466"/>
      <c r="F63" s="1774"/>
      <c r="G63" s="1457"/>
      <c r="H63" s="1467"/>
      <c r="I63" s="2139" t="str">
        <f t="shared" si="9"/>
        <v/>
      </c>
      <c r="J63" s="2140" t="str">
        <f t="shared" si="24"/>
        <v/>
      </c>
      <c r="K63" s="2141" t="str">
        <f t="shared" si="29"/>
        <v/>
      </c>
      <c r="L63" s="2142"/>
      <c r="M63" s="1399"/>
      <c r="N63" s="1400"/>
      <c r="O63" s="1400"/>
      <c r="P63" s="1401"/>
      <c r="Q63" s="1402"/>
      <c r="R63" s="1407"/>
      <c r="S63" s="2143" t="str">
        <f t="shared" si="0"/>
        <v/>
      </c>
      <c r="T63" s="1404"/>
      <c r="U63" s="2144" t="str">
        <f t="shared" si="11"/>
        <v/>
      </c>
      <c r="V63" s="2145" t="str">
        <f t="shared" si="25"/>
        <v/>
      </c>
      <c r="W63" s="1405"/>
      <c r="X63" s="2145" t="str">
        <f t="shared" si="26"/>
        <v/>
      </c>
      <c r="Y63" s="2146" t="str">
        <f t="shared" si="12"/>
        <v/>
      </c>
      <c r="Z63" s="1406"/>
      <c r="AA63" s="2147" t="str" cm="1">
        <f t="array" ref="AA63">IF(M63="","",IF(P63=AN63,1,Slookup(MID(AN63,1,3)*1,UomConversion!$D$8:$J$500,5,UomConversion!$E$8:$E$500,MID(P63,1,3)*1,UomConversion!$J$8:$J$500,1)))</f>
        <v/>
      </c>
      <c r="AB63" s="2147" t="str">
        <f t="shared" si="13"/>
        <v/>
      </c>
      <c r="AC63" s="2147" t="str">
        <f t="shared" si="14"/>
        <v/>
      </c>
      <c r="AD63" s="2147" t="str">
        <f t="shared" si="15"/>
        <v/>
      </c>
      <c r="AE63" s="2147" t="str">
        <f t="shared" si="16"/>
        <v/>
      </c>
      <c r="AF63" s="2147" t="str">
        <f>IF(M63="","",SUMIFS(ProductPrice!N83:N10055,ProductPrice!D83:D10055,I63,ProductPrice!G83:G10055,invoice_branch_id,ProductPrice!H83:H10055,invoice_price_type_id,ProductPrice!I83:I10055,MID(P63,1,3)*1,ProductPrice!Q83:Q10055,1,ProductPrice!T83:T10055,1))</f>
        <v/>
      </c>
      <c r="AG63" s="2147" t="str">
        <f t="shared" si="17"/>
        <v/>
      </c>
      <c r="AH63" s="2147" t="str">
        <f>IF(I63="","",IF(ISNA(MATCH(I63,IF(invoice_location_id=1,'[1]1_inventory_totals'!$C$8:$C$10000,IF(invoice_location_id=2,'[1]2_inventory_totals'!$C$8:$C$10000,0)),0)),0,IF(AV63&gt;0,1,0)))</f>
        <v/>
      </c>
      <c r="AI63" s="2147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2147" t="str">
        <f>IF(M63="","",IF(ISNA(MATCH(I63,'[1]1_group_totals'!$C$8:$C$10000)),0,IF(AW63&gt;0,1,0)))</f>
        <v/>
      </c>
      <c r="AK63" s="214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214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2147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2147" t="str">
        <f t="shared" si="18"/>
        <v/>
      </c>
      <c r="AO63" s="2147" t="str">
        <f>IF(OR(ISNA(MATCH(MID(AN63,1,3)*1,UomConversion!$D$8:$D$500,0)),M63=""),"",IF(AT63="","",AT63))</f>
        <v/>
      </c>
      <c r="AP63" s="2147" t="str">
        <f>IF(AND(AQ63&gt;0,COUNTIFS(UomConversion!$D$8:$D$500,MID(AN63,1,3)*1,UomConversion!$J$8:$J$500,1)&gt;1),TEXT(AQ63,"000")&amp;"."&amp;VLOOKUP(AQ63,uom_list,5,FALSE),"")</f>
        <v/>
      </c>
      <c r="AQ63" s="2147" t="str">
        <f t="shared" si="19"/>
        <v/>
      </c>
      <c r="AR63" s="2147" t="str">
        <f t="shared" si="20"/>
        <v/>
      </c>
      <c r="AS63" s="2147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147" t="str">
        <f t="shared" si="27"/>
        <v/>
      </c>
      <c r="AU63" s="214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147" t="str">
        <f t="shared" si="28"/>
        <v/>
      </c>
      <c r="AW63" s="2147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2147" t="str">
        <f t="shared" si="21"/>
        <v/>
      </c>
      <c r="AY63" s="2147" t="str">
        <f>IF(M63="","",SUMIFS($AX$8:AX63,$I$8:I63,I63))</f>
        <v/>
      </c>
      <c r="AZ63" s="2147" t="str">
        <f t="shared" si="22"/>
        <v/>
      </c>
      <c r="BA63" s="214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214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1439"/>
      <c r="B64" s="1773"/>
      <c r="C64" s="1466"/>
      <c r="D64" s="1466"/>
      <c r="E64" s="1466"/>
      <c r="F64" s="1774"/>
      <c r="G64" s="1457"/>
      <c r="H64" s="1467"/>
      <c r="I64" s="2139" t="str">
        <f t="shared" si="9"/>
        <v/>
      </c>
      <c r="J64" s="2140" t="str">
        <f t="shared" si="24"/>
        <v/>
      </c>
      <c r="K64" s="2141" t="str">
        <f t="shared" si="29"/>
        <v/>
      </c>
      <c r="L64" s="2142"/>
      <c r="M64" s="1399"/>
      <c r="N64" s="1400"/>
      <c r="O64" s="1400"/>
      <c r="P64" s="1401"/>
      <c r="Q64" s="1402"/>
      <c r="R64" s="1407"/>
      <c r="S64" s="2143" t="str">
        <f t="shared" si="0"/>
        <v/>
      </c>
      <c r="T64" s="1404"/>
      <c r="U64" s="2144" t="str">
        <f t="shared" si="11"/>
        <v/>
      </c>
      <c r="V64" s="2145" t="str">
        <f t="shared" si="25"/>
        <v/>
      </c>
      <c r="W64" s="1405"/>
      <c r="X64" s="2145" t="str">
        <f t="shared" si="26"/>
        <v/>
      </c>
      <c r="Y64" s="2146" t="str">
        <f t="shared" si="12"/>
        <v/>
      </c>
      <c r="Z64" s="1406"/>
      <c r="AA64" s="2147" t="str" cm="1">
        <f t="array" ref="AA64">IF(M64="","",IF(P64=AN64,1,Slookup(MID(AN64,1,3)*1,UomConversion!$D$8:$J$500,5,UomConversion!$E$8:$E$500,MID(P64,1,3)*1,UomConversion!$J$8:$J$500,1)))</f>
        <v/>
      </c>
      <c r="AB64" s="2147" t="str">
        <f t="shared" si="13"/>
        <v/>
      </c>
      <c r="AC64" s="2147" t="str">
        <f t="shared" si="14"/>
        <v/>
      </c>
      <c r="AD64" s="2147" t="str">
        <f t="shared" si="15"/>
        <v/>
      </c>
      <c r="AE64" s="2147" t="str">
        <f t="shared" si="16"/>
        <v/>
      </c>
      <c r="AF64" s="2147" t="str">
        <f>IF(M64="","",SUMIFS(ProductPrice!N84:N10056,ProductPrice!D84:D10056,I64,ProductPrice!G84:G10056,invoice_branch_id,ProductPrice!H84:H10056,invoice_price_type_id,ProductPrice!I84:I10056,MID(P64,1,3)*1,ProductPrice!Q84:Q10056,1,ProductPrice!T84:T10056,1))</f>
        <v/>
      </c>
      <c r="AG64" s="2147" t="str">
        <f t="shared" si="17"/>
        <v/>
      </c>
      <c r="AH64" s="2147" t="str">
        <f>IF(I64="","",IF(ISNA(MATCH(I64,IF(invoice_location_id=1,'[1]1_inventory_totals'!$C$8:$C$10000,IF(invoice_location_id=2,'[1]2_inventory_totals'!$C$8:$C$10000,0)),0)),0,IF(AV64&gt;0,1,0)))</f>
        <v/>
      </c>
      <c r="AI64" s="2147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2147" t="str">
        <f>IF(M64="","",IF(ISNA(MATCH(I64,'[1]1_group_totals'!$C$8:$C$10000)),0,IF(AW64&gt;0,1,0)))</f>
        <v/>
      </c>
      <c r="AK64" s="214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214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2147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2147" t="str">
        <f t="shared" si="18"/>
        <v/>
      </c>
      <c r="AO64" s="2147" t="str">
        <f>IF(OR(ISNA(MATCH(MID(AN64,1,3)*1,UomConversion!$D$8:$D$500,0)),M64=""),"",IF(AT64="","",AT64))</f>
        <v/>
      </c>
      <c r="AP64" s="2147" t="str">
        <f>IF(AND(AQ64&gt;0,COUNTIFS(UomConversion!$D$8:$D$500,MID(AN64,1,3)*1,UomConversion!$J$8:$J$500,1)&gt;1),TEXT(AQ64,"000")&amp;"."&amp;VLOOKUP(AQ64,uom_list,5,FALSE),"")</f>
        <v/>
      </c>
      <c r="AQ64" s="2147" t="str">
        <f t="shared" si="19"/>
        <v/>
      </c>
      <c r="AR64" s="2147" t="str">
        <f t="shared" si="20"/>
        <v/>
      </c>
      <c r="AS64" s="2147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147" t="str">
        <f t="shared" si="27"/>
        <v/>
      </c>
      <c r="AU64" s="214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147" t="str">
        <f t="shared" si="28"/>
        <v/>
      </c>
      <c r="AW64" s="2147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2147" t="str">
        <f t="shared" si="21"/>
        <v/>
      </c>
      <c r="AY64" s="2147" t="str">
        <f>IF(M64="","",SUMIFS($AX$8:AX64,$I$8:I64,I64))</f>
        <v/>
      </c>
      <c r="AZ64" s="2147" t="str">
        <f t="shared" si="22"/>
        <v/>
      </c>
      <c r="BA64" s="214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214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1439"/>
      <c r="B65" s="1773"/>
      <c r="C65" s="1466"/>
      <c r="D65" s="1466"/>
      <c r="E65" s="1466"/>
      <c r="F65" s="1774"/>
      <c r="G65" s="1457"/>
      <c r="H65" s="1467"/>
      <c r="I65" s="2139" t="str">
        <f t="shared" si="9"/>
        <v/>
      </c>
      <c r="J65" s="2140" t="str">
        <f t="shared" si="24"/>
        <v/>
      </c>
      <c r="K65" s="2141" t="str">
        <f t="shared" si="29"/>
        <v/>
      </c>
      <c r="L65" s="2142"/>
      <c r="M65" s="1399"/>
      <c r="N65" s="1400"/>
      <c r="O65" s="1400"/>
      <c r="P65" s="1401"/>
      <c r="Q65" s="1402"/>
      <c r="R65" s="1407"/>
      <c r="S65" s="2143" t="str">
        <f t="shared" si="0"/>
        <v/>
      </c>
      <c r="T65" s="1404"/>
      <c r="U65" s="2144" t="str">
        <f t="shared" si="11"/>
        <v/>
      </c>
      <c r="V65" s="2145" t="str">
        <f t="shared" si="25"/>
        <v/>
      </c>
      <c r="W65" s="1405"/>
      <c r="X65" s="2145" t="str">
        <f t="shared" si="26"/>
        <v/>
      </c>
      <c r="Y65" s="2146" t="str">
        <f t="shared" si="12"/>
        <v/>
      </c>
      <c r="Z65" s="1406"/>
      <c r="AA65" s="2147" t="str" cm="1">
        <f t="array" ref="AA65">IF(M65="","",IF(P65=AN65,1,Slookup(MID(AN65,1,3)*1,UomConversion!$D$8:$J$500,5,UomConversion!$E$8:$E$500,MID(P65,1,3)*1,UomConversion!$J$8:$J$500,1)))</f>
        <v/>
      </c>
      <c r="AB65" s="2147" t="str">
        <f t="shared" si="13"/>
        <v/>
      </c>
      <c r="AC65" s="2147" t="str">
        <f t="shared" si="14"/>
        <v/>
      </c>
      <c r="AD65" s="2147" t="str">
        <f t="shared" si="15"/>
        <v/>
      </c>
      <c r="AE65" s="2147" t="str">
        <f t="shared" si="16"/>
        <v/>
      </c>
      <c r="AF65" s="2147" t="str">
        <f>IF(M65="","",SUMIFS(ProductPrice!N85:N10057,ProductPrice!D85:D10057,I65,ProductPrice!G85:G10057,invoice_branch_id,ProductPrice!H85:H10057,invoice_price_type_id,ProductPrice!I85:I10057,MID(P65,1,3)*1,ProductPrice!Q85:Q10057,1,ProductPrice!T85:T10057,1))</f>
        <v/>
      </c>
      <c r="AG65" s="2147" t="str">
        <f t="shared" si="17"/>
        <v/>
      </c>
      <c r="AH65" s="2147" t="str">
        <f>IF(I65="","",IF(ISNA(MATCH(I65,IF(invoice_location_id=1,'[1]1_inventory_totals'!$C$8:$C$10000,IF(invoice_location_id=2,'[1]2_inventory_totals'!$C$8:$C$10000,0)),0)),0,IF(AV65&gt;0,1,0)))</f>
        <v/>
      </c>
      <c r="AI65" s="2147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2147" t="str">
        <f>IF(M65="","",IF(ISNA(MATCH(I65,'[1]1_group_totals'!$C$8:$C$10000)),0,IF(AW65&gt;0,1,0)))</f>
        <v/>
      </c>
      <c r="AK65" s="214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214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2147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2147" t="str">
        <f t="shared" si="18"/>
        <v/>
      </c>
      <c r="AO65" s="2147" t="str">
        <f>IF(OR(ISNA(MATCH(MID(AN65,1,3)*1,UomConversion!$D$8:$D$500,0)),M65=""),"",IF(AT65="","",AT65))</f>
        <v/>
      </c>
      <c r="AP65" s="2147" t="str">
        <f>IF(AND(AQ65&gt;0,COUNTIFS(UomConversion!$D$8:$D$500,MID(AN65,1,3)*1,UomConversion!$J$8:$J$500,1)&gt;1),TEXT(AQ65,"000")&amp;"."&amp;VLOOKUP(AQ65,uom_list,5,FALSE),"")</f>
        <v/>
      </c>
      <c r="AQ65" s="2147" t="str">
        <f t="shared" si="19"/>
        <v/>
      </c>
      <c r="AR65" s="2147" t="str">
        <f t="shared" si="20"/>
        <v/>
      </c>
      <c r="AS65" s="2147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147" t="str">
        <f t="shared" si="27"/>
        <v/>
      </c>
      <c r="AU65" s="214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147" t="str">
        <f t="shared" si="28"/>
        <v/>
      </c>
      <c r="AW65" s="2147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2147" t="str">
        <f t="shared" si="21"/>
        <v/>
      </c>
      <c r="AY65" s="2147" t="str">
        <f>IF(M65="","",SUMIFS($AX$8:AX65,$I$8:I65,I65))</f>
        <v/>
      </c>
      <c r="AZ65" s="2147" t="str">
        <f t="shared" si="22"/>
        <v/>
      </c>
      <c r="BA65" s="214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214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1439"/>
      <c r="B66" s="1773"/>
      <c r="C66" s="1466"/>
      <c r="D66" s="1466"/>
      <c r="E66" s="1466"/>
      <c r="F66" s="1774"/>
      <c r="G66" s="1457"/>
      <c r="H66" s="1467"/>
      <c r="I66" s="2139" t="str">
        <f t="shared" si="9"/>
        <v/>
      </c>
      <c r="J66" s="2140" t="str">
        <f t="shared" si="24"/>
        <v/>
      </c>
      <c r="K66" s="2141" t="str">
        <f t="shared" si="29"/>
        <v/>
      </c>
      <c r="L66" s="2142"/>
      <c r="M66" s="1399"/>
      <c r="N66" s="1400"/>
      <c r="O66" s="1400"/>
      <c r="P66" s="1401"/>
      <c r="Q66" s="1402"/>
      <c r="R66" s="1407"/>
      <c r="S66" s="2143" t="str">
        <f t="shared" si="0"/>
        <v/>
      </c>
      <c r="T66" s="1404"/>
      <c r="U66" s="2144" t="str">
        <f t="shared" si="11"/>
        <v/>
      </c>
      <c r="V66" s="2145" t="str">
        <f t="shared" si="25"/>
        <v/>
      </c>
      <c r="W66" s="1405"/>
      <c r="X66" s="2145" t="str">
        <f t="shared" si="26"/>
        <v/>
      </c>
      <c r="Y66" s="2146" t="str">
        <f t="shared" si="12"/>
        <v/>
      </c>
      <c r="Z66" s="1406"/>
      <c r="AA66" s="2147" t="str" cm="1">
        <f t="array" ref="AA66">IF(M66="","",IF(P66=AN66,1,Slookup(MID(AN66,1,3)*1,UomConversion!$D$8:$J$500,5,UomConversion!$E$8:$E$500,MID(P66,1,3)*1,UomConversion!$J$8:$J$500,1)))</f>
        <v/>
      </c>
      <c r="AB66" s="2147" t="str">
        <f t="shared" si="13"/>
        <v/>
      </c>
      <c r="AC66" s="2147" t="str">
        <f t="shared" si="14"/>
        <v/>
      </c>
      <c r="AD66" s="2147" t="str">
        <f t="shared" si="15"/>
        <v/>
      </c>
      <c r="AE66" s="2147" t="str">
        <f t="shared" si="16"/>
        <v/>
      </c>
      <c r="AF66" s="2147" t="str">
        <f>IF(M66="","",SUMIFS(ProductPrice!N86:N10058,ProductPrice!D86:D10058,I66,ProductPrice!G86:G10058,invoice_branch_id,ProductPrice!H86:H10058,invoice_price_type_id,ProductPrice!I86:I10058,MID(P66,1,3)*1,ProductPrice!Q86:Q10058,1,ProductPrice!T86:T10058,1))</f>
        <v/>
      </c>
      <c r="AG66" s="2147" t="str">
        <f t="shared" si="17"/>
        <v/>
      </c>
      <c r="AH66" s="2147" t="str">
        <f>IF(I66="","",IF(ISNA(MATCH(I66,IF(invoice_location_id=1,'[1]1_inventory_totals'!$C$8:$C$10000,IF(invoice_location_id=2,'[1]2_inventory_totals'!$C$8:$C$10000,0)),0)),0,IF(AV66&gt;0,1,0)))</f>
        <v/>
      </c>
      <c r="AI66" s="2147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2147" t="str">
        <f>IF(M66="","",IF(ISNA(MATCH(I66,'[1]1_group_totals'!$C$8:$C$10000)),0,IF(AW66&gt;0,1,0)))</f>
        <v/>
      </c>
      <c r="AK66" s="214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214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2147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2147" t="str">
        <f t="shared" si="18"/>
        <v/>
      </c>
      <c r="AO66" s="2147" t="str">
        <f>IF(OR(ISNA(MATCH(MID(AN66,1,3)*1,UomConversion!$D$8:$D$500,0)),M66=""),"",IF(AT66="","",AT66))</f>
        <v/>
      </c>
      <c r="AP66" s="2147" t="str">
        <f>IF(AND(AQ66&gt;0,COUNTIFS(UomConversion!$D$8:$D$500,MID(AN66,1,3)*1,UomConversion!$J$8:$J$500,1)&gt;1),TEXT(AQ66,"000")&amp;"."&amp;VLOOKUP(AQ66,uom_list,5,FALSE),"")</f>
        <v/>
      </c>
      <c r="AQ66" s="2147" t="str">
        <f t="shared" si="19"/>
        <v/>
      </c>
      <c r="AR66" s="2147" t="str">
        <f t="shared" si="20"/>
        <v/>
      </c>
      <c r="AS66" s="2147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147" t="str">
        <f t="shared" si="27"/>
        <v/>
      </c>
      <c r="AU66" s="214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147" t="str">
        <f t="shared" si="28"/>
        <v/>
      </c>
      <c r="AW66" s="2147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2147" t="str">
        <f t="shared" si="21"/>
        <v/>
      </c>
      <c r="AY66" s="2147" t="str">
        <f>IF(M66="","",SUMIFS($AX$8:AX66,$I$8:I66,I66))</f>
        <v/>
      </c>
      <c r="AZ66" s="2147" t="str">
        <f t="shared" si="22"/>
        <v/>
      </c>
      <c r="BA66" s="214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214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1439"/>
      <c r="B67" s="1773"/>
      <c r="C67" s="1466"/>
      <c r="D67" s="1466"/>
      <c r="E67" s="1466"/>
      <c r="F67" s="1774"/>
      <c r="G67" s="1457"/>
      <c r="H67" s="1467"/>
      <c r="I67" s="2139" t="str">
        <f t="shared" si="9"/>
        <v/>
      </c>
      <c r="J67" s="2140" t="str">
        <f t="shared" si="24"/>
        <v/>
      </c>
      <c r="K67" s="2141" t="str">
        <f t="shared" si="29"/>
        <v/>
      </c>
      <c r="L67" s="2142"/>
      <c r="M67" s="1399"/>
      <c r="N67" s="1400"/>
      <c r="O67" s="1400"/>
      <c r="P67" s="1401"/>
      <c r="Q67" s="1402"/>
      <c r="R67" s="1407"/>
      <c r="S67" s="2143" t="str">
        <f t="shared" si="0"/>
        <v/>
      </c>
      <c r="T67" s="1404"/>
      <c r="U67" s="2144" t="str">
        <f t="shared" si="11"/>
        <v/>
      </c>
      <c r="V67" s="2145" t="str">
        <f t="shared" si="25"/>
        <v/>
      </c>
      <c r="W67" s="1405"/>
      <c r="X67" s="2145" t="str">
        <f t="shared" si="26"/>
        <v/>
      </c>
      <c r="Y67" s="2146" t="str">
        <f t="shared" si="12"/>
        <v/>
      </c>
      <c r="Z67" s="1406"/>
      <c r="AA67" s="2147" t="str" cm="1">
        <f t="array" ref="AA67">IF(M67="","",IF(P67=AN67,1,Slookup(MID(AN67,1,3)*1,UomConversion!$D$8:$J$500,5,UomConversion!$E$8:$E$500,MID(P67,1,3)*1,UomConversion!$J$8:$J$500,1)))</f>
        <v/>
      </c>
      <c r="AB67" s="2147" t="str">
        <f t="shared" si="13"/>
        <v/>
      </c>
      <c r="AC67" s="2147" t="str">
        <f t="shared" si="14"/>
        <v/>
      </c>
      <c r="AD67" s="2147" t="str">
        <f t="shared" si="15"/>
        <v/>
      </c>
      <c r="AE67" s="2147" t="str">
        <f t="shared" si="16"/>
        <v/>
      </c>
      <c r="AF67" s="2147" t="str">
        <f>IF(M67="","",SUMIFS(ProductPrice!N87:N10059,ProductPrice!D87:D10059,I67,ProductPrice!G87:G10059,invoice_branch_id,ProductPrice!H87:H10059,invoice_price_type_id,ProductPrice!I87:I10059,MID(P67,1,3)*1,ProductPrice!Q87:Q10059,1,ProductPrice!T87:T10059,1))</f>
        <v/>
      </c>
      <c r="AG67" s="2147" t="str">
        <f t="shared" si="17"/>
        <v/>
      </c>
      <c r="AH67" s="2147" t="str">
        <f>IF(I67="","",IF(ISNA(MATCH(I67,IF(invoice_location_id=1,'[1]1_inventory_totals'!$C$8:$C$10000,IF(invoice_location_id=2,'[1]2_inventory_totals'!$C$8:$C$10000,0)),0)),0,IF(AV67&gt;0,1,0)))</f>
        <v/>
      </c>
      <c r="AI67" s="2147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2147" t="str">
        <f>IF(M67="","",IF(ISNA(MATCH(I67,'[1]1_group_totals'!$C$8:$C$10000)),0,IF(AW67&gt;0,1,0)))</f>
        <v/>
      </c>
      <c r="AK67" s="214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214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2147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2147" t="str">
        <f t="shared" si="18"/>
        <v/>
      </c>
      <c r="AO67" s="2147" t="str">
        <f>IF(OR(ISNA(MATCH(MID(AN67,1,3)*1,UomConversion!$D$8:$D$500,0)),M67=""),"",IF(AT67="","",AT67))</f>
        <v/>
      </c>
      <c r="AP67" s="2147" t="str">
        <f>IF(AND(AQ67&gt;0,COUNTIFS(UomConversion!$D$8:$D$500,MID(AN67,1,3)*1,UomConversion!$J$8:$J$500,1)&gt;1),TEXT(AQ67,"000")&amp;"."&amp;VLOOKUP(AQ67,uom_list,5,FALSE),"")</f>
        <v/>
      </c>
      <c r="AQ67" s="2147" t="str">
        <f t="shared" si="19"/>
        <v/>
      </c>
      <c r="AR67" s="2147" t="str">
        <f t="shared" si="20"/>
        <v/>
      </c>
      <c r="AS67" s="2147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147" t="str">
        <f t="shared" si="27"/>
        <v/>
      </c>
      <c r="AU67" s="214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147" t="str">
        <f t="shared" si="28"/>
        <v/>
      </c>
      <c r="AW67" s="2147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2147" t="str">
        <f t="shared" si="21"/>
        <v/>
      </c>
      <c r="AY67" s="2147" t="str">
        <f>IF(M67="","",SUMIFS($AX$8:AX67,$I$8:I67,I67))</f>
        <v/>
      </c>
      <c r="AZ67" s="2147" t="str">
        <f t="shared" si="22"/>
        <v/>
      </c>
      <c r="BA67" s="214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214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1439"/>
      <c r="B68" s="1773"/>
      <c r="C68" s="1466"/>
      <c r="D68" s="1466"/>
      <c r="E68" s="1466"/>
      <c r="F68" s="1774"/>
      <c r="G68" s="1457"/>
      <c r="H68" s="1467"/>
      <c r="I68" s="2139" t="str">
        <f t="shared" si="9"/>
        <v/>
      </c>
      <c r="J68" s="2140" t="str">
        <f t="shared" si="24"/>
        <v/>
      </c>
      <c r="K68" s="2141" t="str">
        <f t="shared" si="29"/>
        <v/>
      </c>
      <c r="L68" s="2142"/>
      <c r="M68" s="1399"/>
      <c r="N68" s="1400"/>
      <c r="O68" s="1400"/>
      <c r="P68" s="1401"/>
      <c r="Q68" s="1402"/>
      <c r="R68" s="1407"/>
      <c r="S68" s="2143" t="str">
        <f t="shared" si="0"/>
        <v/>
      </c>
      <c r="T68" s="1404"/>
      <c r="U68" s="2144" t="str">
        <f t="shared" si="11"/>
        <v/>
      </c>
      <c r="V68" s="2145" t="str">
        <f t="shared" si="25"/>
        <v/>
      </c>
      <c r="W68" s="1405"/>
      <c r="X68" s="2145" t="str">
        <f t="shared" si="26"/>
        <v/>
      </c>
      <c r="Y68" s="2146" t="str">
        <f t="shared" si="12"/>
        <v/>
      </c>
      <c r="Z68" s="1406"/>
      <c r="AA68" s="2147" t="str" cm="1">
        <f t="array" ref="AA68">IF(M68="","",IF(P68=AN68,1,Slookup(MID(AN68,1,3)*1,UomConversion!$D$8:$J$500,5,UomConversion!$E$8:$E$500,MID(P68,1,3)*1,UomConversion!$J$8:$J$500,1)))</f>
        <v/>
      </c>
      <c r="AB68" s="2147" t="str">
        <f t="shared" si="13"/>
        <v/>
      </c>
      <c r="AC68" s="2147" t="str">
        <f t="shared" si="14"/>
        <v/>
      </c>
      <c r="AD68" s="2147" t="str">
        <f t="shared" si="15"/>
        <v/>
      </c>
      <c r="AE68" s="2147" t="str">
        <f t="shared" si="16"/>
        <v/>
      </c>
      <c r="AF68" s="2147" t="str">
        <f>IF(M68="","",SUMIFS(ProductPrice!N88:N10060,ProductPrice!D88:D10060,I68,ProductPrice!G88:G10060,invoice_branch_id,ProductPrice!H88:H10060,invoice_price_type_id,ProductPrice!I88:I10060,MID(P68,1,3)*1,ProductPrice!Q88:Q10060,1,ProductPrice!T88:T10060,1))</f>
        <v/>
      </c>
      <c r="AG68" s="2147" t="str">
        <f t="shared" si="17"/>
        <v/>
      </c>
      <c r="AH68" s="2147" t="str">
        <f>IF(I68="","",IF(ISNA(MATCH(I68,IF(invoice_location_id=1,'[1]1_inventory_totals'!$C$8:$C$10000,IF(invoice_location_id=2,'[1]2_inventory_totals'!$C$8:$C$10000,0)),0)),0,IF(AV68&gt;0,1,0)))</f>
        <v/>
      </c>
      <c r="AI68" s="2147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2147" t="str">
        <f>IF(M68="","",IF(ISNA(MATCH(I68,'[1]1_group_totals'!$C$8:$C$10000)),0,IF(AW68&gt;0,1,0)))</f>
        <v/>
      </c>
      <c r="AK68" s="214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214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2147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2147" t="str">
        <f t="shared" si="18"/>
        <v/>
      </c>
      <c r="AO68" s="2147" t="str">
        <f>IF(OR(ISNA(MATCH(MID(AN68,1,3)*1,UomConversion!$D$8:$D$500,0)),M68=""),"",IF(AT68="","",AT68))</f>
        <v/>
      </c>
      <c r="AP68" s="2147" t="str">
        <f>IF(AND(AQ68&gt;0,COUNTIFS(UomConversion!$D$8:$D$500,MID(AN68,1,3)*1,UomConversion!$J$8:$J$500,1)&gt;1),TEXT(AQ68,"000")&amp;"."&amp;VLOOKUP(AQ68,uom_list,5,FALSE),"")</f>
        <v/>
      </c>
      <c r="AQ68" s="2147" t="str">
        <f t="shared" si="19"/>
        <v/>
      </c>
      <c r="AR68" s="2147" t="str">
        <f t="shared" si="20"/>
        <v/>
      </c>
      <c r="AS68" s="2147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147" t="str">
        <f t="shared" si="27"/>
        <v/>
      </c>
      <c r="AU68" s="214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147" t="str">
        <f t="shared" si="28"/>
        <v/>
      </c>
      <c r="AW68" s="2147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2147" t="str">
        <f t="shared" si="21"/>
        <v/>
      </c>
      <c r="AY68" s="2147" t="str">
        <f>IF(M68="","",SUMIFS($AX$8:AX68,$I$8:I68,I68))</f>
        <v/>
      </c>
      <c r="AZ68" s="2147" t="str">
        <f t="shared" si="22"/>
        <v/>
      </c>
      <c r="BA68" s="214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214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1439"/>
      <c r="B69" s="1773"/>
      <c r="C69" s="1466"/>
      <c r="D69" s="1466"/>
      <c r="E69" s="1466"/>
      <c r="F69" s="1774"/>
      <c r="G69" s="1457"/>
      <c r="H69" s="1467"/>
      <c r="I69" s="2139" t="str">
        <f t="shared" si="9"/>
        <v/>
      </c>
      <c r="J69" s="2140" t="str">
        <f t="shared" si="24"/>
        <v/>
      </c>
      <c r="K69" s="2141" t="str">
        <f t="shared" si="29"/>
        <v/>
      </c>
      <c r="L69" s="2142"/>
      <c r="M69" s="1399"/>
      <c r="N69" s="1400"/>
      <c r="O69" s="1400"/>
      <c r="P69" s="1401"/>
      <c r="Q69" s="1402"/>
      <c r="R69" s="1407"/>
      <c r="S69" s="2143" t="str">
        <f t="shared" si="0"/>
        <v/>
      </c>
      <c r="T69" s="1404"/>
      <c r="U69" s="2144" t="str">
        <f t="shared" si="11"/>
        <v/>
      </c>
      <c r="V69" s="2145" t="str">
        <f t="shared" si="25"/>
        <v/>
      </c>
      <c r="W69" s="1405"/>
      <c r="X69" s="2145" t="str">
        <f t="shared" si="26"/>
        <v/>
      </c>
      <c r="Y69" s="2146" t="str">
        <f t="shared" si="12"/>
        <v/>
      </c>
      <c r="Z69" s="1406"/>
      <c r="AA69" s="2147" t="str" cm="1">
        <f t="array" ref="AA69">IF(M69="","",IF(P69=AN69,1,Slookup(MID(AN69,1,3)*1,UomConversion!$D$8:$J$500,5,UomConversion!$E$8:$E$500,MID(P69,1,3)*1,UomConversion!$J$8:$J$500,1)))</f>
        <v/>
      </c>
      <c r="AB69" s="2147" t="str">
        <f t="shared" si="13"/>
        <v/>
      </c>
      <c r="AC69" s="2147" t="str">
        <f t="shared" si="14"/>
        <v/>
      </c>
      <c r="AD69" s="2147" t="str">
        <f t="shared" si="15"/>
        <v/>
      </c>
      <c r="AE69" s="2147" t="str">
        <f t="shared" si="16"/>
        <v/>
      </c>
      <c r="AF69" s="2147" t="str">
        <f>IF(M69="","",SUMIFS(ProductPrice!N89:N10061,ProductPrice!D89:D10061,I69,ProductPrice!G89:G10061,invoice_branch_id,ProductPrice!H89:H10061,invoice_price_type_id,ProductPrice!I89:I10061,MID(P69,1,3)*1,ProductPrice!Q89:Q10061,1,ProductPrice!T89:T10061,1))</f>
        <v/>
      </c>
      <c r="AG69" s="2147" t="str">
        <f t="shared" si="17"/>
        <v/>
      </c>
      <c r="AH69" s="2147" t="str">
        <f>IF(I69="","",IF(ISNA(MATCH(I69,IF(invoice_location_id=1,'[1]1_inventory_totals'!$C$8:$C$10000,IF(invoice_location_id=2,'[1]2_inventory_totals'!$C$8:$C$10000,0)),0)),0,IF(AV69&gt;0,1,0)))</f>
        <v/>
      </c>
      <c r="AI69" s="2147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2147" t="str">
        <f>IF(M69="","",IF(ISNA(MATCH(I69,'[1]1_group_totals'!$C$8:$C$10000)),0,IF(AW69&gt;0,1,0)))</f>
        <v/>
      </c>
      <c r="AK69" s="214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214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2147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2147" t="str">
        <f t="shared" si="18"/>
        <v/>
      </c>
      <c r="AO69" s="2147" t="str">
        <f>IF(OR(ISNA(MATCH(MID(AN69,1,3)*1,UomConversion!$D$8:$D$500,0)),M69=""),"",IF(AT69="","",AT69))</f>
        <v/>
      </c>
      <c r="AP69" s="2147" t="str">
        <f>IF(AND(AQ69&gt;0,COUNTIFS(UomConversion!$D$8:$D$500,MID(AN69,1,3)*1,UomConversion!$J$8:$J$500,1)&gt;1),TEXT(AQ69,"000")&amp;"."&amp;VLOOKUP(AQ69,uom_list,5,FALSE),"")</f>
        <v/>
      </c>
      <c r="AQ69" s="2147" t="str">
        <f t="shared" si="19"/>
        <v/>
      </c>
      <c r="AR69" s="2147" t="str">
        <f t="shared" si="20"/>
        <v/>
      </c>
      <c r="AS69" s="2147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147" t="str">
        <f t="shared" si="27"/>
        <v/>
      </c>
      <c r="AU69" s="214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147" t="str">
        <f t="shared" si="28"/>
        <v/>
      </c>
      <c r="AW69" s="2147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2147" t="str">
        <f t="shared" si="21"/>
        <v/>
      </c>
      <c r="AY69" s="2147" t="str">
        <f>IF(M69="","",SUMIFS($AX$8:AX69,$I$8:I69,I69))</f>
        <v/>
      </c>
      <c r="AZ69" s="2147" t="str">
        <f t="shared" si="22"/>
        <v/>
      </c>
      <c r="BA69" s="214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214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1439"/>
      <c r="B70" s="1773"/>
      <c r="C70" s="1466"/>
      <c r="D70" s="1466"/>
      <c r="E70" s="1466"/>
      <c r="F70" s="1774"/>
      <c r="G70" s="1457"/>
      <c r="H70" s="1467"/>
      <c r="I70" s="2139" t="str">
        <f t="shared" si="9"/>
        <v/>
      </c>
      <c r="J70" s="2140" t="str">
        <f t="shared" si="24"/>
        <v/>
      </c>
      <c r="K70" s="2141" t="str">
        <f t="shared" si="29"/>
        <v/>
      </c>
      <c r="L70" s="2142"/>
      <c r="M70" s="1399"/>
      <c r="N70" s="1400"/>
      <c r="O70" s="1400"/>
      <c r="P70" s="1401"/>
      <c r="Q70" s="1402"/>
      <c r="R70" s="1407"/>
      <c r="S70" s="2143" t="str">
        <f t="shared" si="0"/>
        <v/>
      </c>
      <c r="T70" s="1404"/>
      <c r="U70" s="2144" t="str">
        <f t="shared" si="11"/>
        <v/>
      </c>
      <c r="V70" s="2145" t="str">
        <f t="shared" si="25"/>
        <v/>
      </c>
      <c r="W70" s="1405"/>
      <c r="X70" s="2145" t="str">
        <f t="shared" si="26"/>
        <v/>
      </c>
      <c r="Y70" s="2146" t="str">
        <f t="shared" si="12"/>
        <v/>
      </c>
      <c r="Z70" s="1406"/>
      <c r="AA70" s="2147" t="str" cm="1">
        <f t="array" ref="AA70">IF(M70="","",IF(P70=AN70,1,Slookup(MID(AN70,1,3)*1,UomConversion!$D$8:$J$500,5,UomConversion!$E$8:$E$500,MID(P70,1,3)*1,UomConversion!$J$8:$J$500,1)))</f>
        <v/>
      </c>
      <c r="AB70" s="2147" t="str">
        <f t="shared" si="13"/>
        <v/>
      </c>
      <c r="AC70" s="2147" t="str">
        <f t="shared" si="14"/>
        <v/>
      </c>
      <c r="AD70" s="2147" t="str">
        <f t="shared" si="15"/>
        <v/>
      </c>
      <c r="AE70" s="2147" t="str">
        <f t="shared" si="16"/>
        <v/>
      </c>
      <c r="AF70" s="2147" t="str">
        <f>IF(M70="","",SUMIFS(ProductPrice!N90:N10062,ProductPrice!D90:D10062,I70,ProductPrice!G90:G10062,invoice_branch_id,ProductPrice!H90:H10062,invoice_price_type_id,ProductPrice!I90:I10062,MID(P70,1,3)*1,ProductPrice!Q90:Q10062,1,ProductPrice!T90:T10062,1))</f>
        <v/>
      </c>
      <c r="AG70" s="2147" t="str">
        <f t="shared" si="17"/>
        <v/>
      </c>
      <c r="AH70" s="2147" t="str">
        <f>IF(I70="","",IF(ISNA(MATCH(I70,IF(invoice_location_id=1,'[1]1_inventory_totals'!$C$8:$C$10000,IF(invoice_location_id=2,'[1]2_inventory_totals'!$C$8:$C$10000,0)),0)),0,IF(AV70&gt;0,1,0)))</f>
        <v/>
      </c>
      <c r="AI70" s="2147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2147" t="str">
        <f>IF(M70="","",IF(ISNA(MATCH(I70,'[1]1_group_totals'!$C$8:$C$10000)),0,IF(AW70&gt;0,1,0)))</f>
        <v/>
      </c>
      <c r="AK70" s="214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214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2147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2147" t="str">
        <f t="shared" si="18"/>
        <v/>
      </c>
      <c r="AO70" s="2147" t="str">
        <f>IF(OR(ISNA(MATCH(MID(AN70,1,3)*1,UomConversion!$D$8:$D$500,0)),M70=""),"",IF(AT70="","",AT70))</f>
        <v/>
      </c>
      <c r="AP70" s="2147" t="str">
        <f>IF(AND(AQ70&gt;0,COUNTIFS(UomConversion!$D$8:$D$500,MID(AN70,1,3)*1,UomConversion!$J$8:$J$500,1)&gt;1),TEXT(AQ70,"000")&amp;"."&amp;VLOOKUP(AQ70,uom_list,5,FALSE),"")</f>
        <v/>
      </c>
      <c r="AQ70" s="2147" t="str">
        <f t="shared" si="19"/>
        <v/>
      </c>
      <c r="AR70" s="2147" t="str">
        <f t="shared" si="20"/>
        <v/>
      </c>
      <c r="AS70" s="2147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147" t="str">
        <f t="shared" si="27"/>
        <v/>
      </c>
      <c r="AU70" s="214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147" t="str">
        <f t="shared" si="28"/>
        <v/>
      </c>
      <c r="AW70" s="2147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2147" t="str">
        <f t="shared" si="21"/>
        <v/>
      </c>
      <c r="AY70" s="2147" t="str">
        <f>IF(M70="","",SUMIFS($AX$8:AX70,$I$8:I70,I70))</f>
        <v/>
      </c>
      <c r="AZ70" s="2147" t="str">
        <f t="shared" si="22"/>
        <v/>
      </c>
      <c r="BA70" s="214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214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1439"/>
      <c r="B71" s="1773"/>
      <c r="C71" s="1466"/>
      <c r="D71" s="1466"/>
      <c r="E71" s="1466"/>
      <c r="F71" s="1774"/>
      <c r="G71" s="1457"/>
      <c r="H71" s="1467"/>
      <c r="I71" s="2139" t="str">
        <f t="shared" si="9"/>
        <v/>
      </c>
      <c r="J71" s="2140" t="str">
        <f t="shared" si="24"/>
        <v/>
      </c>
      <c r="K71" s="2141" t="str">
        <f t="shared" si="29"/>
        <v/>
      </c>
      <c r="L71" s="2142"/>
      <c r="M71" s="1399"/>
      <c r="N71" s="1400"/>
      <c r="O71" s="1400"/>
      <c r="P71" s="1401"/>
      <c r="Q71" s="1402"/>
      <c r="R71" s="1407"/>
      <c r="S71" s="2143" t="str">
        <f t="shared" si="0"/>
        <v/>
      </c>
      <c r="T71" s="1404"/>
      <c r="U71" s="2144" t="str">
        <f t="shared" si="11"/>
        <v/>
      </c>
      <c r="V71" s="2145" t="str">
        <f t="shared" si="25"/>
        <v/>
      </c>
      <c r="W71" s="1405"/>
      <c r="X71" s="2145" t="str">
        <f t="shared" si="26"/>
        <v/>
      </c>
      <c r="Y71" s="2146" t="str">
        <f t="shared" si="12"/>
        <v/>
      </c>
      <c r="Z71" s="1406"/>
      <c r="AA71" s="2147" t="str" cm="1">
        <f t="array" ref="AA71">IF(M71="","",IF(P71=AN71,1,Slookup(MID(AN71,1,3)*1,UomConversion!$D$8:$J$500,5,UomConversion!$E$8:$E$500,MID(P71,1,3)*1,UomConversion!$J$8:$J$500,1)))</f>
        <v/>
      </c>
      <c r="AB71" s="2147" t="str">
        <f t="shared" si="13"/>
        <v/>
      </c>
      <c r="AC71" s="2147" t="str">
        <f t="shared" si="14"/>
        <v/>
      </c>
      <c r="AD71" s="2147" t="str">
        <f t="shared" si="15"/>
        <v/>
      </c>
      <c r="AE71" s="2147" t="str">
        <f t="shared" si="16"/>
        <v/>
      </c>
      <c r="AF71" s="2147" t="str">
        <f>IF(M71="","",SUMIFS(ProductPrice!N91:N10063,ProductPrice!D91:D10063,I71,ProductPrice!G91:G10063,invoice_branch_id,ProductPrice!H91:H10063,invoice_price_type_id,ProductPrice!I91:I10063,MID(P71,1,3)*1,ProductPrice!Q91:Q10063,1,ProductPrice!T91:T10063,1))</f>
        <v/>
      </c>
      <c r="AG71" s="2147" t="str">
        <f t="shared" si="17"/>
        <v/>
      </c>
      <c r="AH71" s="2147" t="str">
        <f>IF(I71="","",IF(ISNA(MATCH(I71,IF(invoice_location_id=1,'[1]1_inventory_totals'!$C$8:$C$10000,IF(invoice_location_id=2,'[1]2_inventory_totals'!$C$8:$C$10000,0)),0)),0,IF(AV71&gt;0,1,0)))</f>
        <v/>
      </c>
      <c r="AI71" s="2147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2147" t="str">
        <f>IF(M71="","",IF(ISNA(MATCH(I71,'[1]1_group_totals'!$C$8:$C$10000)),0,IF(AW71&gt;0,1,0)))</f>
        <v/>
      </c>
      <c r="AK71" s="214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214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2147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2147" t="str">
        <f t="shared" si="18"/>
        <v/>
      </c>
      <c r="AO71" s="2147" t="str">
        <f>IF(OR(ISNA(MATCH(MID(AN71,1,3)*1,UomConversion!$D$8:$D$500,0)),M71=""),"",IF(AT71="","",AT71))</f>
        <v/>
      </c>
      <c r="AP71" s="2147" t="str">
        <f>IF(AND(AQ71&gt;0,COUNTIFS(UomConversion!$D$8:$D$500,MID(AN71,1,3)*1,UomConversion!$J$8:$J$500,1)&gt;1),TEXT(AQ71,"000")&amp;"."&amp;VLOOKUP(AQ71,uom_list,5,FALSE),"")</f>
        <v/>
      </c>
      <c r="AQ71" s="2147" t="str">
        <f t="shared" si="19"/>
        <v/>
      </c>
      <c r="AR71" s="2147" t="str">
        <f t="shared" si="20"/>
        <v/>
      </c>
      <c r="AS71" s="2147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147" t="str">
        <f t="shared" si="27"/>
        <v/>
      </c>
      <c r="AU71" s="214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147" t="str">
        <f t="shared" si="28"/>
        <v/>
      </c>
      <c r="AW71" s="2147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2147" t="str">
        <f t="shared" si="21"/>
        <v/>
      </c>
      <c r="AY71" s="2147" t="str">
        <f>IF(M71="","",SUMIFS($AX$8:AX71,$I$8:I71,I71))</f>
        <v/>
      </c>
      <c r="AZ71" s="2147" t="str">
        <f t="shared" si="22"/>
        <v/>
      </c>
      <c r="BA71" s="214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214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1439"/>
      <c r="B72" s="1773"/>
      <c r="C72" s="1466"/>
      <c r="D72" s="1466"/>
      <c r="E72" s="1466"/>
      <c r="F72" s="1774"/>
      <c r="G72" s="1457"/>
      <c r="H72" s="1467"/>
      <c r="I72" s="2139" t="str">
        <f t="shared" si="9"/>
        <v/>
      </c>
      <c r="J72" s="2140" t="str">
        <f t="shared" si="24"/>
        <v/>
      </c>
      <c r="K72" s="2141" t="str">
        <f t="shared" ref="K72:K87" si="30">IF(M72="","",VLOOKUP(I72,product_list,4,FALSE))</f>
        <v/>
      </c>
      <c r="L72" s="2142"/>
      <c r="M72" s="1399"/>
      <c r="N72" s="1400"/>
      <c r="O72" s="1400"/>
      <c r="P72" s="1401"/>
      <c r="Q72" s="1402"/>
      <c r="R72" s="1407"/>
      <c r="S72" s="2143" t="str">
        <f t="shared" ref="S72:S87" si="31">IF(M72="","",invoice_currency_symbol)</f>
        <v/>
      </c>
      <c r="T72" s="1404"/>
      <c r="U72" s="2144" t="str">
        <f t="shared" si="11"/>
        <v/>
      </c>
      <c r="V72" s="2145" t="str">
        <f t="shared" ref="V72:V87" si="32">IF(W72=0,"",invoice_currency_symbol)</f>
        <v/>
      </c>
      <c r="W72" s="1405"/>
      <c r="X72" s="2145" t="str">
        <f t="shared" ref="X72:X87" si="33">IF(M72="","",invoice_currency_symbol)</f>
        <v/>
      </c>
      <c r="Y72" s="2146" t="str">
        <f t="shared" si="12"/>
        <v/>
      </c>
      <c r="Z72" s="1406"/>
      <c r="AA72" s="2147" t="str" cm="1">
        <f t="array" ref="AA72">IF(M72="","",IF(P72=AN72,1,Slookup(MID(AN72,1,3)*1,UomConversion!$D$8:$J$500,5,UomConversion!$E$8:$E$500,MID(P72,1,3)*1,UomConversion!$J$8:$J$500,1)))</f>
        <v/>
      </c>
      <c r="AB72" s="2147" t="str">
        <f t="shared" si="13"/>
        <v/>
      </c>
      <c r="AC72" s="2147" t="str">
        <f t="shared" si="14"/>
        <v/>
      </c>
      <c r="AD72" s="2147" t="str">
        <f t="shared" si="15"/>
        <v/>
      </c>
      <c r="AE72" s="2147" t="str">
        <f t="shared" si="16"/>
        <v/>
      </c>
      <c r="AF72" s="2147" t="str">
        <f>IF(M72="","",SUMIFS(ProductPrice!N92:N10064,ProductPrice!D92:D10064,I72,ProductPrice!G92:G10064,invoice_branch_id,ProductPrice!H92:H10064,invoice_price_type_id,ProductPrice!I92:I10064,MID(P72,1,3)*1,ProductPrice!Q92:Q10064,1,ProductPrice!T92:T10064,1))</f>
        <v/>
      </c>
      <c r="AG72" s="2147" t="str">
        <f t="shared" si="17"/>
        <v/>
      </c>
      <c r="AH72" s="2147" t="str">
        <f>IF(I72="","",IF(ISNA(MATCH(I72,IF(invoice_location_id=1,'[1]1_inventory_totals'!$C$8:$C$10000,IF(invoice_location_id=2,'[1]2_inventory_totals'!$C$8:$C$10000,0)),0)),0,IF(AV72&gt;0,1,0)))</f>
        <v/>
      </c>
      <c r="AI72" s="2147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2147" t="str">
        <f>IF(M72="","",IF(ISNA(MATCH(I72,'[1]1_group_totals'!$C$8:$C$10000)),0,IF(AW72&gt;0,1,0)))</f>
        <v/>
      </c>
      <c r="AK72" s="214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214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2147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2147" t="str">
        <f t="shared" si="18"/>
        <v/>
      </c>
      <c r="AO72" s="2147" t="str">
        <f>IF(OR(ISNA(MATCH(MID(AN72,1,3)*1,UomConversion!$D$8:$D$500,0)),M72=""),"",IF(AT72="","",AT72))</f>
        <v/>
      </c>
      <c r="AP72" s="2147" t="str">
        <f>IF(AND(AQ72&gt;0,COUNTIFS(UomConversion!$D$8:$D$500,MID(AN72,1,3)*1,UomConversion!$J$8:$J$500,1)&gt;1),TEXT(AQ72,"000")&amp;"."&amp;VLOOKUP(AQ72,uom_list,5,FALSE),"")</f>
        <v/>
      </c>
      <c r="AQ72" s="2147" t="str">
        <f t="shared" si="19"/>
        <v/>
      </c>
      <c r="AR72" s="2147" t="str">
        <f t="shared" si="20"/>
        <v/>
      </c>
      <c r="AS72" s="2147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147" t="str">
        <f t="shared" ref="AT72:AT87" si="34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14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147" t="str">
        <f t="shared" ref="AV72:AV87" si="35">IF(M72="","",IF(invoice_location_id=1,BA72,IF(invoice_location_id=2,BB72,0)))</f>
        <v/>
      </c>
      <c r="AW72" s="2147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2147" t="str">
        <f t="shared" si="21"/>
        <v/>
      </c>
      <c r="AY72" s="2147" t="str">
        <f>IF(M72="","",SUMIFS($AX$8:AX72,$I$8:I72,I72))</f>
        <v/>
      </c>
      <c r="AZ72" s="2147" t="str">
        <f t="shared" si="22"/>
        <v/>
      </c>
      <c r="BA72" s="214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214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1439"/>
      <c r="B73" s="1773"/>
      <c r="C73" s="1466"/>
      <c r="D73" s="1466"/>
      <c r="E73" s="1466"/>
      <c r="F73" s="1774"/>
      <c r="G73" s="1457"/>
      <c r="H73" s="1467"/>
      <c r="I73" s="2139" t="str">
        <f t="shared" ref="I73:I87" si="36">IF(M73="","",MID(M73,1,5)*1)</f>
        <v/>
      </c>
      <c r="J73" s="2140" t="str">
        <f t="shared" ref="J73:J87" si="37">IF(M73="","",1)</f>
        <v/>
      </c>
      <c r="K73" s="2141" t="str">
        <f t="shared" si="30"/>
        <v/>
      </c>
      <c r="L73" s="2142"/>
      <c r="M73" s="1399"/>
      <c r="N73" s="1400"/>
      <c r="O73" s="1400"/>
      <c r="P73" s="1401"/>
      <c r="Q73" s="1402"/>
      <c r="R73" s="1407"/>
      <c r="S73" s="2143" t="str">
        <f t="shared" si="31"/>
        <v/>
      </c>
      <c r="T73" s="1404"/>
      <c r="U73" s="2144" t="str">
        <f t="shared" ref="U73:U87" si="38">IF(M73="","",ROUND(IF(AS73&gt;0,AS73,IF(P73=AN73,AF73,IF(P73=AO73,ROUND(AF73/AA73,9),IF(P73=AP73,ROUND(AF73/AB73,9))))),2))</f>
        <v/>
      </c>
      <c r="V73" s="2145" t="str">
        <f t="shared" si="32"/>
        <v/>
      </c>
      <c r="W73" s="1405"/>
      <c r="X73" s="2145" t="str">
        <f t="shared" si="33"/>
        <v/>
      </c>
      <c r="Y73" s="2146" t="str">
        <f t="shared" ref="Y73:Y87" si="39">IF(M73="","",ROUND(IF(T73&gt;0,N73*T73-W73,N73*U73-W73),2))</f>
        <v/>
      </c>
      <c r="Z73" s="1406"/>
      <c r="AA73" s="2147" t="str" cm="1">
        <f t="array" ref="AA73">IF(M73="","",IF(P73=AN73,1,Slookup(MID(AN73,1,3)*1,UomConversion!$D$8:$J$500,5,UomConversion!$E$8:$E$500,MID(P73,1,3)*1,UomConversion!$J$8:$J$500,1)))</f>
        <v/>
      </c>
      <c r="AB73" s="2147" t="str">
        <f t="shared" ref="AB73:AB87" si="40">IF(AND(M73="",ISNA(VLOOKUP(I73,product_list,18,FALSE))),"",VLOOKUP(I73,product_list,18,FALSE))</f>
        <v/>
      </c>
      <c r="AC73" s="2147" t="str">
        <f t="shared" ref="AC73:AC87" si="41">IF(M73="","",W73)</f>
        <v/>
      </c>
      <c r="AD73" s="2147" t="str">
        <f t="shared" ref="AD73:AD87" si="42">IF(M73="","",IF(P73=AN73,AE73,IF(P73=AO73,ROUND(AE73/AA73,9),IF(P73=AP73,ROUND(AE73/AB73,9)))))</f>
        <v/>
      </c>
      <c r="AE73" s="2147" t="str">
        <f t="shared" ref="AE73:AE87" si="43">IF(M73="","",VLOOKUP(I73,product_list,14,FALSE))</f>
        <v/>
      </c>
      <c r="AF73" s="2147" t="str">
        <f>IF(M73="","",SUMIFS(ProductPrice!N93:N10065,ProductPrice!D93:D10065,I73,ProductPrice!G93:G10065,invoice_branch_id,ProductPrice!H93:H10065,invoice_price_type_id,ProductPrice!I93:I10065,MID(P73,1,3)*1,ProductPrice!Q93:Q10065,1,ProductPrice!T93:T10065,1))</f>
        <v/>
      </c>
      <c r="AG73" s="2147" t="str">
        <f t="shared" ref="AG73:AG87" si="44">IF(M73="","",VLOOKUP(I73,product_list,23,FALSE))</f>
        <v/>
      </c>
      <c r="AH73" s="2147" t="str">
        <f>IF(I73="","",IF(ISNA(MATCH(I73,IF(invoice_location_id=1,'[1]1_inventory_totals'!$C$8:$C$10000,IF(invoice_location_id=2,'[1]2_inventory_totals'!$C$8:$C$10000,0)),0)),0,IF(AV73&gt;0,1,0)))</f>
        <v/>
      </c>
      <c r="AI73" s="2147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2147" t="str">
        <f>IF(M73="","",IF(ISNA(MATCH(I73,'[1]1_group_totals'!$C$8:$C$10000)),0,IF(AW73&gt;0,1,0)))</f>
        <v/>
      </c>
      <c r="AK73" s="214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214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2147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2147" t="str">
        <f t="shared" ref="AN73:AN87" si="45">IF(M73="","",VLOOKUP(I73,product_list,8,FALSE))</f>
        <v/>
      </c>
      <c r="AO73" s="2147" t="str">
        <f>IF(OR(ISNA(MATCH(MID(AN73,1,3)*1,UomConversion!$D$8:$D$500,0)),M73=""),"",IF(AT73="","",AT73))</f>
        <v/>
      </c>
      <c r="AP73" s="2147" t="str">
        <f>IF(AND(AQ73&gt;0,COUNTIFS(UomConversion!$D$8:$D$500,MID(AN73,1,3)*1,UomConversion!$J$8:$J$500,1)&gt;1),TEXT(AQ73,"000")&amp;"."&amp;VLOOKUP(AQ73,uom_list,5,FALSE),"")</f>
        <v/>
      </c>
      <c r="AQ73" s="2147" t="str">
        <f t="shared" ref="AQ73:AQ87" si="46">IF(AND(AU73&gt;0,M73&lt;&gt;""),AU73,"")</f>
        <v/>
      </c>
      <c r="AR73" s="2147" t="str">
        <f t="shared" ref="AR73:AR87" si="47">IF(M73="","",IF(AA73&gt;0,AB73/AA73,""))</f>
        <v/>
      </c>
      <c r="AS73" s="2147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147" t="str">
        <f t="shared" si="34"/>
        <v/>
      </c>
      <c r="AU73" s="214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147" t="str">
        <f t="shared" si="35"/>
        <v/>
      </c>
      <c r="AW73" s="2147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2147" t="str">
        <f t="shared" ref="AX73:AX87" si="48">IF(M73="","",IF((N73+O73)*(AB73/AA73)&gt;0,(N73+O73)*(AB73/AA73),0))</f>
        <v/>
      </c>
      <c r="AY73" s="2147" t="str">
        <f>IF(M73="","",SUMIFS($AX$8:AX73,$I$8:I73,I73))</f>
        <v/>
      </c>
      <c r="AZ73" s="2147" t="str">
        <f t="shared" ref="AZ73:AZ87" si="49">IF(M73="","",AL73-AY73)</f>
        <v/>
      </c>
      <c r="BA73" s="214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214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1439"/>
      <c r="B74" s="1773"/>
      <c r="C74" s="1466"/>
      <c r="D74" s="1466"/>
      <c r="E74" s="1466"/>
      <c r="F74" s="1774"/>
      <c r="G74" s="1457"/>
      <c r="H74" s="1467"/>
      <c r="I74" s="2139" t="str">
        <f t="shared" si="36"/>
        <v/>
      </c>
      <c r="J74" s="2140" t="str">
        <f t="shared" si="37"/>
        <v/>
      </c>
      <c r="K74" s="2141" t="str">
        <f t="shared" si="30"/>
        <v/>
      </c>
      <c r="L74" s="2142"/>
      <c r="M74" s="1399"/>
      <c r="N74" s="1400"/>
      <c r="O74" s="1400"/>
      <c r="P74" s="1401"/>
      <c r="Q74" s="1402"/>
      <c r="R74" s="1407"/>
      <c r="S74" s="2143" t="str">
        <f t="shared" si="31"/>
        <v/>
      </c>
      <c r="T74" s="1404"/>
      <c r="U74" s="2144" t="str">
        <f t="shared" si="38"/>
        <v/>
      </c>
      <c r="V74" s="2145" t="str">
        <f t="shared" si="32"/>
        <v/>
      </c>
      <c r="W74" s="1405"/>
      <c r="X74" s="2145" t="str">
        <f t="shared" si="33"/>
        <v/>
      </c>
      <c r="Y74" s="2146" t="str">
        <f t="shared" si="39"/>
        <v/>
      </c>
      <c r="Z74" s="1406"/>
      <c r="AA74" s="2147" t="str" cm="1">
        <f t="array" ref="AA74">IF(M74="","",IF(P74=AN74,1,Slookup(MID(AN74,1,3)*1,UomConversion!$D$8:$J$500,5,UomConversion!$E$8:$E$500,MID(P74,1,3)*1,UomConversion!$J$8:$J$500,1)))</f>
        <v/>
      </c>
      <c r="AB74" s="2147" t="str">
        <f t="shared" si="40"/>
        <v/>
      </c>
      <c r="AC74" s="2147" t="str">
        <f t="shared" si="41"/>
        <v/>
      </c>
      <c r="AD74" s="2147" t="str">
        <f t="shared" si="42"/>
        <v/>
      </c>
      <c r="AE74" s="2147" t="str">
        <f t="shared" si="43"/>
        <v/>
      </c>
      <c r="AF74" s="2147" t="str">
        <f>IF(M74="","",SUMIFS(ProductPrice!N94:N10066,ProductPrice!D94:D10066,I74,ProductPrice!G94:G10066,invoice_branch_id,ProductPrice!H94:H10066,invoice_price_type_id,ProductPrice!I94:I10066,MID(P74,1,3)*1,ProductPrice!Q94:Q10066,1,ProductPrice!T94:T10066,1))</f>
        <v/>
      </c>
      <c r="AG74" s="2147" t="str">
        <f t="shared" si="44"/>
        <v/>
      </c>
      <c r="AH74" s="2147" t="str">
        <f>IF(I74="","",IF(ISNA(MATCH(I74,IF(invoice_location_id=1,'[1]1_inventory_totals'!$C$8:$C$10000,IF(invoice_location_id=2,'[1]2_inventory_totals'!$C$8:$C$10000,0)),0)),0,IF(AV74&gt;0,1,0)))</f>
        <v/>
      </c>
      <c r="AI74" s="2147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2147" t="str">
        <f>IF(M74="","",IF(ISNA(MATCH(I74,'[1]1_group_totals'!$C$8:$C$10000)),0,IF(AW74&gt;0,1,0)))</f>
        <v/>
      </c>
      <c r="AK74" s="214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214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2147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2147" t="str">
        <f t="shared" si="45"/>
        <v/>
      </c>
      <c r="AO74" s="2147" t="str">
        <f>IF(OR(ISNA(MATCH(MID(AN74,1,3)*1,UomConversion!$D$8:$D$500,0)),M74=""),"",IF(AT74="","",AT74))</f>
        <v/>
      </c>
      <c r="AP74" s="2147" t="str">
        <f>IF(AND(AQ74&gt;0,COUNTIFS(UomConversion!$D$8:$D$500,MID(AN74,1,3)*1,UomConversion!$J$8:$J$500,1)&gt;1),TEXT(AQ74,"000")&amp;"."&amp;VLOOKUP(AQ74,uom_list,5,FALSE),"")</f>
        <v/>
      </c>
      <c r="AQ74" s="2147" t="str">
        <f t="shared" si="46"/>
        <v/>
      </c>
      <c r="AR74" s="2147" t="str">
        <f t="shared" si="47"/>
        <v/>
      </c>
      <c r="AS74" s="2147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147" t="str">
        <f t="shared" si="34"/>
        <v/>
      </c>
      <c r="AU74" s="214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147" t="str">
        <f t="shared" si="35"/>
        <v/>
      </c>
      <c r="AW74" s="2147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2147" t="str">
        <f t="shared" si="48"/>
        <v/>
      </c>
      <c r="AY74" s="2147" t="str">
        <f>IF(M74="","",SUMIFS($AX$8:AX74,$I$8:I74,I74))</f>
        <v/>
      </c>
      <c r="AZ74" s="2147" t="str">
        <f t="shared" si="49"/>
        <v/>
      </c>
      <c r="BA74" s="214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214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1439"/>
      <c r="B75" s="1773"/>
      <c r="C75" s="1466"/>
      <c r="D75" s="1466"/>
      <c r="E75" s="1466"/>
      <c r="F75" s="1774"/>
      <c r="G75" s="1457"/>
      <c r="H75" s="1467"/>
      <c r="I75" s="2139" t="str">
        <f t="shared" si="36"/>
        <v/>
      </c>
      <c r="J75" s="2140" t="str">
        <f t="shared" si="37"/>
        <v/>
      </c>
      <c r="K75" s="2141" t="str">
        <f>IF(M75="","",VLOOKUP(I75,product_list,4,FALSE))</f>
        <v/>
      </c>
      <c r="L75" s="2142"/>
      <c r="M75" s="1399"/>
      <c r="N75" s="1400"/>
      <c r="O75" s="1400"/>
      <c r="P75" s="1401"/>
      <c r="Q75" s="1402"/>
      <c r="R75" s="1407"/>
      <c r="S75" s="2143" t="str">
        <f t="shared" si="31"/>
        <v/>
      </c>
      <c r="T75" s="1404"/>
      <c r="U75" s="2144" t="str">
        <f t="shared" si="38"/>
        <v/>
      </c>
      <c r="V75" s="2145" t="str">
        <f t="shared" si="32"/>
        <v/>
      </c>
      <c r="W75" s="1405"/>
      <c r="X75" s="2145" t="str">
        <f t="shared" si="33"/>
        <v/>
      </c>
      <c r="Y75" s="2146" t="str">
        <f t="shared" si="39"/>
        <v/>
      </c>
      <c r="Z75" s="1406"/>
      <c r="AA75" s="2147" t="str" cm="1">
        <f t="array" ref="AA75">IF(M75="","",IF(P75=AN75,1,Slookup(MID(AN75,1,3)*1,UomConversion!$D$8:$J$500,5,UomConversion!$E$8:$E$500,MID(P75,1,3)*1,UomConversion!$J$8:$J$500,1)))</f>
        <v/>
      </c>
      <c r="AB75" s="2147" t="str">
        <f t="shared" si="40"/>
        <v/>
      </c>
      <c r="AC75" s="2147" t="str">
        <f t="shared" si="41"/>
        <v/>
      </c>
      <c r="AD75" s="2147" t="str">
        <f t="shared" si="42"/>
        <v/>
      </c>
      <c r="AE75" s="2147" t="str">
        <f t="shared" si="43"/>
        <v/>
      </c>
      <c r="AF75" s="2147" t="str">
        <f>IF(M75="","",SUMIFS(ProductPrice!N95:N10067,ProductPrice!D95:D10067,I75,ProductPrice!G95:G10067,invoice_branch_id,ProductPrice!H95:H10067,invoice_price_type_id,ProductPrice!I95:I10067,MID(P75,1,3)*1,ProductPrice!Q95:Q10067,1,ProductPrice!T95:T10067,1))</f>
        <v/>
      </c>
      <c r="AG75" s="2147" t="str">
        <f t="shared" si="44"/>
        <v/>
      </c>
      <c r="AH75" s="2147" t="str">
        <f>IF(I75="","",IF(ISNA(MATCH(I75,IF(invoice_location_id=1,'[1]1_inventory_totals'!$C$8:$C$10000,IF(invoice_location_id=2,'[1]2_inventory_totals'!$C$8:$C$10000,0)),0)),0,IF(AV75&gt;0,1,0)))</f>
        <v/>
      </c>
      <c r="AI75" s="2147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2147" t="str">
        <f>IF(M75="","",IF(ISNA(MATCH(I75,'[1]1_group_totals'!$C$8:$C$10000)),0,IF(AW75&gt;0,1,0)))</f>
        <v/>
      </c>
      <c r="AK75" s="214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214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2147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2147" t="str">
        <f t="shared" si="45"/>
        <v/>
      </c>
      <c r="AO75" s="2147" t="str">
        <f>IF(OR(ISNA(MATCH(MID(AN75,1,3)*1,UomConversion!$D$8:$D$500,0)),M75=""),"",IF(AT75="","",AT75))</f>
        <v/>
      </c>
      <c r="AP75" s="2147" t="str">
        <f>IF(AND(AQ75&gt;0,COUNTIFS(UomConversion!$D$8:$D$500,MID(AN75,1,3)*1,UomConversion!$J$8:$J$500,1)&gt;1),TEXT(AQ75,"000")&amp;"."&amp;VLOOKUP(AQ75,uom_list,5,FALSE),"")</f>
        <v/>
      </c>
      <c r="AQ75" s="2147" t="str">
        <f t="shared" si="46"/>
        <v/>
      </c>
      <c r="AR75" s="2147" t="str">
        <f t="shared" si="47"/>
        <v/>
      </c>
      <c r="AS75" s="2147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147" t="str">
        <f t="shared" si="34"/>
        <v/>
      </c>
      <c r="AU75" s="214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147" t="str">
        <f t="shared" si="35"/>
        <v/>
      </c>
      <c r="AW75" s="2147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2147" t="str">
        <f t="shared" si="48"/>
        <v/>
      </c>
      <c r="AY75" s="2147" t="str">
        <f>IF(M75="","",SUMIFS($AX$8:AX75,$I$8:I75,I75))</f>
        <v/>
      </c>
      <c r="AZ75" s="2147" t="str">
        <f t="shared" si="49"/>
        <v/>
      </c>
      <c r="BA75" s="214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214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1439"/>
      <c r="B76" s="1773"/>
      <c r="C76" s="1466"/>
      <c r="D76" s="1466"/>
      <c r="E76" s="1466"/>
      <c r="F76" s="1774"/>
      <c r="G76" s="1457"/>
      <c r="H76" s="1467"/>
      <c r="I76" s="2139" t="str">
        <f t="shared" si="36"/>
        <v/>
      </c>
      <c r="J76" s="2140" t="str">
        <f t="shared" si="37"/>
        <v/>
      </c>
      <c r="K76" s="2141" t="str">
        <f t="shared" si="30"/>
        <v/>
      </c>
      <c r="L76" s="2142"/>
      <c r="M76" s="1399"/>
      <c r="N76" s="1400"/>
      <c r="O76" s="1400"/>
      <c r="P76" s="1401"/>
      <c r="Q76" s="1402"/>
      <c r="R76" s="1407"/>
      <c r="S76" s="2143" t="str">
        <f t="shared" si="31"/>
        <v/>
      </c>
      <c r="T76" s="1404"/>
      <c r="U76" s="2144" t="str">
        <f t="shared" si="38"/>
        <v/>
      </c>
      <c r="V76" s="2145" t="str">
        <f t="shared" si="32"/>
        <v/>
      </c>
      <c r="W76" s="1405"/>
      <c r="X76" s="2145" t="str">
        <f t="shared" si="33"/>
        <v/>
      </c>
      <c r="Y76" s="2146" t="str">
        <f t="shared" si="39"/>
        <v/>
      </c>
      <c r="Z76" s="1406"/>
      <c r="AA76" s="2147" t="str" cm="1">
        <f t="array" ref="AA76">IF(M76="","",IF(P76=AN76,1,Slookup(MID(AN76,1,3)*1,UomConversion!$D$8:$J$500,5,UomConversion!$E$8:$E$500,MID(P76,1,3)*1,UomConversion!$J$8:$J$500,1)))</f>
        <v/>
      </c>
      <c r="AB76" s="2147" t="str">
        <f t="shared" si="40"/>
        <v/>
      </c>
      <c r="AC76" s="2147" t="str">
        <f t="shared" si="41"/>
        <v/>
      </c>
      <c r="AD76" s="2147" t="str">
        <f t="shared" si="42"/>
        <v/>
      </c>
      <c r="AE76" s="2147" t="str">
        <f t="shared" si="43"/>
        <v/>
      </c>
      <c r="AF76" s="2147" t="str">
        <f>IF(M76="","",SUMIFS(ProductPrice!N96:N10068,ProductPrice!D96:D10068,I76,ProductPrice!G96:G10068,invoice_branch_id,ProductPrice!H96:H10068,invoice_price_type_id,ProductPrice!I96:I10068,MID(P76,1,3)*1,ProductPrice!Q96:Q10068,1,ProductPrice!T96:T10068,1))</f>
        <v/>
      </c>
      <c r="AG76" s="2147" t="str">
        <f t="shared" si="44"/>
        <v/>
      </c>
      <c r="AH76" s="2147" t="str">
        <f>IF(I76="","",IF(ISNA(MATCH(I76,IF(invoice_location_id=1,'[1]1_inventory_totals'!$C$8:$C$10000,IF(invoice_location_id=2,'[1]2_inventory_totals'!$C$8:$C$10000,0)),0)),0,IF(AV76&gt;0,1,0)))</f>
        <v/>
      </c>
      <c r="AI76" s="2147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2147" t="str">
        <f>IF(M76="","",IF(ISNA(MATCH(I76,'[1]1_group_totals'!$C$8:$C$10000)),0,IF(AW76&gt;0,1,0)))</f>
        <v/>
      </c>
      <c r="AK76" s="214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214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2147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2147" t="str">
        <f t="shared" si="45"/>
        <v/>
      </c>
      <c r="AO76" s="2147" t="str">
        <f>IF(OR(ISNA(MATCH(MID(AN76,1,3)*1,UomConversion!$D$8:$D$500,0)),M76=""),"",IF(AT76="","",AT76))</f>
        <v/>
      </c>
      <c r="AP76" s="2147" t="str">
        <f>IF(AND(AQ76&gt;0,COUNTIFS(UomConversion!$D$8:$D$500,MID(AN76,1,3)*1,UomConversion!$J$8:$J$500,1)&gt;1),TEXT(AQ76,"000")&amp;"."&amp;VLOOKUP(AQ76,uom_list,5,FALSE),"")</f>
        <v/>
      </c>
      <c r="AQ76" s="2147" t="str">
        <f t="shared" si="46"/>
        <v/>
      </c>
      <c r="AR76" s="2147" t="str">
        <f t="shared" si="47"/>
        <v/>
      </c>
      <c r="AS76" s="2147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147" t="str">
        <f t="shared" si="34"/>
        <v/>
      </c>
      <c r="AU76" s="214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147" t="str">
        <f t="shared" si="35"/>
        <v/>
      </c>
      <c r="AW76" s="2147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2147" t="str">
        <f t="shared" si="48"/>
        <v/>
      </c>
      <c r="AY76" s="2147" t="str">
        <f>IF(M76="","",SUMIFS($AX$8:AX76,$I$8:I76,I76))</f>
        <v/>
      </c>
      <c r="AZ76" s="2147" t="str">
        <f t="shared" si="49"/>
        <v/>
      </c>
      <c r="BA76" s="214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214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1439"/>
      <c r="B77" s="1773"/>
      <c r="C77" s="1466"/>
      <c r="D77" s="1466"/>
      <c r="E77" s="1466"/>
      <c r="F77" s="1774"/>
      <c r="G77" s="1457"/>
      <c r="H77" s="1467"/>
      <c r="I77" s="2139" t="str">
        <f t="shared" si="36"/>
        <v/>
      </c>
      <c r="J77" s="2140" t="str">
        <f t="shared" si="37"/>
        <v/>
      </c>
      <c r="K77" s="2141" t="str">
        <f t="shared" si="30"/>
        <v/>
      </c>
      <c r="L77" s="2142"/>
      <c r="M77" s="1399"/>
      <c r="N77" s="1400"/>
      <c r="O77" s="1400"/>
      <c r="P77" s="1401"/>
      <c r="Q77" s="1402"/>
      <c r="R77" s="1407"/>
      <c r="S77" s="2143" t="str">
        <f t="shared" si="31"/>
        <v/>
      </c>
      <c r="T77" s="1404"/>
      <c r="U77" s="2144" t="str">
        <f t="shared" si="38"/>
        <v/>
      </c>
      <c r="V77" s="2145" t="str">
        <f t="shared" si="32"/>
        <v/>
      </c>
      <c r="W77" s="1405"/>
      <c r="X77" s="2145" t="str">
        <f t="shared" si="33"/>
        <v/>
      </c>
      <c r="Y77" s="2146" t="str">
        <f t="shared" si="39"/>
        <v/>
      </c>
      <c r="Z77" s="1406"/>
      <c r="AA77" s="2147" t="str" cm="1">
        <f t="array" ref="AA77">IF(M77="","",IF(P77=AN77,1,Slookup(MID(AN77,1,3)*1,UomConversion!$D$8:$J$500,5,UomConversion!$E$8:$E$500,MID(P77,1,3)*1,UomConversion!$J$8:$J$500,1)))</f>
        <v/>
      </c>
      <c r="AB77" s="2147" t="str">
        <f t="shared" si="40"/>
        <v/>
      </c>
      <c r="AC77" s="2147" t="str">
        <f t="shared" si="41"/>
        <v/>
      </c>
      <c r="AD77" s="2147" t="str">
        <f t="shared" si="42"/>
        <v/>
      </c>
      <c r="AE77" s="2147" t="str">
        <f t="shared" si="43"/>
        <v/>
      </c>
      <c r="AF77" s="2147" t="str">
        <f>IF(M77="","",SUMIFS(ProductPrice!N97:N10069,ProductPrice!D97:D10069,I77,ProductPrice!G97:G10069,invoice_branch_id,ProductPrice!H97:H10069,invoice_price_type_id,ProductPrice!I97:I10069,MID(P77,1,3)*1,ProductPrice!Q97:Q10069,1,ProductPrice!T97:T10069,1))</f>
        <v/>
      </c>
      <c r="AG77" s="2147" t="str">
        <f t="shared" si="44"/>
        <v/>
      </c>
      <c r="AH77" s="2147" t="str">
        <f>IF(I77="","",IF(ISNA(MATCH(I77,IF(invoice_location_id=1,'[1]1_inventory_totals'!$C$8:$C$10000,IF(invoice_location_id=2,'[1]2_inventory_totals'!$C$8:$C$10000,0)),0)),0,IF(AV77&gt;0,1,0)))</f>
        <v/>
      </c>
      <c r="AI77" s="2147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2147" t="str">
        <f>IF(M77="","",IF(ISNA(MATCH(I77,'[1]1_group_totals'!$C$8:$C$10000)),0,IF(AW77&gt;0,1,0)))</f>
        <v/>
      </c>
      <c r="AK77" s="214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214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2147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2147" t="str">
        <f t="shared" si="45"/>
        <v/>
      </c>
      <c r="AO77" s="2147" t="str">
        <f>IF(OR(ISNA(MATCH(MID(AN77,1,3)*1,UomConversion!$D$8:$D$500,0)),M77=""),"",IF(AT77="","",AT77))</f>
        <v/>
      </c>
      <c r="AP77" s="2147" t="str">
        <f>IF(AND(AQ77&gt;0,COUNTIFS(UomConversion!$D$8:$D$500,MID(AN77,1,3)*1,UomConversion!$J$8:$J$500,1)&gt;1),TEXT(AQ77,"000")&amp;"."&amp;VLOOKUP(AQ77,uom_list,5,FALSE),"")</f>
        <v/>
      </c>
      <c r="AQ77" s="2147" t="str">
        <f t="shared" si="46"/>
        <v/>
      </c>
      <c r="AR77" s="2147" t="str">
        <f t="shared" si="47"/>
        <v/>
      </c>
      <c r="AS77" s="2147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147" t="str">
        <f t="shared" si="34"/>
        <v/>
      </c>
      <c r="AU77" s="214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147" t="str">
        <f t="shared" si="35"/>
        <v/>
      </c>
      <c r="AW77" s="2147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2147" t="str">
        <f t="shared" si="48"/>
        <v/>
      </c>
      <c r="AY77" s="2147" t="str">
        <f>IF(M77="","",SUMIFS($AX$8:AX77,$I$8:I77,I77))</f>
        <v/>
      </c>
      <c r="AZ77" s="2147" t="str">
        <f t="shared" si="49"/>
        <v/>
      </c>
      <c r="BA77" s="214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214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1439"/>
      <c r="B78" s="1773"/>
      <c r="C78" s="1466"/>
      <c r="D78" s="1466"/>
      <c r="E78" s="1466"/>
      <c r="F78" s="1774"/>
      <c r="G78" s="1457"/>
      <c r="H78" s="1467"/>
      <c r="I78" s="2139" t="str">
        <f t="shared" si="36"/>
        <v/>
      </c>
      <c r="J78" s="2140" t="str">
        <f t="shared" si="37"/>
        <v/>
      </c>
      <c r="K78" s="2141" t="str">
        <f t="shared" si="30"/>
        <v/>
      </c>
      <c r="L78" s="2142"/>
      <c r="M78" s="1399"/>
      <c r="N78" s="1400"/>
      <c r="O78" s="1400"/>
      <c r="P78" s="1401"/>
      <c r="Q78" s="1402"/>
      <c r="R78" s="1407"/>
      <c r="S78" s="2143" t="str">
        <f t="shared" si="31"/>
        <v/>
      </c>
      <c r="T78" s="1404"/>
      <c r="U78" s="2144" t="str">
        <f t="shared" si="38"/>
        <v/>
      </c>
      <c r="V78" s="2145" t="str">
        <f t="shared" si="32"/>
        <v/>
      </c>
      <c r="W78" s="1405"/>
      <c r="X78" s="2145" t="str">
        <f t="shared" si="33"/>
        <v/>
      </c>
      <c r="Y78" s="2146" t="str">
        <f t="shared" si="39"/>
        <v/>
      </c>
      <c r="Z78" s="1406"/>
      <c r="AA78" s="2147" t="str" cm="1">
        <f t="array" ref="AA78">IF(M78="","",IF(P78=AN78,1,Slookup(MID(AN78,1,3)*1,UomConversion!$D$8:$J$500,5,UomConversion!$E$8:$E$500,MID(P78,1,3)*1,UomConversion!$J$8:$J$500,1)))</f>
        <v/>
      </c>
      <c r="AB78" s="2147" t="str">
        <f t="shared" si="40"/>
        <v/>
      </c>
      <c r="AC78" s="2147" t="str">
        <f t="shared" si="41"/>
        <v/>
      </c>
      <c r="AD78" s="2147" t="str">
        <f t="shared" si="42"/>
        <v/>
      </c>
      <c r="AE78" s="2147" t="str">
        <f t="shared" si="43"/>
        <v/>
      </c>
      <c r="AF78" s="2147" t="str">
        <f>IF(M78="","",SUMIFS(ProductPrice!N98:N10070,ProductPrice!D98:D10070,I78,ProductPrice!G98:G10070,invoice_branch_id,ProductPrice!H98:H10070,invoice_price_type_id,ProductPrice!I98:I10070,MID(P78,1,3)*1,ProductPrice!Q98:Q10070,1,ProductPrice!T98:T10070,1))</f>
        <v/>
      </c>
      <c r="AG78" s="2147" t="str">
        <f t="shared" si="44"/>
        <v/>
      </c>
      <c r="AH78" s="2147" t="str">
        <f>IF(I78="","",IF(ISNA(MATCH(I78,IF(invoice_location_id=1,'[1]1_inventory_totals'!$C$8:$C$10000,IF(invoice_location_id=2,'[1]2_inventory_totals'!$C$8:$C$10000,0)),0)),0,IF(AV78&gt;0,1,0)))</f>
        <v/>
      </c>
      <c r="AI78" s="2147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2147" t="str">
        <f>IF(M78="","",IF(ISNA(MATCH(I78,'[1]1_group_totals'!$C$8:$C$10000)),0,IF(AW78&gt;0,1,0)))</f>
        <v/>
      </c>
      <c r="AK78" s="214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214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2147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2147" t="str">
        <f t="shared" si="45"/>
        <v/>
      </c>
      <c r="AO78" s="2147" t="str">
        <f>IF(OR(ISNA(MATCH(MID(AN78,1,3)*1,UomConversion!$D$8:$D$500,0)),M78=""),"",IF(AT78="","",AT78))</f>
        <v/>
      </c>
      <c r="AP78" s="2147" t="str">
        <f>IF(AND(AQ78&gt;0,COUNTIFS(UomConversion!$D$8:$D$500,MID(AN78,1,3)*1,UomConversion!$J$8:$J$500,1)&gt;1),TEXT(AQ78,"000")&amp;"."&amp;VLOOKUP(AQ78,uom_list,5,FALSE),"")</f>
        <v/>
      </c>
      <c r="AQ78" s="2147" t="str">
        <f t="shared" si="46"/>
        <v/>
      </c>
      <c r="AR78" s="2147" t="str">
        <f t="shared" si="47"/>
        <v/>
      </c>
      <c r="AS78" s="2147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147" t="str">
        <f t="shared" si="34"/>
        <v/>
      </c>
      <c r="AU78" s="214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147" t="str">
        <f t="shared" si="35"/>
        <v/>
      </c>
      <c r="AW78" s="2147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2147" t="str">
        <f t="shared" si="48"/>
        <v/>
      </c>
      <c r="AY78" s="2147" t="str">
        <f>IF(M78="","",SUMIFS($AX$8:AX78,$I$8:I78,I78))</f>
        <v/>
      </c>
      <c r="AZ78" s="2147" t="str">
        <f t="shared" si="49"/>
        <v/>
      </c>
      <c r="BA78" s="214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214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1439"/>
      <c r="B79" s="1773"/>
      <c r="C79" s="1466"/>
      <c r="D79" s="1466"/>
      <c r="E79" s="1466"/>
      <c r="F79" s="1774"/>
      <c r="G79" s="1457"/>
      <c r="H79" s="1467"/>
      <c r="I79" s="2139" t="str">
        <f t="shared" si="36"/>
        <v/>
      </c>
      <c r="J79" s="2140" t="str">
        <f t="shared" si="37"/>
        <v/>
      </c>
      <c r="K79" s="2141" t="str">
        <f t="shared" si="30"/>
        <v/>
      </c>
      <c r="L79" s="2142"/>
      <c r="M79" s="1399"/>
      <c r="N79" s="1400"/>
      <c r="O79" s="1400"/>
      <c r="P79" s="1401"/>
      <c r="Q79" s="1402"/>
      <c r="R79" s="1407"/>
      <c r="S79" s="2143" t="str">
        <f t="shared" si="31"/>
        <v/>
      </c>
      <c r="T79" s="1404"/>
      <c r="U79" s="2144" t="str">
        <f t="shared" si="38"/>
        <v/>
      </c>
      <c r="V79" s="2145" t="str">
        <f t="shared" si="32"/>
        <v/>
      </c>
      <c r="W79" s="1405"/>
      <c r="X79" s="2145" t="str">
        <f t="shared" si="33"/>
        <v/>
      </c>
      <c r="Y79" s="2146" t="str">
        <f t="shared" si="39"/>
        <v/>
      </c>
      <c r="Z79" s="1406"/>
      <c r="AA79" s="2147" t="str" cm="1">
        <f t="array" ref="AA79">IF(M79="","",IF(P79=AN79,1,Slookup(MID(AN79,1,3)*1,UomConversion!$D$8:$J$500,5,UomConversion!$E$8:$E$500,MID(P79,1,3)*1,UomConversion!$J$8:$J$500,1)))</f>
        <v/>
      </c>
      <c r="AB79" s="2147" t="str">
        <f t="shared" si="40"/>
        <v/>
      </c>
      <c r="AC79" s="2147" t="str">
        <f t="shared" si="41"/>
        <v/>
      </c>
      <c r="AD79" s="2147" t="str">
        <f t="shared" si="42"/>
        <v/>
      </c>
      <c r="AE79" s="2147" t="str">
        <f t="shared" si="43"/>
        <v/>
      </c>
      <c r="AF79" s="2147" t="str">
        <f>IF(M79="","",SUMIFS(ProductPrice!N99:N10071,ProductPrice!D99:D10071,I79,ProductPrice!G99:G10071,invoice_branch_id,ProductPrice!H99:H10071,invoice_price_type_id,ProductPrice!I99:I10071,MID(P79,1,3)*1,ProductPrice!Q99:Q10071,1,ProductPrice!T99:T10071,1))</f>
        <v/>
      </c>
      <c r="AG79" s="2147" t="str">
        <f t="shared" si="44"/>
        <v/>
      </c>
      <c r="AH79" s="2147" t="str">
        <f>IF(I79="","",IF(ISNA(MATCH(I79,IF(invoice_location_id=1,'[1]1_inventory_totals'!$C$8:$C$10000,IF(invoice_location_id=2,'[1]2_inventory_totals'!$C$8:$C$10000,0)),0)),0,IF(AV79&gt;0,1,0)))</f>
        <v/>
      </c>
      <c r="AI79" s="2147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2147" t="str">
        <f>IF(M79="","",IF(ISNA(MATCH(I79,'[1]1_group_totals'!$C$8:$C$10000)),0,IF(AW79&gt;0,1,0)))</f>
        <v/>
      </c>
      <c r="AK79" s="214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214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2147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2147" t="str">
        <f t="shared" si="45"/>
        <v/>
      </c>
      <c r="AO79" s="2147" t="str">
        <f>IF(OR(ISNA(MATCH(MID(AN79,1,3)*1,UomConversion!$D$8:$D$500,0)),M79=""),"",IF(AT79="","",AT79))</f>
        <v/>
      </c>
      <c r="AP79" s="2147" t="str">
        <f>IF(AND(AQ79&gt;0,COUNTIFS(UomConversion!$D$8:$D$500,MID(AN79,1,3)*1,UomConversion!$J$8:$J$500,1)&gt;1),TEXT(AQ79,"000")&amp;"."&amp;VLOOKUP(AQ79,uom_list,5,FALSE),"")</f>
        <v/>
      </c>
      <c r="AQ79" s="2147" t="str">
        <f t="shared" si="46"/>
        <v/>
      </c>
      <c r="AR79" s="2147" t="str">
        <f t="shared" si="47"/>
        <v/>
      </c>
      <c r="AS79" s="2147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147" t="str">
        <f t="shared" si="34"/>
        <v/>
      </c>
      <c r="AU79" s="214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147" t="str">
        <f t="shared" si="35"/>
        <v/>
      </c>
      <c r="AW79" s="2147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2147" t="str">
        <f t="shared" si="48"/>
        <v/>
      </c>
      <c r="AY79" s="2147" t="str">
        <f>IF(M79="","",SUMIFS($AX$8:AX79,$I$8:I79,I79))</f>
        <v/>
      </c>
      <c r="AZ79" s="2147" t="str">
        <f t="shared" si="49"/>
        <v/>
      </c>
      <c r="BA79" s="214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214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1439"/>
      <c r="B80" s="1773"/>
      <c r="C80" s="1466"/>
      <c r="D80" s="1466"/>
      <c r="E80" s="1466"/>
      <c r="F80" s="1774"/>
      <c r="G80" s="1457"/>
      <c r="H80" s="1467"/>
      <c r="I80" s="2139" t="str">
        <f t="shared" si="36"/>
        <v/>
      </c>
      <c r="J80" s="2140" t="str">
        <f t="shared" si="37"/>
        <v/>
      </c>
      <c r="K80" s="2141" t="str">
        <f t="shared" si="30"/>
        <v/>
      </c>
      <c r="L80" s="2142"/>
      <c r="M80" s="1399"/>
      <c r="N80" s="1400"/>
      <c r="O80" s="1400"/>
      <c r="P80" s="1401"/>
      <c r="Q80" s="1402"/>
      <c r="R80" s="1407"/>
      <c r="S80" s="2143" t="str">
        <f t="shared" si="31"/>
        <v/>
      </c>
      <c r="T80" s="1404"/>
      <c r="U80" s="2144" t="str">
        <f t="shared" si="38"/>
        <v/>
      </c>
      <c r="V80" s="2145" t="str">
        <f t="shared" si="32"/>
        <v/>
      </c>
      <c r="W80" s="1405"/>
      <c r="X80" s="2145" t="str">
        <f t="shared" si="33"/>
        <v/>
      </c>
      <c r="Y80" s="2146" t="str">
        <f t="shared" si="39"/>
        <v/>
      </c>
      <c r="Z80" s="1406"/>
      <c r="AA80" s="2147" t="str" cm="1">
        <f t="array" ref="AA80">IF(M80="","",IF(P80=AN80,1,Slookup(MID(AN80,1,3)*1,UomConversion!$D$8:$J$500,5,UomConversion!$E$8:$E$500,MID(P80,1,3)*1,UomConversion!$J$8:$J$500,1)))</f>
        <v/>
      </c>
      <c r="AB80" s="2147" t="str">
        <f t="shared" si="40"/>
        <v/>
      </c>
      <c r="AC80" s="2147" t="str">
        <f t="shared" si="41"/>
        <v/>
      </c>
      <c r="AD80" s="2147" t="str">
        <f t="shared" si="42"/>
        <v/>
      </c>
      <c r="AE80" s="2147" t="str">
        <f t="shared" si="43"/>
        <v/>
      </c>
      <c r="AF80" s="2147" t="str">
        <f>IF(M80="","",SUMIFS(ProductPrice!N100:N10072,ProductPrice!D100:D10072,I80,ProductPrice!G100:G10072,invoice_branch_id,ProductPrice!H100:H10072,invoice_price_type_id,ProductPrice!I100:I10072,MID(P80,1,3)*1,ProductPrice!Q100:Q10072,1,ProductPrice!T100:T10072,1))</f>
        <v/>
      </c>
      <c r="AG80" s="2147" t="str">
        <f t="shared" si="44"/>
        <v/>
      </c>
      <c r="AH80" s="2147" t="str">
        <f>IF(I80="","",IF(ISNA(MATCH(I80,IF(invoice_location_id=1,'[1]1_inventory_totals'!$C$8:$C$10000,IF(invoice_location_id=2,'[1]2_inventory_totals'!$C$8:$C$10000,0)),0)),0,IF(AV80&gt;0,1,0)))</f>
        <v/>
      </c>
      <c r="AI80" s="2147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2147" t="str">
        <f>IF(M80="","",IF(ISNA(MATCH(I80,'[1]1_group_totals'!$C$8:$C$10000)),0,IF(AW80&gt;0,1,0)))</f>
        <v/>
      </c>
      <c r="AK80" s="214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214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2147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2147" t="str">
        <f t="shared" si="45"/>
        <v/>
      </c>
      <c r="AO80" s="2147" t="str">
        <f>IF(OR(ISNA(MATCH(MID(AN80,1,3)*1,UomConversion!$D$8:$D$500,0)),M80=""),"",IF(AT80="","",AT80))</f>
        <v/>
      </c>
      <c r="AP80" s="2147" t="str">
        <f>IF(AND(AQ80&gt;0,COUNTIFS(UomConversion!$D$8:$D$500,MID(AN80,1,3)*1,UomConversion!$J$8:$J$500,1)&gt;1),TEXT(AQ80,"000")&amp;"."&amp;VLOOKUP(AQ80,uom_list,5,FALSE),"")</f>
        <v/>
      </c>
      <c r="AQ80" s="2147" t="str">
        <f t="shared" si="46"/>
        <v/>
      </c>
      <c r="AR80" s="2147" t="str">
        <f t="shared" si="47"/>
        <v/>
      </c>
      <c r="AS80" s="2147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147" t="str">
        <f t="shared" si="34"/>
        <v/>
      </c>
      <c r="AU80" s="214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147" t="str">
        <f t="shared" si="35"/>
        <v/>
      </c>
      <c r="AW80" s="2147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2147" t="str">
        <f t="shared" si="48"/>
        <v/>
      </c>
      <c r="AY80" s="2147" t="str">
        <f>IF(M80="","",SUMIFS($AX$8:AX80,$I$8:I80,I80))</f>
        <v/>
      </c>
      <c r="AZ80" s="2147" t="str">
        <f t="shared" si="49"/>
        <v/>
      </c>
      <c r="BA80" s="214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214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1439"/>
      <c r="B81" s="1773"/>
      <c r="C81" s="1466"/>
      <c r="D81" s="1466"/>
      <c r="E81" s="1466"/>
      <c r="F81" s="1774"/>
      <c r="G81" s="1457"/>
      <c r="H81" s="1467"/>
      <c r="I81" s="2139" t="str">
        <f t="shared" si="36"/>
        <v/>
      </c>
      <c r="J81" s="2140" t="str">
        <f t="shared" si="37"/>
        <v/>
      </c>
      <c r="K81" s="2141" t="str">
        <f t="shared" si="30"/>
        <v/>
      </c>
      <c r="L81" s="2142"/>
      <c r="M81" s="1399"/>
      <c r="N81" s="1400"/>
      <c r="O81" s="1400"/>
      <c r="P81" s="1401"/>
      <c r="Q81" s="1402"/>
      <c r="R81" s="1407"/>
      <c r="S81" s="2143" t="str">
        <f t="shared" si="31"/>
        <v/>
      </c>
      <c r="T81" s="1404"/>
      <c r="U81" s="2144" t="str">
        <f t="shared" si="38"/>
        <v/>
      </c>
      <c r="V81" s="2145" t="str">
        <f t="shared" si="32"/>
        <v/>
      </c>
      <c r="W81" s="1405"/>
      <c r="X81" s="2145" t="str">
        <f t="shared" si="33"/>
        <v/>
      </c>
      <c r="Y81" s="2146" t="str">
        <f t="shared" si="39"/>
        <v/>
      </c>
      <c r="Z81" s="1406"/>
      <c r="AA81" s="2147" t="str" cm="1">
        <f t="array" ref="AA81">IF(M81="","",IF(P81=AN81,1,Slookup(MID(AN81,1,3)*1,UomConversion!$D$8:$J$500,5,UomConversion!$E$8:$E$500,MID(P81,1,3)*1,UomConversion!$J$8:$J$500,1)))</f>
        <v/>
      </c>
      <c r="AB81" s="2147" t="str">
        <f t="shared" si="40"/>
        <v/>
      </c>
      <c r="AC81" s="2147" t="str">
        <f t="shared" si="41"/>
        <v/>
      </c>
      <c r="AD81" s="2147" t="str">
        <f t="shared" si="42"/>
        <v/>
      </c>
      <c r="AE81" s="2147" t="str">
        <f t="shared" si="43"/>
        <v/>
      </c>
      <c r="AF81" s="2147" t="str">
        <f>IF(M81="","",SUMIFS(ProductPrice!N101:N10073,ProductPrice!D101:D10073,I81,ProductPrice!G101:G10073,invoice_branch_id,ProductPrice!H101:H10073,invoice_price_type_id,ProductPrice!I101:I10073,MID(P81,1,3)*1,ProductPrice!Q101:Q10073,1,ProductPrice!T101:T10073,1))</f>
        <v/>
      </c>
      <c r="AG81" s="2147" t="str">
        <f t="shared" si="44"/>
        <v/>
      </c>
      <c r="AH81" s="2147" t="str">
        <f>IF(I81="","",IF(ISNA(MATCH(I81,IF(invoice_location_id=1,'[1]1_inventory_totals'!$C$8:$C$10000,IF(invoice_location_id=2,'[1]2_inventory_totals'!$C$8:$C$10000,0)),0)),0,IF(AV81&gt;0,1,0)))</f>
        <v/>
      </c>
      <c r="AI81" s="2147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2147" t="str">
        <f>IF(M81="","",IF(ISNA(MATCH(I81,'[1]1_group_totals'!$C$8:$C$10000)),0,IF(AW81&gt;0,1,0)))</f>
        <v/>
      </c>
      <c r="AK81" s="214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214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2147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2147" t="str">
        <f t="shared" si="45"/>
        <v/>
      </c>
      <c r="AO81" s="2147" t="str">
        <f>IF(OR(ISNA(MATCH(MID(AN81,1,3)*1,UomConversion!$D$8:$D$500,0)),M81=""),"",IF(AT81="","",AT81))</f>
        <v/>
      </c>
      <c r="AP81" s="2147" t="str">
        <f>IF(AND(AQ81&gt;0,COUNTIFS(UomConversion!$D$8:$D$500,MID(AN81,1,3)*1,UomConversion!$J$8:$J$500,1)&gt;1),TEXT(AQ81,"000")&amp;"."&amp;VLOOKUP(AQ81,uom_list,5,FALSE),"")</f>
        <v/>
      </c>
      <c r="AQ81" s="2147" t="str">
        <f t="shared" si="46"/>
        <v/>
      </c>
      <c r="AR81" s="2147" t="str">
        <f t="shared" si="47"/>
        <v/>
      </c>
      <c r="AS81" s="2147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147" t="str">
        <f t="shared" si="34"/>
        <v/>
      </c>
      <c r="AU81" s="214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147" t="str">
        <f t="shared" si="35"/>
        <v/>
      </c>
      <c r="AW81" s="2147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2147" t="str">
        <f t="shared" si="48"/>
        <v/>
      </c>
      <c r="AY81" s="2147" t="str">
        <f>IF(M81="","",SUMIFS($AX$8:AX81,$I$8:I81,I81))</f>
        <v/>
      </c>
      <c r="AZ81" s="2147" t="str">
        <f t="shared" si="49"/>
        <v/>
      </c>
      <c r="BA81" s="214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214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1439"/>
      <c r="B82" s="1773"/>
      <c r="C82" s="1466"/>
      <c r="D82" s="1466"/>
      <c r="E82" s="1466"/>
      <c r="F82" s="1774"/>
      <c r="G82" s="1457"/>
      <c r="H82" s="1467"/>
      <c r="I82" s="2139" t="str">
        <f t="shared" si="36"/>
        <v/>
      </c>
      <c r="J82" s="2140" t="str">
        <f t="shared" si="37"/>
        <v/>
      </c>
      <c r="K82" s="2141" t="str">
        <f t="shared" si="30"/>
        <v/>
      </c>
      <c r="L82" s="2142"/>
      <c r="M82" s="1399"/>
      <c r="N82" s="1400"/>
      <c r="O82" s="1400"/>
      <c r="P82" s="1401"/>
      <c r="Q82" s="1402"/>
      <c r="R82" s="1407"/>
      <c r="S82" s="2143" t="str">
        <f t="shared" si="31"/>
        <v/>
      </c>
      <c r="T82" s="1404"/>
      <c r="U82" s="2144" t="str">
        <f t="shared" si="38"/>
        <v/>
      </c>
      <c r="V82" s="2145" t="str">
        <f t="shared" si="32"/>
        <v/>
      </c>
      <c r="W82" s="1405"/>
      <c r="X82" s="2145" t="str">
        <f t="shared" si="33"/>
        <v/>
      </c>
      <c r="Y82" s="2146" t="str">
        <f t="shared" si="39"/>
        <v/>
      </c>
      <c r="Z82" s="1406"/>
      <c r="AA82" s="2147" t="str" cm="1">
        <f t="array" ref="AA82">IF(M82="","",IF(P82=AN82,1,Slookup(MID(AN82,1,3)*1,UomConversion!$D$8:$J$500,5,UomConversion!$E$8:$E$500,MID(P82,1,3)*1,UomConversion!$J$8:$J$500,1)))</f>
        <v/>
      </c>
      <c r="AB82" s="2147" t="str">
        <f t="shared" si="40"/>
        <v/>
      </c>
      <c r="AC82" s="2147" t="str">
        <f t="shared" si="41"/>
        <v/>
      </c>
      <c r="AD82" s="2147" t="str">
        <f t="shared" si="42"/>
        <v/>
      </c>
      <c r="AE82" s="2147" t="str">
        <f t="shared" si="43"/>
        <v/>
      </c>
      <c r="AF82" s="2147" t="str">
        <f>IF(M82="","",SUMIFS(ProductPrice!N102:N10074,ProductPrice!D102:D10074,I82,ProductPrice!G102:G10074,invoice_branch_id,ProductPrice!H102:H10074,invoice_price_type_id,ProductPrice!I102:I10074,MID(P82,1,3)*1,ProductPrice!Q102:Q10074,1,ProductPrice!T102:T10074,1))</f>
        <v/>
      </c>
      <c r="AG82" s="2147" t="str">
        <f t="shared" si="44"/>
        <v/>
      </c>
      <c r="AH82" s="2147" t="str">
        <f>IF(I82="","",IF(ISNA(MATCH(I82,IF(invoice_location_id=1,'[1]1_inventory_totals'!$C$8:$C$10000,IF(invoice_location_id=2,'[1]2_inventory_totals'!$C$8:$C$10000,0)),0)),0,IF(AV82&gt;0,1,0)))</f>
        <v/>
      </c>
      <c r="AI82" s="2147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2147" t="str">
        <f>IF(M82="","",IF(ISNA(MATCH(I82,'[1]1_group_totals'!$C$8:$C$10000)),0,IF(AW82&gt;0,1,0)))</f>
        <v/>
      </c>
      <c r="AK82" s="214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214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2147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2147" t="str">
        <f t="shared" si="45"/>
        <v/>
      </c>
      <c r="AO82" s="2147" t="str">
        <f>IF(OR(ISNA(MATCH(MID(AN82,1,3)*1,UomConversion!$D$8:$D$500,0)),M82=""),"",IF(AT82="","",AT82))</f>
        <v/>
      </c>
      <c r="AP82" s="2147" t="str">
        <f>IF(AND(AQ82&gt;0,COUNTIFS(UomConversion!$D$8:$D$500,MID(AN82,1,3)*1,UomConversion!$J$8:$J$500,1)&gt;1),TEXT(AQ82,"000")&amp;"."&amp;VLOOKUP(AQ82,uom_list,5,FALSE),"")</f>
        <v/>
      </c>
      <c r="AQ82" s="2147" t="str">
        <f t="shared" si="46"/>
        <v/>
      </c>
      <c r="AR82" s="2147" t="str">
        <f t="shared" si="47"/>
        <v/>
      </c>
      <c r="AS82" s="2147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147" t="str">
        <f t="shared" si="34"/>
        <v/>
      </c>
      <c r="AU82" s="214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147" t="str">
        <f t="shared" si="35"/>
        <v/>
      </c>
      <c r="AW82" s="2147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2147" t="str">
        <f t="shared" si="48"/>
        <v/>
      </c>
      <c r="AY82" s="2147" t="str">
        <f>IF(M82="","",SUMIFS($AX$8:AX82,$I$8:I82,I82))</f>
        <v/>
      </c>
      <c r="AZ82" s="2147" t="str">
        <f t="shared" si="49"/>
        <v/>
      </c>
      <c r="BA82" s="214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214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1439"/>
      <c r="B83" s="1773"/>
      <c r="C83" s="1466"/>
      <c r="D83" s="1466"/>
      <c r="E83" s="1466"/>
      <c r="F83" s="1774"/>
      <c r="G83" s="1457"/>
      <c r="H83" s="1467"/>
      <c r="I83" s="2139" t="str">
        <f t="shared" si="36"/>
        <v/>
      </c>
      <c r="J83" s="2140" t="str">
        <f t="shared" si="37"/>
        <v/>
      </c>
      <c r="K83" s="2141" t="str">
        <f t="shared" si="30"/>
        <v/>
      </c>
      <c r="L83" s="2142"/>
      <c r="M83" s="1399"/>
      <c r="N83" s="1400"/>
      <c r="O83" s="1400"/>
      <c r="P83" s="1401"/>
      <c r="Q83" s="1402"/>
      <c r="R83" s="1407"/>
      <c r="S83" s="2143" t="str">
        <f t="shared" si="31"/>
        <v/>
      </c>
      <c r="T83" s="1404"/>
      <c r="U83" s="2144" t="str">
        <f t="shared" si="38"/>
        <v/>
      </c>
      <c r="V83" s="2145" t="str">
        <f t="shared" si="32"/>
        <v/>
      </c>
      <c r="W83" s="1405"/>
      <c r="X83" s="2145" t="str">
        <f t="shared" si="33"/>
        <v/>
      </c>
      <c r="Y83" s="2146" t="str">
        <f t="shared" si="39"/>
        <v/>
      </c>
      <c r="Z83" s="1406"/>
      <c r="AA83" s="2147" t="str" cm="1">
        <f t="array" ref="AA83">IF(M83="","",IF(P83=AN83,1,Slookup(MID(AN83,1,3)*1,UomConversion!$D$8:$J$500,5,UomConversion!$E$8:$E$500,MID(P83,1,3)*1,UomConversion!$J$8:$J$500,1)))</f>
        <v/>
      </c>
      <c r="AB83" s="2147" t="str">
        <f t="shared" si="40"/>
        <v/>
      </c>
      <c r="AC83" s="2147" t="str">
        <f t="shared" si="41"/>
        <v/>
      </c>
      <c r="AD83" s="2147" t="str">
        <f t="shared" si="42"/>
        <v/>
      </c>
      <c r="AE83" s="2147" t="str">
        <f t="shared" si="43"/>
        <v/>
      </c>
      <c r="AF83" s="2147" t="str">
        <f>IF(M83="","",SUMIFS(ProductPrice!N103:N10075,ProductPrice!D103:D10075,I83,ProductPrice!G103:G10075,invoice_branch_id,ProductPrice!H103:H10075,invoice_price_type_id,ProductPrice!I103:I10075,MID(P83,1,3)*1,ProductPrice!Q103:Q10075,1,ProductPrice!T103:T10075,1))</f>
        <v/>
      </c>
      <c r="AG83" s="2147" t="str">
        <f t="shared" si="44"/>
        <v/>
      </c>
      <c r="AH83" s="2147" t="str">
        <f>IF(I83="","",IF(ISNA(MATCH(I83,IF(invoice_location_id=1,'[1]1_inventory_totals'!$C$8:$C$10000,IF(invoice_location_id=2,'[1]2_inventory_totals'!$C$8:$C$10000,0)),0)),0,IF(AV83&gt;0,1,0)))</f>
        <v/>
      </c>
      <c r="AI83" s="2147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2147" t="str">
        <f>IF(M83="","",IF(ISNA(MATCH(I83,'[1]1_group_totals'!$C$8:$C$10000)),0,IF(AW83&gt;0,1,0)))</f>
        <v/>
      </c>
      <c r="AK83" s="214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214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2147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2147" t="str">
        <f t="shared" si="45"/>
        <v/>
      </c>
      <c r="AO83" s="2147" t="str">
        <f>IF(OR(ISNA(MATCH(MID(AN83,1,3)*1,UomConversion!$D$8:$D$500,0)),M83=""),"",IF(AT83="","",AT83))</f>
        <v/>
      </c>
      <c r="AP83" s="2147" t="str">
        <f>IF(AND(AQ83&gt;0,COUNTIFS(UomConversion!$D$8:$D$500,MID(AN83,1,3)*1,UomConversion!$J$8:$J$500,1)&gt;1),TEXT(AQ83,"000")&amp;"."&amp;VLOOKUP(AQ83,uom_list,5,FALSE),"")</f>
        <v/>
      </c>
      <c r="AQ83" s="2147" t="str">
        <f t="shared" si="46"/>
        <v/>
      </c>
      <c r="AR83" s="2147" t="str">
        <f t="shared" si="47"/>
        <v/>
      </c>
      <c r="AS83" s="2147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147" t="str">
        <f t="shared" si="34"/>
        <v/>
      </c>
      <c r="AU83" s="214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147" t="str">
        <f t="shared" si="35"/>
        <v/>
      </c>
      <c r="AW83" s="2147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2147" t="str">
        <f t="shared" si="48"/>
        <v/>
      </c>
      <c r="AY83" s="2147" t="str">
        <f>IF(M83="","",SUMIFS($AX$8:AX83,$I$8:I83,I83))</f>
        <v/>
      </c>
      <c r="AZ83" s="2147" t="str">
        <f t="shared" si="49"/>
        <v/>
      </c>
      <c r="BA83" s="214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214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1439"/>
      <c r="B84" s="1773"/>
      <c r="C84" s="1466"/>
      <c r="D84" s="1466"/>
      <c r="E84" s="1466"/>
      <c r="F84" s="1774"/>
      <c r="G84" s="1457"/>
      <c r="H84" s="1467"/>
      <c r="I84" s="2139" t="str">
        <f t="shared" si="36"/>
        <v/>
      </c>
      <c r="J84" s="2140" t="str">
        <f t="shared" si="37"/>
        <v/>
      </c>
      <c r="K84" s="2141" t="str">
        <f t="shared" si="30"/>
        <v/>
      </c>
      <c r="L84" s="2142"/>
      <c r="M84" s="1399"/>
      <c r="N84" s="1400"/>
      <c r="O84" s="1400"/>
      <c r="P84" s="1401"/>
      <c r="Q84" s="1402"/>
      <c r="R84" s="1407"/>
      <c r="S84" s="2143" t="str">
        <f t="shared" si="31"/>
        <v/>
      </c>
      <c r="T84" s="1404"/>
      <c r="U84" s="2144" t="str">
        <f t="shared" si="38"/>
        <v/>
      </c>
      <c r="V84" s="2145" t="str">
        <f t="shared" si="32"/>
        <v/>
      </c>
      <c r="W84" s="1405"/>
      <c r="X84" s="2145" t="str">
        <f t="shared" si="33"/>
        <v/>
      </c>
      <c r="Y84" s="2146" t="str">
        <f t="shared" si="39"/>
        <v/>
      </c>
      <c r="Z84" s="1406"/>
      <c r="AA84" s="2147" t="str" cm="1">
        <f t="array" ref="AA84">IF(M84="","",IF(P84=AN84,1,Slookup(MID(AN84,1,3)*1,UomConversion!$D$8:$J$500,5,UomConversion!$E$8:$E$500,MID(P84,1,3)*1,UomConversion!$J$8:$J$500,1)))</f>
        <v/>
      </c>
      <c r="AB84" s="2147" t="str">
        <f t="shared" si="40"/>
        <v/>
      </c>
      <c r="AC84" s="2147" t="str">
        <f t="shared" si="41"/>
        <v/>
      </c>
      <c r="AD84" s="2147" t="str">
        <f t="shared" si="42"/>
        <v/>
      </c>
      <c r="AE84" s="2147" t="str">
        <f t="shared" si="43"/>
        <v/>
      </c>
      <c r="AF84" s="2147" t="str">
        <f>IF(M84="","",SUMIFS(ProductPrice!N104:N10076,ProductPrice!D104:D10076,I84,ProductPrice!G104:G10076,invoice_branch_id,ProductPrice!H104:H10076,invoice_price_type_id,ProductPrice!I104:I10076,MID(P84,1,3)*1,ProductPrice!Q104:Q10076,1,ProductPrice!T104:T10076,1))</f>
        <v/>
      </c>
      <c r="AG84" s="2147" t="str">
        <f t="shared" si="44"/>
        <v/>
      </c>
      <c r="AH84" s="2147" t="str">
        <f>IF(I84="","",IF(ISNA(MATCH(I84,IF(invoice_location_id=1,'[1]1_inventory_totals'!$C$8:$C$10000,IF(invoice_location_id=2,'[1]2_inventory_totals'!$C$8:$C$10000,0)),0)),0,IF(AV84&gt;0,1,0)))</f>
        <v/>
      </c>
      <c r="AI84" s="2147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2147" t="str">
        <f>IF(M84="","",IF(ISNA(MATCH(I84,'[1]1_group_totals'!$C$8:$C$10000)),0,IF(AW84&gt;0,1,0)))</f>
        <v/>
      </c>
      <c r="AK84" s="214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214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2147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2147" t="str">
        <f t="shared" si="45"/>
        <v/>
      </c>
      <c r="AO84" s="2147" t="str">
        <f>IF(OR(ISNA(MATCH(MID(AN84,1,3)*1,UomConversion!$D$8:$D$500,0)),M84=""),"",IF(AT84="","",AT84))</f>
        <v/>
      </c>
      <c r="AP84" s="2147" t="str">
        <f>IF(AND(AQ84&gt;0,COUNTIFS(UomConversion!$D$8:$D$500,MID(AN84,1,3)*1,UomConversion!$J$8:$J$500,1)&gt;1),TEXT(AQ84,"000")&amp;"."&amp;VLOOKUP(AQ84,uom_list,5,FALSE),"")</f>
        <v/>
      </c>
      <c r="AQ84" s="2147" t="str">
        <f t="shared" si="46"/>
        <v/>
      </c>
      <c r="AR84" s="2147" t="str">
        <f t="shared" si="47"/>
        <v/>
      </c>
      <c r="AS84" s="2147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147" t="str">
        <f t="shared" si="34"/>
        <v/>
      </c>
      <c r="AU84" s="214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147" t="str">
        <f t="shared" si="35"/>
        <v/>
      </c>
      <c r="AW84" s="2147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2147" t="str">
        <f t="shared" si="48"/>
        <v/>
      </c>
      <c r="AY84" s="2147" t="str">
        <f>IF(M84="","",SUMIFS($AX$8:AX84,$I$8:I84,I84))</f>
        <v/>
      </c>
      <c r="AZ84" s="2147" t="str">
        <f t="shared" si="49"/>
        <v/>
      </c>
      <c r="BA84" s="214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214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1439"/>
      <c r="B85" s="1773"/>
      <c r="C85" s="1466"/>
      <c r="D85" s="1466"/>
      <c r="E85" s="1466"/>
      <c r="F85" s="1774"/>
      <c r="G85" s="1457"/>
      <c r="H85" s="1467"/>
      <c r="I85" s="2139" t="str">
        <f t="shared" si="36"/>
        <v/>
      </c>
      <c r="J85" s="2140" t="str">
        <f t="shared" si="37"/>
        <v/>
      </c>
      <c r="K85" s="2141" t="str">
        <f>IF(M85="","",VLOOKUP(I85,product_list,4,FALSE))</f>
        <v/>
      </c>
      <c r="L85" s="2142"/>
      <c r="M85" s="1399"/>
      <c r="N85" s="1400"/>
      <c r="O85" s="1400"/>
      <c r="P85" s="1401"/>
      <c r="Q85" s="1402"/>
      <c r="R85" s="1407"/>
      <c r="S85" s="2143" t="str">
        <f t="shared" si="31"/>
        <v/>
      </c>
      <c r="T85" s="1404"/>
      <c r="U85" s="2144" t="str">
        <f t="shared" si="38"/>
        <v/>
      </c>
      <c r="V85" s="2145" t="str">
        <f t="shared" si="32"/>
        <v/>
      </c>
      <c r="W85" s="1405"/>
      <c r="X85" s="2145" t="str">
        <f t="shared" si="33"/>
        <v/>
      </c>
      <c r="Y85" s="2146" t="str">
        <f t="shared" si="39"/>
        <v/>
      </c>
      <c r="Z85" s="1406"/>
      <c r="AA85" s="2147" t="str" cm="1">
        <f t="array" ref="AA85">IF(M85="","",IF(P85=AN85,1,Slookup(MID(AN85,1,3)*1,UomConversion!$D$8:$J$500,5,UomConversion!$E$8:$E$500,MID(P85,1,3)*1,UomConversion!$J$8:$J$500,1)))</f>
        <v/>
      </c>
      <c r="AB85" s="2147" t="str">
        <f t="shared" si="40"/>
        <v/>
      </c>
      <c r="AC85" s="2147" t="str">
        <f t="shared" si="41"/>
        <v/>
      </c>
      <c r="AD85" s="2147" t="str">
        <f t="shared" si="42"/>
        <v/>
      </c>
      <c r="AE85" s="2147" t="str">
        <f t="shared" si="43"/>
        <v/>
      </c>
      <c r="AF85" s="2147" t="str">
        <f>IF(M85="","",SUMIFS(ProductPrice!N105:N10077,ProductPrice!D105:D10077,I85,ProductPrice!G105:G10077,invoice_branch_id,ProductPrice!H105:H10077,invoice_price_type_id,ProductPrice!I105:I10077,MID(P85,1,3)*1,ProductPrice!Q105:Q10077,1,ProductPrice!T105:T10077,1))</f>
        <v/>
      </c>
      <c r="AG85" s="2147" t="str">
        <f t="shared" si="44"/>
        <v/>
      </c>
      <c r="AH85" s="2147" t="str">
        <f>IF(I85="","",IF(ISNA(MATCH(I85,IF(invoice_location_id=1,'[1]1_inventory_totals'!$C$8:$C$10000,IF(invoice_location_id=2,'[1]2_inventory_totals'!$C$8:$C$10000,0)),0)),0,IF(AV85&gt;0,1,0)))</f>
        <v/>
      </c>
      <c r="AI85" s="2147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2147" t="str">
        <f>IF(M85="","",IF(ISNA(MATCH(I85,'[1]1_group_totals'!$C$8:$C$10000)),0,IF(AW85&gt;0,1,0)))</f>
        <v/>
      </c>
      <c r="AK85" s="214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214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2147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2147" t="str">
        <f t="shared" si="45"/>
        <v/>
      </c>
      <c r="AO85" s="2147" t="str">
        <f>IF(OR(ISNA(MATCH(MID(AN85,1,3)*1,UomConversion!$D$8:$D$500,0)),M85=""),"",IF(AT85="","",AT85))</f>
        <v/>
      </c>
      <c r="AP85" s="2147" t="str">
        <f>IF(AND(AQ85&gt;0,COUNTIFS(UomConversion!$D$8:$D$500,MID(AN85,1,3)*1,UomConversion!$J$8:$J$500,1)&gt;1),TEXT(AQ85,"000")&amp;"."&amp;VLOOKUP(AQ85,uom_list,5,FALSE),"")</f>
        <v/>
      </c>
      <c r="AQ85" s="2147" t="str">
        <f t="shared" si="46"/>
        <v/>
      </c>
      <c r="AR85" s="2147" t="str">
        <f t="shared" si="47"/>
        <v/>
      </c>
      <c r="AS85" s="2147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147" t="str">
        <f t="shared" si="34"/>
        <v/>
      </c>
      <c r="AU85" s="214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147" t="str">
        <f t="shared" si="35"/>
        <v/>
      </c>
      <c r="AW85" s="2147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2147" t="str">
        <f t="shared" si="48"/>
        <v/>
      </c>
      <c r="AY85" s="2147" t="str">
        <f>IF(M85="","",SUMIFS($AX$8:AX85,$I$8:I85,I85))</f>
        <v/>
      </c>
      <c r="AZ85" s="2147" t="str">
        <f t="shared" si="49"/>
        <v/>
      </c>
      <c r="BA85" s="214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214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1439"/>
      <c r="B86" s="1773"/>
      <c r="C86" s="1466"/>
      <c r="D86" s="1466"/>
      <c r="E86" s="1466"/>
      <c r="F86" s="1774"/>
      <c r="G86" s="1457"/>
      <c r="H86" s="1467"/>
      <c r="I86" s="2139" t="str">
        <f t="shared" si="36"/>
        <v/>
      </c>
      <c r="J86" s="2140" t="str">
        <f t="shared" si="37"/>
        <v/>
      </c>
      <c r="K86" s="2141" t="str">
        <f t="shared" si="30"/>
        <v/>
      </c>
      <c r="L86" s="2142"/>
      <c r="M86" s="1399"/>
      <c r="N86" s="1400"/>
      <c r="O86" s="1400"/>
      <c r="P86" s="1401"/>
      <c r="Q86" s="1402"/>
      <c r="R86" s="1407"/>
      <c r="S86" s="2143" t="str">
        <f t="shared" si="31"/>
        <v/>
      </c>
      <c r="T86" s="1404"/>
      <c r="U86" s="2144" t="str">
        <f t="shared" si="38"/>
        <v/>
      </c>
      <c r="V86" s="2145" t="str">
        <f t="shared" si="32"/>
        <v/>
      </c>
      <c r="W86" s="1405"/>
      <c r="X86" s="2145" t="str">
        <f t="shared" si="33"/>
        <v/>
      </c>
      <c r="Y86" s="2146" t="str">
        <f t="shared" si="39"/>
        <v/>
      </c>
      <c r="Z86" s="1406"/>
      <c r="AA86" s="2147" t="str" cm="1">
        <f t="array" ref="AA86">IF(M86="","",IF(P86=AN86,1,Slookup(MID(AN86,1,3)*1,UomConversion!$D$8:$J$500,5,UomConversion!$E$8:$E$500,MID(P86,1,3)*1,UomConversion!$J$8:$J$500,1)))</f>
        <v/>
      </c>
      <c r="AB86" s="2147" t="str">
        <f t="shared" si="40"/>
        <v/>
      </c>
      <c r="AC86" s="2147" t="str">
        <f t="shared" si="41"/>
        <v/>
      </c>
      <c r="AD86" s="2147" t="str">
        <f t="shared" si="42"/>
        <v/>
      </c>
      <c r="AE86" s="2147" t="str">
        <f t="shared" si="43"/>
        <v/>
      </c>
      <c r="AF86" s="2147" t="str">
        <f>IF(M86="","",SUMIFS(ProductPrice!N106:N10078,ProductPrice!D106:D10078,I86,ProductPrice!G106:G10078,invoice_branch_id,ProductPrice!H106:H10078,invoice_price_type_id,ProductPrice!I106:I10078,MID(P86,1,3)*1,ProductPrice!Q106:Q10078,1,ProductPrice!T106:T10078,1))</f>
        <v/>
      </c>
      <c r="AG86" s="2147" t="str">
        <f t="shared" si="44"/>
        <v/>
      </c>
      <c r="AH86" s="2147" t="str">
        <f>IF(I86="","",IF(ISNA(MATCH(I86,IF(invoice_location_id=1,'[1]1_inventory_totals'!$C$8:$C$10000,IF(invoice_location_id=2,'[1]2_inventory_totals'!$C$8:$C$10000,0)),0)),0,IF(AV86&gt;0,1,0)))</f>
        <v/>
      </c>
      <c r="AI86" s="2147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2147" t="str">
        <f>IF(M86="","",IF(ISNA(MATCH(I86,'[1]1_group_totals'!$C$8:$C$10000)),0,IF(AW86&gt;0,1,0)))</f>
        <v/>
      </c>
      <c r="AK86" s="214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214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2147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2147" t="str">
        <f t="shared" si="45"/>
        <v/>
      </c>
      <c r="AO86" s="2147" t="str">
        <f>IF(OR(ISNA(MATCH(MID(AN86,1,3)*1,UomConversion!$D$8:$D$500,0)),M86=""),"",IF(AT86="","",AT86))</f>
        <v/>
      </c>
      <c r="AP86" s="2147" t="str">
        <f>IF(AND(AQ86&gt;0,COUNTIFS(UomConversion!$D$8:$D$500,MID(AN86,1,3)*1,UomConversion!$J$8:$J$500,1)&gt;1),TEXT(AQ86,"000")&amp;"."&amp;VLOOKUP(AQ86,uom_list,5,FALSE),"")</f>
        <v/>
      </c>
      <c r="AQ86" s="2147" t="str">
        <f t="shared" si="46"/>
        <v/>
      </c>
      <c r="AR86" s="2147" t="str">
        <f t="shared" si="47"/>
        <v/>
      </c>
      <c r="AS86" s="2147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147" t="str">
        <f t="shared" si="34"/>
        <v/>
      </c>
      <c r="AU86" s="214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147" t="str">
        <f t="shared" si="35"/>
        <v/>
      </c>
      <c r="AW86" s="2147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2147" t="str">
        <f t="shared" si="48"/>
        <v/>
      </c>
      <c r="AY86" s="2147" t="str">
        <f>IF(M86="","",SUMIFS($AX$8:AX86,$I$8:I86,I86))</f>
        <v/>
      </c>
      <c r="AZ86" s="2147" t="str">
        <f t="shared" si="49"/>
        <v/>
      </c>
      <c r="BA86" s="214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214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1439"/>
      <c r="B87" s="1773"/>
      <c r="C87" s="1466"/>
      <c r="D87" s="1466"/>
      <c r="E87" s="1466"/>
      <c r="F87" s="1774"/>
      <c r="G87" s="1457"/>
      <c r="I87" s="2139" t="str">
        <f t="shared" si="36"/>
        <v/>
      </c>
      <c r="J87" s="2140" t="str">
        <f t="shared" si="37"/>
        <v/>
      </c>
      <c r="K87" s="2141" t="str">
        <f t="shared" si="30"/>
        <v/>
      </c>
      <c r="L87" s="2142"/>
      <c r="M87" s="1399"/>
      <c r="N87" s="1400"/>
      <c r="O87" s="1400"/>
      <c r="P87" s="1401"/>
      <c r="Q87" s="1402"/>
      <c r="R87" s="1407"/>
      <c r="S87" s="2143" t="str">
        <f t="shared" si="31"/>
        <v/>
      </c>
      <c r="T87" s="1404"/>
      <c r="U87" s="2144" t="str">
        <f t="shared" si="38"/>
        <v/>
      </c>
      <c r="V87" s="2145" t="str">
        <f t="shared" si="32"/>
        <v/>
      </c>
      <c r="W87" s="1405"/>
      <c r="X87" s="2145" t="str">
        <f t="shared" si="33"/>
        <v/>
      </c>
      <c r="Y87" s="2146" t="str">
        <f t="shared" si="39"/>
        <v/>
      </c>
      <c r="Z87" s="1406"/>
      <c r="AA87" s="2147" t="str" cm="1">
        <f t="array" ref="AA87">IF(M87="","",IF(P87=AN87,1,Slookup(MID(AN87,1,3)*1,UomConversion!$D$8:$J$500,5,UomConversion!$E$8:$E$500,MID(P87,1,3)*1,UomConversion!$J$8:$J$500,1)))</f>
        <v/>
      </c>
      <c r="AB87" s="2147" t="str">
        <f t="shared" si="40"/>
        <v/>
      </c>
      <c r="AC87" s="2147" t="str">
        <f t="shared" si="41"/>
        <v/>
      </c>
      <c r="AD87" s="2147" t="str">
        <f t="shared" si="42"/>
        <v/>
      </c>
      <c r="AE87" s="2147" t="str">
        <f t="shared" si="43"/>
        <v/>
      </c>
      <c r="AF87" s="2147" t="str">
        <f>IF(M87="","",SUMIFS(ProductPrice!N107:N10079,ProductPrice!D107:D10079,I87,ProductPrice!G107:G10079,invoice_branch_id,ProductPrice!H107:H10079,invoice_price_type_id,ProductPrice!I107:I10079,MID(P87,1,3)*1,ProductPrice!Q107:Q10079,1,ProductPrice!T107:T10079,1))</f>
        <v/>
      </c>
      <c r="AG87" s="2147" t="str">
        <f t="shared" si="44"/>
        <v/>
      </c>
      <c r="AH87" s="2147" t="str">
        <f>IF(I87="","",IF(ISNA(MATCH(I87,IF(invoice_location_id=1,'[1]1_inventory_totals'!$C$8:$C$10000,IF(invoice_location_id=2,'[1]2_inventory_totals'!$C$8:$C$10000,0)),0)),0,IF(AV87&gt;0,1,0)))</f>
        <v/>
      </c>
      <c r="AI87" s="2147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2147" t="str">
        <f>IF(M87="","",IF(ISNA(MATCH(I87,'[1]1_group_totals'!$C$8:$C$10000)),0,IF(AW87&gt;0,1,0)))</f>
        <v/>
      </c>
      <c r="AK87" s="214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214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2147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2147" t="str">
        <f t="shared" si="45"/>
        <v/>
      </c>
      <c r="AO87" s="2147" t="str">
        <f>IF(OR(ISNA(MATCH(MID(AN87,1,3)*1,UomConversion!$D$8:$D$500,0)),M87=""),"",IF(AT87="","",AT87))</f>
        <v/>
      </c>
      <c r="AP87" s="2147" t="str">
        <f>IF(AND(AQ87&gt;0,COUNTIFS(UomConversion!$D$8:$D$500,MID(AN87,1,3)*1,UomConversion!$J$8:$J$500,1)&gt;1),TEXT(AQ87,"000")&amp;"."&amp;VLOOKUP(AQ87,uom_list,5,FALSE),"")</f>
        <v/>
      </c>
      <c r="AQ87" s="2147" t="str">
        <f t="shared" si="46"/>
        <v/>
      </c>
      <c r="AR87" s="2147" t="str">
        <f t="shared" si="47"/>
        <v/>
      </c>
      <c r="AS87" s="2147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147" t="str">
        <f t="shared" si="34"/>
        <v/>
      </c>
      <c r="AU87" s="214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147" t="str">
        <f t="shared" si="35"/>
        <v/>
      </c>
      <c r="AW87" s="2147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2147" t="str">
        <f t="shared" si="48"/>
        <v/>
      </c>
      <c r="AY87" s="2147" t="str">
        <f>IF(M87="","",SUMIFS($AX$8:AX87,$I$8:I87,I87))</f>
        <v/>
      </c>
      <c r="AZ87" s="2147" t="str">
        <f t="shared" si="49"/>
        <v/>
      </c>
      <c r="BA87" s="214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214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1439"/>
      <c r="B88" s="1773"/>
      <c r="C88" s="1466"/>
      <c r="D88" s="1466"/>
      <c r="E88" s="1466"/>
      <c r="F88" s="1774"/>
      <c r="G88" s="1457"/>
      <c r="I88" s="1503"/>
      <c r="J88" s="1468"/>
      <c r="K88" s="1469"/>
      <c r="L88" s="1470"/>
      <c r="M88" s="1471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1472"/>
      <c r="O88" s="1473" t="s">
        <v>1634</v>
      </c>
      <c r="P88" s="1473" t="s">
        <v>1635</v>
      </c>
      <c r="Q88" s="1474"/>
      <c r="R88" s="1473"/>
      <c r="S88" s="1475"/>
      <c r="T88" s="1475"/>
      <c r="U88" s="1476"/>
      <c r="V88" s="1477"/>
      <c r="W88" s="1478" t="s">
        <v>1636</v>
      </c>
      <c r="X88" s="1504" t="str">
        <f>invoice_currency_symbol</f>
        <v>$</v>
      </c>
      <c r="Y88" s="2137">
        <f>SUM(Y8:Y87)</f>
        <v>0</v>
      </c>
      <c r="Z88" s="1479"/>
      <c r="AC88" s="1480">
        <f>SUM(AC8:AC87)</f>
        <v>0</v>
      </c>
      <c r="AD88" s="1481" t="str">
        <f>invoice_currency_symbol</f>
        <v>$</v>
      </c>
      <c r="AG88" s="1482"/>
    </row>
    <row r="89" spans="1:54" ht="27" customHeight="1" thickBot="1">
      <c r="A89" s="1439"/>
      <c r="B89" s="1773"/>
      <c r="C89" s="1440"/>
      <c r="D89" s="1440"/>
      <c r="E89" s="1440"/>
      <c r="F89" s="1774"/>
      <c r="G89" s="1457"/>
      <c r="J89" s="1483"/>
      <c r="M89" s="1484" t="s">
        <v>51</v>
      </c>
      <c r="N89" s="2130">
        <f>MID(invoice_discount_option,1,1)*1</f>
        <v>1</v>
      </c>
      <c r="O89" s="1485"/>
      <c r="P89" s="1486"/>
      <c r="Q89" s="1487"/>
      <c r="R89" s="1487"/>
      <c r="U89" s="1488">
        <f>IFERROR(IF(invoice_discount_option="",0,IF(invoice_discount_id*1=1,N(invoice_discount_amount),IF(invoice_discount_id*1=2,(invoice_sub_total_amount*invoice_discount_percent)/100,0))),0)</f>
        <v>0</v>
      </c>
      <c r="V89" s="1489" t="str">
        <f>invoice_currency_symbol</f>
        <v>$</v>
      </c>
      <c r="W89" s="1478" t="s">
        <v>1637</v>
      </c>
      <c r="X89" s="1504" t="str">
        <f>invoice_currency_symbol</f>
        <v>$</v>
      </c>
      <c r="Y89" s="2137">
        <f>IFERROR(IF(invoice_discount_option="",0,IF(invoice_discount_id=1,N(invoice_discount_amount),IF(invoice_discount_id=2,(invoice_sub_total_amount*invoice_discount_percent)/100,0))),0)</f>
        <v>0</v>
      </c>
      <c r="Z89" s="1479"/>
      <c r="AC89" s="1398" t="s">
        <v>1618</v>
      </c>
      <c r="AD89" s="1398">
        <v>0</v>
      </c>
    </row>
    <row r="90" spans="1:54" ht="27" customHeight="1">
      <c r="B90" s="1773"/>
      <c r="C90" s="1490"/>
      <c r="D90" s="1490"/>
      <c r="E90" s="1490"/>
      <c r="F90" s="1774"/>
      <c r="G90" s="1457"/>
      <c r="J90" s="1468"/>
      <c r="K90" s="1469"/>
      <c r="L90" s="1470"/>
      <c r="M90" s="1491"/>
      <c r="N90" s="1492"/>
      <c r="S90" s="2136">
        <f>VLOOKUP(1,company_list,6,FALSE)</f>
        <v>1</v>
      </c>
      <c r="T90" s="1493"/>
      <c r="U90" s="1505" t="s">
        <v>3244</v>
      </c>
      <c r="V90" s="2135">
        <f>IF(U90="","",VLOOKUP(MID(U90,1,2)*1,vat_list,3,FALSE))</f>
        <v>0</v>
      </c>
      <c r="W90" s="1478" t="s">
        <v>1638</v>
      </c>
      <c r="X90" s="1504" t="str">
        <f>invoice_currency_symbol</f>
        <v>$</v>
      </c>
      <c r="Y90" s="2137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1479"/>
      <c r="AC90" s="1494" t="s">
        <v>1904</v>
      </c>
      <c r="AD90" s="1424">
        <v>0</v>
      </c>
    </row>
    <row r="91" spans="1:54" ht="27" customHeight="1" thickBot="1">
      <c r="B91" s="1786"/>
      <c r="C91" s="1787"/>
      <c r="D91" s="1788"/>
      <c r="E91" s="1789"/>
      <c r="F91" s="1790"/>
      <c r="J91" s="1483"/>
      <c r="K91" s="1495"/>
      <c r="L91" s="1495"/>
      <c r="P91" s="1496"/>
      <c r="Q91" s="1470"/>
      <c r="R91" s="1497"/>
      <c r="U91" s="1498">
        <v>17</v>
      </c>
      <c r="W91" s="1478" t="s">
        <v>1910</v>
      </c>
      <c r="X91" s="1504" t="str">
        <f>invoice_currency_symbol</f>
        <v>$</v>
      </c>
      <c r="Y91" s="2137">
        <f>AD90</f>
        <v>0</v>
      </c>
      <c r="Z91" s="1479"/>
    </row>
    <row r="92" spans="1:54" ht="24.95" customHeight="1">
      <c r="J92" s="1499"/>
      <c r="K92" s="1499"/>
      <c r="L92" s="1499"/>
      <c r="M92" s="1500"/>
      <c r="N92" s="1500"/>
      <c r="P92" s="1449" t="s">
        <v>235</v>
      </c>
      <c r="Q92" s="1449"/>
      <c r="R92" s="1449"/>
      <c r="W92" s="1478" t="s">
        <v>1639</v>
      </c>
      <c r="X92" s="1504" t="str">
        <f>invoice_currency_symbol</f>
        <v>$</v>
      </c>
      <c r="Y92" s="2137">
        <f>invoice_sub_total_amount-invoice_discount-invoice_deposit+invoice_total_vat</f>
        <v>0</v>
      </c>
      <c r="Z92" s="1479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03S6S35a5ARojeU/Z5oG9Tit1txKtfNjEC683m62EA79cjo5bRyyhLBOim2onODksIR02D6xjxEaAH4VBKZBNg==" saltValue="yARxmx7400IcEe97LsXedA==" spinCount="100000" sheet="1" objects="1" scenarios="1"/>
  <mergeCells count="7">
    <mergeCell ref="C22:E24"/>
    <mergeCell ref="AY6:AY7"/>
    <mergeCell ref="AZ6:AZ7"/>
    <mergeCell ref="AX6:AX7"/>
    <mergeCell ref="O2:P2"/>
    <mergeCell ref="L4:M4"/>
    <mergeCell ref="C11:D11"/>
  </mergeCells>
  <phoneticPr fontId="37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U26" sqref="U26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17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927" t="s">
        <v>197</v>
      </c>
      <c r="C1" s="1927"/>
      <c r="D1" s="1927"/>
      <c r="E1" s="1927"/>
      <c r="F1" s="1927"/>
      <c r="G1" s="1927"/>
      <c r="H1" s="1927"/>
      <c r="I1" s="1927"/>
      <c r="J1" s="1927"/>
      <c r="K1" s="1927"/>
      <c r="M1" s="475"/>
      <c r="N1" s="1940" t="s">
        <v>192</v>
      </c>
      <c r="O1" s="1940"/>
      <c r="P1" s="1940"/>
      <c r="Q1" s="1940"/>
      <c r="R1" s="1940"/>
      <c r="S1" s="1940"/>
      <c r="T1" s="1940"/>
      <c r="U1" s="1940"/>
      <c r="V1" s="1940"/>
      <c r="W1" s="1941"/>
    </row>
    <row r="2" spans="1:28" ht="11.25" customHeight="1">
      <c r="B2" s="283"/>
      <c r="C2" s="283"/>
      <c r="D2" s="283"/>
      <c r="E2" s="283"/>
      <c r="F2" s="283"/>
      <c r="G2" s="283"/>
      <c r="H2" s="283"/>
      <c r="I2" s="283"/>
      <c r="J2" s="283"/>
      <c r="K2" s="283"/>
      <c r="M2" s="483"/>
      <c r="N2" s="508"/>
      <c r="O2" s="508"/>
      <c r="P2" s="508"/>
      <c r="Q2" s="508"/>
      <c r="R2" s="508"/>
      <c r="S2" s="508"/>
      <c r="T2" s="508"/>
      <c r="U2" s="508"/>
      <c r="V2" s="508"/>
      <c r="W2" s="509"/>
    </row>
    <row r="3" spans="1:28" ht="24" customHeight="1">
      <c r="B3" s="475"/>
      <c r="C3" s="476"/>
      <c r="D3" s="477"/>
      <c r="E3" s="478"/>
      <c r="F3" s="479"/>
      <c r="G3" s="480"/>
      <c r="H3" s="481"/>
      <c r="I3" s="481"/>
      <c r="J3" s="452"/>
      <c r="K3" s="482"/>
      <c r="M3" s="483"/>
      <c r="N3" s="510"/>
      <c r="O3" s="510"/>
      <c r="P3" s="510"/>
      <c r="Q3" s="510"/>
      <c r="R3" s="510"/>
      <c r="S3" s="510"/>
      <c r="T3" s="510"/>
      <c r="U3" s="510"/>
      <c r="V3" s="510"/>
      <c r="W3" s="511"/>
      <c r="Y3" s="302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3"/>
      <c r="C4" s="3"/>
      <c r="E4" s="3"/>
      <c r="F4" s="52"/>
      <c r="G4" s="149"/>
      <c r="H4" s="162"/>
      <c r="I4" s="162"/>
      <c r="K4" s="484"/>
      <c r="L4" s="210"/>
      <c r="M4" s="512"/>
      <c r="N4" s="287" t="s">
        <v>184</v>
      </c>
      <c r="O4" s="225"/>
      <c r="P4" s="470">
        <v>1</v>
      </c>
      <c r="S4" s="287" t="s">
        <v>224</v>
      </c>
      <c r="T4" s="221"/>
      <c r="U4" s="548" t="e">
        <f>IF(c_rp_status=-1,"Edit",IF(c_rp_status=1,"Issue",IF(c_rp_status=2,"Fullfilied",IF(c_rp_status=3,"Partial",1))))</f>
        <v>#NAME?</v>
      </c>
      <c r="V4" s="549" t="e">
        <f>IF(OR(c_rp_invoice_no="",ISNA(VLOOKUP(c_rp_invoice_no*1,sale_invoice_data_list,16,FALSE))),1,VLOOKUP(c_rp_invoice_no*1,sale_invoice_data_list,16,FALSE))</f>
        <v>#NAME?</v>
      </c>
      <c r="W4" s="442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3"/>
      <c r="K5" s="484"/>
      <c r="L5" s="210"/>
      <c r="M5" s="512"/>
      <c r="N5" s="287" t="s">
        <v>283</v>
      </c>
      <c r="O5" s="225"/>
      <c r="P5" s="407" t="s">
        <v>225</v>
      </c>
      <c r="Q5" s="269">
        <f>MID(P5,1,2)*1</f>
        <v>1</v>
      </c>
      <c r="S5" s="287" t="s">
        <v>281</v>
      </c>
      <c r="T5" s="221"/>
      <c r="U5" s="407" t="s">
        <v>88</v>
      </c>
      <c r="V5" s="269">
        <f>MID(U5,1,3)*1</f>
        <v>3</v>
      </c>
      <c r="W5" s="442"/>
      <c r="Y5" s="317" t="str">
        <f>IF(rp_option_income_type&lt;&gt;"","លេខទូរស័ព្ទ ៖ "&amp;VLOOKUP(MID(rp_option_income_type,1,2)*1,branch_list,11,FALSE),"")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3"/>
      <c r="K6" s="484"/>
      <c r="L6" s="213"/>
      <c r="M6" s="513"/>
      <c r="O6" s="225"/>
      <c r="Q6" s="81"/>
      <c r="S6" s="514" t="s">
        <v>107</v>
      </c>
      <c r="T6" s="515"/>
      <c r="U6" s="516" t="e">
        <f>VLOOKUP(c_rp_invoice_no,sale_invoice_data_list,2,FALSE)</f>
        <v>#NAME?</v>
      </c>
      <c r="V6" s="81"/>
      <c r="W6" s="442"/>
      <c r="Y6" s="129" t="str">
        <f>IF(rp_option_income_type&lt;&gt;"",VLOOKUP(MID(rp_option_income_type,1,2)*1,branch_list,6,FALSE),"")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3"/>
      <c r="C7" s="447"/>
      <c r="D7" s="448"/>
      <c r="E7" s="449"/>
      <c r="F7" s="449"/>
      <c r="G7" s="450"/>
      <c r="H7" s="451"/>
      <c r="I7" s="451"/>
      <c r="J7" s="452"/>
      <c r="K7" s="484"/>
      <c r="L7" s="213"/>
      <c r="M7" s="513"/>
      <c r="N7" s="1932" t="s">
        <v>284</v>
      </c>
      <c r="O7" s="1933"/>
      <c r="P7" s="1934">
        <v>1</v>
      </c>
      <c r="Q7" s="1936" t="str">
        <f>IFERROR(IF(AND(P7&lt;&gt;"",P7&gt;0),"("&amp;P7&amp;")",""),"")</f>
        <v>(1)</v>
      </c>
      <c r="S7" s="1932" t="s">
        <v>282</v>
      </c>
      <c r="T7" s="1959"/>
      <c r="U7" s="1953">
        <v>46148</v>
      </c>
      <c r="V7" s="517"/>
      <c r="W7" s="442"/>
      <c r="Y7" s="129"/>
      <c r="Z7" s="129"/>
      <c r="AA7" s="129"/>
      <c r="AB7" s="129"/>
    </row>
    <row r="8" spans="1:28" s="3" customFormat="1" ht="27.95" customHeight="1">
      <c r="A8" s="207"/>
      <c r="B8" s="485"/>
      <c r="C8" s="224" t="s">
        <v>82</v>
      </c>
      <c r="D8" s="221"/>
      <c r="E8" s="453">
        <f>IF(U7="","",U7)</f>
        <v>46148</v>
      </c>
      <c r="F8" s="486"/>
      <c r="G8" s="487"/>
      <c r="H8" s="263" t="s">
        <v>184</v>
      </c>
      <c r="I8" s="224"/>
      <c r="J8" s="454" t="str">
        <f>RIGHT(YEAR(c_rp_current_date),2)&amp;"OC"&amp;TEXT(P4,"000000")</f>
        <v>26OC000001</v>
      </c>
      <c r="K8" s="488"/>
      <c r="L8" s="207"/>
      <c r="M8" s="485"/>
      <c r="N8" s="1932"/>
      <c r="O8" s="1933"/>
      <c r="P8" s="1935"/>
      <c r="Q8" s="1936"/>
      <c r="S8" s="1932"/>
      <c r="T8" s="1959"/>
      <c r="U8" s="1954"/>
      <c r="W8" s="518"/>
      <c r="Y8" s="129">
        <f>IF(rp_option_income_type&lt;&gt;"",VLOOKUP(MID(rp_option_income_type,1,2)*1,branch_list,7,FALSE),"")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89"/>
      <c r="C9" s="490"/>
      <c r="D9" s="221"/>
      <c r="E9" s="300"/>
      <c r="F9" s="301"/>
      <c r="G9" s="287"/>
      <c r="H9" s="491"/>
      <c r="I9" s="492"/>
      <c r="J9" s="493"/>
      <c r="K9" s="488"/>
      <c r="L9" s="170"/>
      <c r="M9" s="489"/>
      <c r="N9" s="226" t="s">
        <v>104</v>
      </c>
      <c r="O9" s="600"/>
      <c r="P9" s="601" t="s">
        <v>1641</v>
      </c>
      <c r="Q9" s="222" t="str">
        <f>IFERROR(IF(c_rp_invoice_no&lt;&gt;"",VLOOKUP(N(c_rp_invoice_no),sale_invoice_data_list,8,FALSE),""),"")</f>
        <v/>
      </c>
      <c r="R9" s="324"/>
      <c r="S9" s="201" t="s">
        <v>85</v>
      </c>
      <c r="T9" s="201"/>
      <c r="U9" s="201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1</v>
      </c>
      <c r="V9" s="201"/>
      <c r="W9" s="443"/>
      <c r="Y9" s="135"/>
      <c r="Z9" s="402"/>
      <c r="AA9" s="135"/>
      <c r="AB9" s="135"/>
    </row>
    <row r="10" spans="1:28" s="147" customFormat="1" ht="27.95" customHeight="1">
      <c r="A10" s="208"/>
      <c r="B10" s="494"/>
      <c r="C10" s="224" t="s">
        <v>187</v>
      </c>
      <c r="D10" s="221"/>
      <c r="E10" s="495" t="str">
        <f>IFERROR(IF(AND(VLOOKUP(c_rp_customer_id,customer_list,2,FALSE)&lt;&gt;"",VLOOKUP(c_rp_customer_id,customer_list,4,FALSE)&lt;&gt;""),VLOOKUP(c_rp_customer_id,customer_list,2,FALSE)&amp; "_" &amp; VLOOKUP(c_rp_customer_id,customer_list,4,FALSE),""),"")</f>
        <v/>
      </c>
      <c r="F10" s="495"/>
      <c r="G10" s="495"/>
      <c r="H10" s="263" t="s">
        <v>256</v>
      </c>
      <c r="I10" s="224"/>
      <c r="J10" s="455">
        <f>IFERROR(IF(AND(P11="",P13=""),0,IF(P11&gt;rp_amount_due,rp_amount_due,P11)+IF((P13*c_rp_exchange_rate)&gt;rp_amount_due,rp_amount_due,P13*c_rp_exchange_rate)),"")</f>
        <v>0</v>
      </c>
      <c r="K10" s="488"/>
      <c r="L10" s="173"/>
      <c r="M10" s="520"/>
      <c r="N10" s="602"/>
      <c r="O10" s="602"/>
      <c r="P10" s="603" t="str">
        <f>IFERROR(IF(VLOOKUP(c_rp_customer_id,customer_list,4,FALSE)&lt;&gt;"",VLOOKUP(c_rp_customer_id,customer_list,4,FALSE),""),"")</f>
        <v/>
      </c>
      <c r="Q10" s="604"/>
      <c r="R10" s="173"/>
      <c r="W10" s="444"/>
      <c r="Y10" s="599"/>
      <c r="Z10" s="403"/>
      <c r="AA10" s="182"/>
      <c r="AB10" s="182"/>
    </row>
    <row r="11" spans="1:28" s="147" customFormat="1" ht="25.5" customHeight="1">
      <c r="A11" s="208"/>
      <c r="B11" s="494"/>
      <c r="C11" s="224"/>
      <c r="D11" s="221"/>
      <c r="E11" s="401" t="str">
        <f>IFERROR(IF(VLOOKUP(c_rp_customer_id,customer_list,6,FALSE)="","",VLOOKUP(c_rp_customer_id,customer_list,6,FALSE))&amp;IF(VLOOKUP(c_rp_customer_id,customer_list,8,FALSE)="","",", "&amp;VLOOKUP(c_rp_customer_id,customer_list,8,FALSE))&amp;IF(VLOOKUP(c_rp_customer_id,customer_list,7,FALSE)="","",", (Telegram : "&amp;VLOOKUP(c_rp_customer_id,customer_list,7,FALSE)&amp;")"),"")</f>
        <v/>
      </c>
      <c r="F11" s="302"/>
      <c r="G11" s="456"/>
      <c r="H11" s="457"/>
      <c r="I11" s="457"/>
      <c r="J11" s="458"/>
      <c r="K11" s="488"/>
      <c r="L11" s="173"/>
      <c r="M11" s="520"/>
      <c r="N11" s="1932" t="s">
        <v>285</v>
      </c>
      <c r="O11" s="1933"/>
      <c r="P11" s="1928"/>
      <c r="Q11" s="1929"/>
      <c r="S11" s="1932" t="s">
        <v>193</v>
      </c>
      <c r="U11" s="1949" t="s">
        <v>196</v>
      </c>
      <c r="V11" s="1950"/>
      <c r="W11" s="444"/>
      <c r="Y11" s="182"/>
      <c r="Z11" s="182"/>
      <c r="AA11" s="182"/>
      <c r="AB11" s="182"/>
    </row>
    <row r="12" spans="1:28" s="147" customFormat="1" ht="27.75" customHeight="1">
      <c r="A12" s="208"/>
      <c r="B12" s="494"/>
      <c r="C12" s="224" t="s">
        <v>188</v>
      </c>
      <c r="D12" s="221"/>
      <c r="E12" s="459" t="str" cm="1">
        <f t="array" ref="E12">IF(J10&gt;0,SpellKhNumber(J10),"")</f>
        <v/>
      </c>
      <c r="F12" s="460"/>
      <c r="G12" s="461"/>
      <c r="H12" s="462"/>
      <c r="I12" s="462"/>
      <c r="J12" s="463"/>
      <c r="K12" s="488"/>
      <c r="L12" s="173"/>
      <c r="M12" s="520"/>
      <c r="N12" s="1932"/>
      <c r="O12" s="1933"/>
      <c r="P12" s="1930"/>
      <c r="Q12" s="1931"/>
      <c r="S12" s="1932"/>
      <c r="U12" s="544" t="s">
        <v>1902</v>
      </c>
      <c r="V12" s="545">
        <v>4001</v>
      </c>
      <c r="W12" s="444"/>
      <c r="Y12" s="182"/>
      <c r="Z12" s="182"/>
      <c r="AA12" s="182"/>
      <c r="AB12" s="182"/>
    </row>
    <row r="13" spans="1:28" s="147" customFormat="1" ht="34.5" customHeight="1">
      <c r="A13" s="208"/>
      <c r="B13" s="494"/>
      <c r="C13" s="224" t="s">
        <v>191</v>
      </c>
      <c r="D13" s="221"/>
      <c r="E13" s="410" t="str">
        <f>IF(P7="","",MID(TEXT(P7,"000000"),1,40))</f>
        <v>000001</v>
      </c>
      <c r="F13" s="466"/>
      <c r="G13" s="464"/>
      <c r="H13" s="465" t="s">
        <v>258</v>
      </c>
      <c r="I13" s="465"/>
      <c r="J13" s="429" t="s">
        <v>185</v>
      </c>
      <c r="K13" s="488"/>
      <c r="L13" s="173"/>
      <c r="M13" s="520"/>
      <c r="N13" s="197"/>
      <c r="O13" s="225"/>
      <c r="P13" s="1955"/>
      <c r="Q13" s="1956"/>
      <c r="S13" s="1932" t="s">
        <v>194</v>
      </c>
      <c r="T13" s="223"/>
      <c r="U13" s="546"/>
      <c r="V13" s="547"/>
      <c r="W13" s="444"/>
      <c r="Y13" s="182"/>
      <c r="Z13" s="182"/>
      <c r="AA13" s="182"/>
      <c r="AB13" s="182"/>
    </row>
    <row r="14" spans="1:28" s="147" customFormat="1" ht="25.5">
      <c r="A14" s="208"/>
      <c r="B14" s="494"/>
      <c r="C14" s="287" t="s">
        <v>189</v>
      </c>
      <c r="D14" s="303"/>
      <c r="E14" s="302" t="str">
        <f>IF(c_rp_invoice_no="","",MID(P18,4,20))</f>
        <v>.ផល​ ពិសិទ្ធ</v>
      </c>
      <c r="F14" s="302"/>
      <c r="H14" s="496"/>
      <c r="I14" s="227"/>
      <c r="J14" s="430" t="s">
        <v>186</v>
      </c>
      <c r="K14" s="488"/>
      <c r="L14" s="173"/>
      <c r="M14" s="520"/>
      <c r="N14" s="197"/>
      <c r="O14" s="225"/>
      <c r="P14" s="1957"/>
      <c r="Q14" s="1958"/>
      <c r="S14" s="1932"/>
      <c r="W14" s="444"/>
      <c r="Y14" s="182"/>
      <c r="Z14" s="182"/>
      <c r="AA14" s="182"/>
      <c r="AB14" s="182"/>
    </row>
    <row r="15" spans="1:28" s="147" customFormat="1" ht="30" customHeight="1">
      <c r="A15" s="208"/>
      <c r="B15" s="494"/>
      <c r="D15" s="497"/>
      <c r="E15" s="498" t="str">
        <f>IF(OR(P18="",c_rp_invoice_no="",ISNA(VLOOKUP(Q18,saller_list,5,FALSE))),"","លេខទូរស័ព្ទ ៖ "&amp;VLOOKUP(Q18,saller_list,5,FALSE))</f>
        <v/>
      </c>
      <c r="F15" s="499"/>
      <c r="H15" s="469"/>
      <c r="I15" s="270"/>
      <c r="J15" s="409" t="s">
        <v>190</v>
      </c>
      <c r="K15" s="488"/>
      <c r="L15" s="173"/>
      <c r="M15" s="520"/>
      <c r="N15" s="514" t="s">
        <v>266</v>
      </c>
      <c r="O15" s="522"/>
      <c r="P15" s="523" t="e">
        <f>IF(c_rp_invoice_no&lt;&gt;"",SUMIF(#REF!,c_rp_invoice_no*1,#REF!),"")</f>
        <v>#REF!</v>
      </c>
      <c r="Q15" s="524"/>
      <c r="S15" s="542" t="s">
        <v>217</v>
      </c>
      <c r="T15" s="543"/>
      <c r="U15" s="1948" t="s">
        <v>432</v>
      </c>
      <c r="V15" s="1948"/>
      <c r="W15" s="444"/>
      <c r="Y15" s="182"/>
      <c r="Z15" s="182"/>
      <c r="AA15" s="182"/>
      <c r="AB15" s="182"/>
    </row>
    <row r="16" spans="1:28" s="147" customFormat="1" ht="30" customHeight="1">
      <c r="A16" s="208"/>
      <c r="B16" s="494"/>
      <c r="C16" s="224"/>
      <c r="D16" s="497"/>
      <c r="E16" s="467" t="str">
        <f>IF(OR(P18="",c_rp_invoice_no="",ISNA(VLOOKUP(Q18,saller_list,6,FALSE))),"","តេលេក្រាម ៖ "&amp;VLOOKUP(Q18,saller_list,6,FALSE))</f>
        <v/>
      </c>
      <c r="F16" s="468"/>
      <c r="G16" s="500"/>
      <c r="H16" s="263" t="s">
        <v>257</v>
      </c>
      <c r="I16" s="221"/>
      <c r="J16" s="501">
        <f>IFERROR(IF(AND(rp_total_balance_unpaid&gt;0,c_rp_invoice_no&lt;&gt;""),rp_total_balance_unpaid,0),0)</f>
        <v>0</v>
      </c>
      <c r="K16" s="488"/>
      <c r="L16" s="173"/>
      <c r="M16" s="520"/>
      <c r="N16" s="525" t="s">
        <v>250</v>
      </c>
      <c r="O16" s="225"/>
      <c r="P16" s="1938"/>
      <c r="Q16" s="1939"/>
      <c r="W16" s="444"/>
      <c r="Y16" s="182"/>
      <c r="Z16" s="182"/>
      <c r="AA16" s="182"/>
      <c r="AB16" s="182"/>
    </row>
    <row r="17" spans="1:28" s="147" customFormat="1" ht="24.75" customHeight="1">
      <c r="A17" s="208"/>
      <c r="B17" s="494"/>
      <c r="C17" s="1926" t="s">
        <v>83</v>
      </c>
      <c r="D17" s="1925"/>
      <c r="E17" s="1937" t="str">
        <f>IF(S18="","",S18)</f>
        <v/>
      </c>
      <c r="F17" s="1937"/>
      <c r="G17" s="1937"/>
      <c r="H17" s="263" t="s">
        <v>46</v>
      </c>
      <c r="I17" s="221"/>
      <c r="J17" s="501">
        <f>IF(c_rp_discount&lt;&gt;"",c_rp_discount,0)</f>
        <v>0</v>
      </c>
      <c r="K17" s="488"/>
      <c r="L17" s="173"/>
      <c r="M17" s="520"/>
      <c r="N17" s="224"/>
      <c r="O17" s="225"/>
      <c r="P17" s="526" t="s">
        <v>213</v>
      </c>
      <c r="S17" s="471" t="s">
        <v>84</v>
      </c>
      <c r="T17" s="472"/>
      <c r="U17" s="473"/>
      <c r="V17" s="474"/>
      <c r="W17" s="527"/>
      <c r="Y17" s="182"/>
      <c r="Z17" s="182"/>
      <c r="AA17" s="182"/>
      <c r="AB17" s="182"/>
    </row>
    <row r="18" spans="1:28" s="147" customFormat="1" ht="27" customHeight="1">
      <c r="A18" s="208"/>
      <c r="B18" s="494"/>
      <c r="C18" s="1926"/>
      <c r="D18" s="1925"/>
      <c r="E18" s="1937"/>
      <c r="F18" s="1937"/>
      <c r="G18" s="1937"/>
      <c r="H18" s="263" t="s">
        <v>92</v>
      </c>
      <c r="I18" s="221"/>
      <c r="J18" s="502">
        <f>J10</f>
        <v>0</v>
      </c>
      <c r="K18" s="488"/>
      <c r="L18" s="173"/>
      <c r="M18" s="520"/>
      <c r="N18" s="287" t="s">
        <v>286</v>
      </c>
      <c r="O18" s="225"/>
      <c r="P18" s="1960" t="s">
        <v>1899</v>
      </c>
      <c r="Q18" s="1960"/>
      <c r="S18" s="1942"/>
      <c r="T18" s="1943"/>
      <c r="U18" s="1943"/>
      <c r="V18" s="1944"/>
      <c r="W18" s="527"/>
      <c r="Y18" s="182"/>
      <c r="Z18" s="182"/>
      <c r="AA18" s="182"/>
      <c r="AB18" s="182"/>
    </row>
    <row r="19" spans="1:28" s="147" customFormat="1" ht="27" customHeight="1">
      <c r="A19" s="208"/>
      <c r="B19" s="494"/>
      <c r="C19" s="204"/>
      <c r="D19" s="204"/>
      <c r="E19" s="1937"/>
      <c r="F19" s="1937"/>
      <c r="G19" s="1937"/>
      <c r="H19" s="263" t="s">
        <v>183</v>
      </c>
      <c r="I19" s="221"/>
      <c r="J19" s="501">
        <f>IFERROR(N(J16)-N(J17)-N(J18),"")</f>
        <v>0</v>
      </c>
      <c r="K19" s="488"/>
      <c r="L19" s="173"/>
      <c r="M19" s="520"/>
      <c r="N19" s="197"/>
      <c r="S19" s="1945"/>
      <c r="T19" s="1946"/>
      <c r="U19" s="1946"/>
      <c r="V19" s="1947"/>
      <c r="W19" s="527"/>
      <c r="Y19" s="182"/>
      <c r="Z19" s="182"/>
      <c r="AA19" s="182"/>
      <c r="AB19" s="182"/>
    </row>
    <row r="20" spans="1:28" s="34" customFormat="1" ht="7.5" customHeight="1">
      <c r="A20" s="208"/>
      <c r="B20" s="503"/>
      <c r="C20" s="269"/>
      <c r="D20" s="269"/>
      <c r="E20" s="504"/>
      <c r="F20" s="504"/>
      <c r="G20" s="505"/>
      <c r="H20" s="506"/>
      <c r="I20" s="506"/>
      <c r="J20" s="506"/>
      <c r="K20" s="507"/>
      <c r="L20" s="174"/>
      <c r="M20" s="528"/>
      <c r="N20" s="529"/>
      <c r="O20" s="530"/>
      <c r="P20" s="506"/>
      <c r="Q20" s="506"/>
      <c r="R20" s="506"/>
      <c r="S20" s="506"/>
      <c r="T20" s="506"/>
      <c r="U20" s="506"/>
      <c r="V20" s="506"/>
      <c r="W20" s="531"/>
      <c r="Y20" s="404"/>
      <c r="Z20" s="404"/>
      <c r="AA20" s="404"/>
      <c r="AB20" s="404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36"/>
      <c r="N22" s="537" t="s">
        <v>223</v>
      </c>
      <c r="O22" s="538"/>
      <c r="P22" s="539" t="e">
        <f>IF(OR(ISNA(VLOOKUP(c_rp_invoice_no*1,sale_invoice_data_list,11,FALSE)),c_rp_invoice_no=""),0,VLOOKUP(c_rp_invoice_no*1,sale_invoice_data_list,11,FALSE))</f>
        <v>#NAME?</v>
      </c>
      <c r="Q22" s="540" t="e">
        <f>IF(OR(ISNA(VLOOKUP(c_rp_invoice_no*1,sale_invoice_data_list,2,FALSE)),c_rp_invoice_no=""),"",VLOOKUP(c_rp_invoice_no*1,sale_invoice_data_list,2,FALSE))</f>
        <v>#NAME?</v>
      </c>
      <c r="S22" s="263" t="s">
        <v>259</v>
      </c>
      <c r="U22" s="1951"/>
      <c r="V22" s="1952"/>
    </row>
    <row r="23" spans="1:28" ht="33.75" customHeight="1">
      <c r="M23" s="536"/>
      <c r="N23" s="537" t="s">
        <v>92</v>
      </c>
      <c r="O23" s="538"/>
      <c r="P23" s="539" t="e">
        <f>IF(c_rp_invoice_no&lt;&gt;"",SUMIF(#REF!,c_rp_invoice_no*1,#REF!),0)</f>
        <v>#REF!</v>
      </c>
      <c r="Q23" s="541"/>
    </row>
    <row r="24" spans="1:28" ht="30.75" customHeight="1">
      <c r="M24" s="536"/>
      <c r="N24" s="537" t="s">
        <v>222</v>
      </c>
      <c r="O24" s="538"/>
      <c r="P24" s="539" t="e">
        <f>IF(OR(ISNA(VLOOKUP(c_rp_invoice_no*1,sale_invoice_data_list,12,FALSE)),c_rp_invoice_no=""),0,VLOOKUP(c_rp_invoice_no*1,sale_invoice_data_list,12,FALSE))</f>
        <v>#NAME?</v>
      </c>
      <c r="Q24" s="541"/>
    </row>
    <row r="25" spans="1:28" ht="37.5" customHeight="1">
      <c r="M25" s="534"/>
      <c r="N25" s="535" t="s">
        <v>255</v>
      </c>
      <c r="O25" s="532"/>
      <c r="P25" s="533" t="e">
        <f>IF(c_rp_invoice_no&lt;&gt;"",IF(ISNA(VLOOKUP(c_rp_invoice_no,sale_invoice_data_list,14,FALSE)),"",VLOOKUP(c_rp_invoice_no,sale_invoice_data_list,14,FALSE)),0)</f>
        <v>#NAME?</v>
      </c>
      <c r="Q25" s="446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U22:V22"/>
    <mergeCell ref="U7:U8"/>
    <mergeCell ref="P13:Q14"/>
    <mergeCell ref="S11:S12"/>
    <mergeCell ref="S13:S14"/>
    <mergeCell ref="S7:S8"/>
    <mergeCell ref="T7:T8"/>
    <mergeCell ref="P18:Q18"/>
    <mergeCell ref="D17:D18"/>
    <mergeCell ref="C17:C18"/>
    <mergeCell ref="B1:K1"/>
    <mergeCell ref="P11:Q12"/>
    <mergeCell ref="N11:N12"/>
    <mergeCell ref="O11:O12"/>
    <mergeCell ref="N7:N8"/>
    <mergeCell ref="P7:P8"/>
    <mergeCell ref="O7:O8"/>
    <mergeCell ref="Q7:Q8"/>
    <mergeCell ref="E17:G19"/>
    <mergeCell ref="P16:Q16"/>
    <mergeCell ref="N1:W1"/>
    <mergeCell ref="S18:V19"/>
    <mergeCell ref="U15:V15"/>
    <mergeCell ref="U11:V11"/>
  </mergeCells>
  <dataValidations count="8">
    <dataValidation type="whole" operator="greaterThanOrEqual" allowBlank="1" showInputMessage="1" showErrorMessage="1" error="បញ្ចូលបានលេ,សូមបញ្ចូលម្តងទៀត។" sqref="J10" xr:uid="{F2BD64CC-D575-4244-B131-93589452D556}">
      <formula1>0</formula1>
    </dataValidation>
    <dataValidation type="list" allowBlank="1" showInputMessage="1" showErrorMessage="1" sqref="P5" xr:uid="{1CD5BE52-9AA0-4DC2-AA8F-E7BEC9A283B1}">
      <formula1>branch_option</formula1>
    </dataValidation>
    <dataValidation type="list" allowBlank="1" showInputMessage="1" showErrorMessage="1" sqref="U5" xr:uid="{E04D2EF4-3AD6-47C2-9C38-4E74B93789C0}">
      <formula1>IF(Q5="","",iow_1)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8" xr:uid="{55215659-BBC3-4A33-A991-025088917AAA}">
      <formula1>saller_option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98588033-E08A-4475-AD9E-EF596C46F5CA}">
      <formula1>1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V15" xr:uid="{E5AB7A93-FDAF-4FED-9A9B-A6BD4415A462}">
      <formula1>module_type_option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7" name="Button 9">
              <controlPr defaultSize="0" print="0" autoFill="0" autoPict="0" macro="[0]!CurrentDate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1" r:id="rId8" name="Button 13">
              <controlPr defaultSize="0" print="0" autoFill="0" autoPict="0" macro="[0]!ExchangeRateReceivePayment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9" r:id="rId9" name="Button 21">
              <controlPr defaultSize="0" print="0" autoFill="0" autoPict="0" macro="[0]!copyReceivePayment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6" r:id="rId10" name="Button 2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A1:Z59"/>
  <sheetViews>
    <sheetView showGridLines="0" showWhiteSpace="0" zoomScale="80" zoomScaleNormal="80" zoomScaleSheetLayoutView="100" zoomScalePageLayoutView="87" workbookViewId="0">
      <selection activeCell="U26" sqref="U26"/>
    </sheetView>
  </sheetViews>
  <sheetFormatPr defaultColWidth="8.7109375" defaultRowHeight="24" customHeight="1"/>
  <cols>
    <col min="1" max="1" width="3.140625" style="81" customWidth="1"/>
    <col min="2" max="2" width="1.5703125" customWidth="1"/>
    <col min="3" max="3" width="4" customWidth="1"/>
    <col min="4" max="4" width="8" customWidth="1"/>
    <col min="5" max="5" width="3.7109375" style="5" customWidth="1"/>
    <col min="6" max="6" width="21.7109375" style="5" customWidth="1"/>
    <col min="7" max="7" width="20.28515625" style="5" customWidth="1"/>
    <col min="8" max="8" width="11.5703125" style="2" customWidth="1"/>
    <col min="9" max="9" width="3.7109375" style="2" customWidth="1"/>
    <col min="10" max="10" width="14.85546875" style="1" customWidth="1"/>
    <col min="11" max="11" width="3.85546875" style="1" customWidth="1"/>
    <col min="12" max="12" width="7.85546875" hidden="1" customWidth="1"/>
    <col min="13" max="13" width="5.7109375" hidden="1" customWidth="1"/>
    <col min="14" max="14" width="2" style="47" customWidth="1"/>
    <col min="15" max="15" width="20" style="139" customWidth="1"/>
    <col min="16" max="16" width="4" style="13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spans="1:26" ht="33.75" customHeight="1">
      <c r="B1" s="1976" t="s">
        <v>208</v>
      </c>
      <c r="C1" s="1976"/>
      <c r="D1" s="1976"/>
      <c r="E1" s="1976"/>
      <c r="F1" s="1976"/>
      <c r="G1" s="1976"/>
      <c r="H1" s="1976"/>
      <c r="I1" s="1976"/>
      <c r="J1" s="1976"/>
      <c r="K1" s="244"/>
      <c r="L1" s="244"/>
      <c r="M1" s="244"/>
      <c r="N1" s="284"/>
      <c r="O1" s="1977" t="s">
        <v>192</v>
      </c>
      <c r="P1" s="1977"/>
      <c r="Q1" s="1977"/>
      <c r="R1" s="1977"/>
      <c r="S1" s="1977"/>
      <c r="T1" s="1977"/>
      <c r="U1" s="1977"/>
      <c r="V1" s="1977"/>
      <c r="W1" s="1977"/>
      <c r="X1" s="1978"/>
      <c r="Y1" s="2" t="s">
        <v>254</v>
      </c>
      <c r="Z1" s="139">
        <v>2025</v>
      </c>
    </row>
    <row r="2" spans="1:26" ht="24" customHeight="1">
      <c r="N2" s="285"/>
      <c r="O2" s="1979"/>
      <c r="P2" s="1979"/>
      <c r="Q2" s="1979"/>
      <c r="R2" s="1979"/>
      <c r="S2" s="1979"/>
      <c r="T2" s="1979"/>
      <c r="U2" s="1979"/>
      <c r="V2" s="1979"/>
      <c r="W2" s="1979"/>
      <c r="X2" s="1980"/>
      <c r="Z2" s="139"/>
    </row>
    <row r="3" spans="1:26" ht="24" customHeight="1"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286"/>
      <c r="O3" s="287" t="s">
        <v>293</v>
      </c>
      <c r="P3" s="225" t="s">
        <v>102</v>
      </c>
      <c r="Q3" s="279">
        <v>188</v>
      </c>
      <c r="T3" s="255" t="s">
        <v>182</v>
      </c>
      <c r="U3" s="221" t="s">
        <v>102</v>
      </c>
      <c r="V3" s="309" t="str">
        <f>IF(c_other_expense_status=1,"Exist","Not exist")</f>
        <v>Not exist</v>
      </c>
      <c r="W3" s="310">
        <v>0</v>
      </c>
      <c r="X3" s="288"/>
      <c r="Z3" s="373"/>
    </row>
    <row r="4" spans="1:26" ht="27.75" customHeight="1">
      <c r="B4" s="159"/>
      <c r="C4" s="159"/>
      <c r="D4" s="159"/>
      <c r="E4" s="159"/>
      <c r="F4" s="159"/>
      <c r="G4" s="159"/>
      <c r="H4" s="159"/>
      <c r="I4" s="159"/>
      <c r="J4" s="1989"/>
      <c r="K4" s="159"/>
      <c r="L4" s="166"/>
      <c r="M4" s="166"/>
      <c r="N4" s="286"/>
      <c r="O4" s="287" t="s">
        <v>283</v>
      </c>
      <c r="P4" s="225" t="s">
        <v>102</v>
      </c>
      <c r="Q4" s="276" t="s">
        <v>225</v>
      </c>
      <c r="R4" s="204">
        <f>IF(Q4="","",MID(Q4,1,2)*1)</f>
        <v>1</v>
      </c>
      <c r="T4" s="287" t="s">
        <v>299</v>
      </c>
      <c r="U4" s="221" t="s">
        <v>102</v>
      </c>
      <c r="V4" s="277" t="s">
        <v>177</v>
      </c>
      <c r="W4" s="204">
        <f>IF(V4="","",MID(V4,1,3)*1)</f>
        <v>4</v>
      </c>
      <c r="X4" s="288"/>
    </row>
    <row r="5" spans="1:26" ht="27" customHeight="1">
      <c r="B5" s="148"/>
      <c r="C5" s="148"/>
      <c r="D5" s="148"/>
      <c r="E5" s="148"/>
      <c r="F5" s="148"/>
      <c r="G5" s="148"/>
      <c r="H5" s="192"/>
      <c r="I5" s="162"/>
      <c r="J5" s="1989"/>
      <c r="L5" s="175"/>
      <c r="M5" s="175"/>
      <c r="N5" s="289"/>
      <c r="P5" s="225"/>
      <c r="R5" s="81"/>
      <c r="U5" s="221"/>
      <c r="X5" s="288"/>
    </row>
    <row r="6" spans="1:26" ht="25.5">
      <c r="B6" s="158"/>
      <c r="C6" s="158"/>
      <c r="D6" s="158"/>
      <c r="E6" s="158"/>
      <c r="F6" s="158"/>
      <c r="G6" s="158"/>
      <c r="H6" s="160"/>
      <c r="I6" s="162"/>
      <c r="J6" s="1989"/>
      <c r="L6" s="217"/>
      <c r="M6" s="217"/>
      <c r="N6" s="289"/>
      <c r="O6" s="224" t="s">
        <v>294</v>
      </c>
      <c r="P6" s="225" t="s">
        <v>102</v>
      </c>
      <c r="Q6" s="362"/>
      <c r="R6" s="209" t="str">
        <f>IFERROR(IF(AND(Q6&lt;&gt;"",Q6&gt;0),"("&amp;Q6&amp;")",""),"")</f>
        <v/>
      </c>
      <c r="T6" s="317" t="s">
        <v>282</v>
      </c>
      <c r="U6" s="221" t="s">
        <v>102</v>
      </c>
      <c r="V6" s="364">
        <v>46182</v>
      </c>
      <c r="W6" s="318"/>
      <c r="X6" s="288"/>
    </row>
    <row r="7" spans="1:26" ht="8.25" customHeight="1">
      <c r="B7" s="158"/>
      <c r="C7" s="158"/>
      <c r="D7" s="158"/>
      <c r="E7" s="158"/>
      <c r="F7" s="158"/>
      <c r="G7" s="158"/>
      <c r="H7" s="160"/>
      <c r="I7" s="162"/>
      <c r="J7" s="230"/>
      <c r="L7" s="217"/>
      <c r="M7" s="217"/>
      <c r="N7" s="289"/>
      <c r="O7" s="317"/>
      <c r="P7" s="225"/>
      <c r="Q7" s="319"/>
      <c r="R7" s="209"/>
      <c r="T7" s="317"/>
      <c r="U7" s="317"/>
      <c r="V7" s="318"/>
      <c r="W7" s="318"/>
      <c r="X7" s="288"/>
    </row>
    <row r="8" spans="1:26" s="3" customFormat="1" ht="34.5" customHeight="1">
      <c r="A8" s="81"/>
      <c r="B8" s="158"/>
      <c r="C8" s="218" t="s">
        <v>200</v>
      </c>
      <c r="D8" s="218"/>
      <c r="E8" s="179" t="s">
        <v>102</v>
      </c>
      <c r="F8" s="243" t="str">
        <f>IF(c_exp_vendor_id="","",VLOOKUP(c_exp_vendor_id,vendor_list,2,FALSE)&amp;"_"&amp;VLOOKUP(c_exp_vendor_id,vendor_list,4,FALSE))</f>
        <v>_ក្រុមហ៊ុនជីប ម៉ុង</v>
      </c>
      <c r="H8" s="239" t="s">
        <v>91</v>
      </c>
      <c r="I8" s="135" t="s">
        <v>102</v>
      </c>
      <c r="J8" s="570" t="str">
        <f>"EXP"&amp;RIGHT(YEAR(c_rp_current_date),2)&amp;TEXT(Q3,"0000")</f>
        <v>EXP260188</v>
      </c>
      <c r="K8" s="203"/>
      <c r="L8" s="179"/>
      <c r="M8" s="179"/>
      <c r="N8" s="320" t="str">
        <f>IFERROR(VLOOKUP(c_customer_id_hidden,customer_list,2,FALSE),"")</f>
        <v/>
      </c>
      <c r="O8" s="317" t="s">
        <v>295</v>
      </c>
      <c r="P8" s="225" t="s">
        <v>102</v>
      </c>
      <c r="Q8" s="605" t="s">
        <v>1900</v>
      </c>
      <c r="R8" s="655">
        <f>MID(exp_vendor_option,1,5)*1</f>
        <v>1</v>
      </c>
      <c r="S8" s="605"/>
      <c r="T8" s="321" t="s">
        <v>85</v>
      </c>
      <c r="U8" s="249"/>
      <c r="V8" s="222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2</v>
      </c>
      <c r="W8" s="200"/>
      <c r="X8" s="290"/>
    </row>
    <row r="9" spans="1:26" s="126" customFormat="1" ht="32.25" customHeight="1">
      <c r="A9" s="81"/>
      <c r="C9" s="203" t="s">
        <v>121</v>
      </c>
      <c r="D9" s="203"/>
      <c r="E9" s="179" t="s">
        <v>102</v>
      </c>
      <c r="F9" s="128">
        <f>IF(c_exp_vendor_id="","",VLOOKUP(c_exp_vendor_id,vendor_list,6,FALSE))</f>
        <v>0</v>
      </c>
      <c r="H9" s="240" t="s">
        <v>82</v>
      </c>
      <c r="I9" s="135" t="s">
        <v>102</v>
      </c>
      <c r="J9" s="241">
        <f>IF(c_exp_current_date="","",c_exp_current_date)</f>
        <v>46182</v>
      </c>
      <c r="K9" s="228"/>
      <c r="L9" s="229"/>
      <c r="M9" s="229"/>
      <c r="N9" s="322"/>
      <c r="O9" s="302" t="s">
        <v>296</v>
      </c>
      <c r="P9" s="225"/>
      <c r="Q9" s="278"/>
      <c r="R9" s="323" t="str">
        <f>MID(exp_member_option,1,2)</f>
        <v/>
      </c>
      <c r="S9" s="324"/>
      <c r="X9" s="291"/>
    </row>
    <row r="10" spans="1:26" s="147" customFormat="1" ht="27.95" customHeight="1">
      <c r="A10" s="81"/>
      <c r="C10" s="203" t="s">
        <v>123</v>
      </c>
      <c r="D10" s="203"/>
      <c r="E10" s="179" t="s">
        <v>102</v>
      </c>
      <c r="F10" s="242">
        <f>IF(c_exp_vendor_id="","",VLOOKUP(c_exp_vendor_id,vendor_list,8,FALSE))</f>
        <v>0</v>
      </c>
      <c r="H10" s="205" t="s">
        <v>212</v>
      </c>
      <c r="I10" s="135" t="s">
        <v>102</v>
      </c>
      <c r="J10" s="128" t="str">
        <f>IF(c_rp_invoice_no="","",c_rp_invoice_no)</f>
        <v/>
      </c>
      <c r="K10" s="146"/>
      <c r="L10" s="146"/>
      <c r="M10" s="146"/>
      <c r="N10" s="325"/>
      <c r="O10" s="326"/>
      <c r="P10" s="225"/>
      <c r="V10" s="1998" t="s">
        <v>196</v>
      </c>
      <c r="W10" s="1999"/>
      <c r="X10" s="293"/>
    </row>
    <row r="11" spans="1:26" s="147" customFormat="1" ht="10.5" customHeight="1">
      <c r="A11" s="81"/>
      <c r="N11" s="292"/>
      <c r="O11" s="1932" t="s">
        <v>297</v>
      </c>
      <c r="P11" s="1933"/>
      <c r="Q11" s="1990"/>
      <c r="R11" s="1991"/>
      <c r="T11" s="2003" t="s">
        <v>193</v>
      </c>
      <c r="V11" s="311"/>
      <c r="W11" s="312"/>
      <c r="X11" s="293"/>
    </row>
    <row r="12" spans="1:26" s="147" customFormat="1" ht="27.75" customHeight="1">
      <c r="A12" s="81"/>
      <c r="B12" s="1981" t="s">
        <v>47</v>
      </c>
      <c r="C12" s="1982"/>
      <c r="D12" s="2000" t="s">
        <v>301</v>
      </c>
      <c r="E12" s="2000"/>
      <c r="F12" s="2000"/>
      <c r="G12" s="2000"/>
      <c r="H12" s="1981" t="s">
        <v>203</v>
      </c>
      <c r="I12" s="1982"/>
      <c r="J12" s="344" t="s">
        <v>198</v>
      </c>
      <c r="K12" s="163"/>
      <c r="L12" s="155"/>
      <c r="M12" s="155"/>
      <c r="N12" s="292"/>
      <c r="O12" s="1932"/>
      <c r="P12" s="1933"/>
      <c r="Q12" s="1992"/>
      <c r="R12" s="1993"/>
      <c r="T12" s="2003"/>
      <c r="V12" s="313" t="s">
        <v>195</v>
      </c>
      <c r="W12" s="314">
        <v>4019</v>
      </c>
      <c r="X12" s="293"/>
    </row>
    <row r="13" spans="1:26" s="147" customFormat="1" ht="20.25" customHeight="1">
      <c r="A13" s="81"/>
      <c r="B13" s="1983" t="s">
        <v>9</v>
      </c>
      <c r="C13" s="1984"/>
      <c r="D13" s="2001" t="s">
        <v>302</v>
      </c>
      <c r="E13" s="2001"/>
      <c r="F13" s="2001"/>
      <c r="G13" s="2001"/>
      <c r="H13" s="1983" t="s">
        <v>201</v>
      </c>
      <c r="I13" s="1984"/>
      <c r="J13" s="345" t="s">
        <v>202</v>
      </c>
      <c r="K13" s="164"/>
      <c r="L13" s="2004" t="s">
        <v>216</v>
      </c>
      <c r="M13" s="5"/>
      <c r="N13" s="292"/>
      <c r="O13" s="197"/>
      <c r="P13" s="225"/>
      <c r="Q13" s="1994"/>
      <c r="R13" s="1995"/>
      <c r="T13" s="2003" t="s">
        <v>194</v>
      </c>
      <c r="U13" s="223"/>
      <c r="V13" s="315"/>
      <c r="W13" s="316"/>
      <c r="X13" s="293"/>
    </row>
    <row r="14" spans="1:26" s="147" customFormat="1" ht="24.95" customHeight="1">
      <c r="A14" s="81"/>
      <c r="B14" s="1961">
        <v>1</v>
      </c>
      <c r="C14" s="1962"/>
      <c r="D14" s="127" t="str">
        <f>c_exp_description</f>
        <v>បាយ និងសាំង</v>
      </c>
      <c r="H14" s="1974">
        <f>IFERROR(IF(c_rp_amount_kh_paid="",0,c_rp_amount_kh_paid),"")</f>
        <v>0</v>
      </c>
      <c r="I14" s="1975"/>
      <c r="J14" s="346">
        <f>IFERROR(IF(c_exp_amount_en_paid="",0,c_exp_amount_en_paid),"")</f>
        <v>0</v>
      </c>
      <c r="L14" s="2004"/>
      <c r="M14" s="245"/>
      <c r="N14" s="292"/>
      <c r="O14" s="197"/>
      <c r="P14" s="225"/>
      <c r="Q14" s="1996"/>
      <c r="R14" s="1997"/>
      <c r="T14" s="2003"/>
      <c r="X14" s="293"/>
    </row>
    <row r="15" spans="1:26" s="147" customFormat="1" ht="24.95" customHeight="1">
      <c r="A15" s="81"/>
      <c r="B15" s="1961"/>
      <c r="C15" s="1962"/>
      <c r="D15" s="330" t="str">
        <f>IF(L15="","","-")</f>
        <v/>
      </c>
      <c r="E15" s="203" t="str">
        <f t="shared" ref="E15:E25" si="0">IFERROR(IF(L15="","",IF(MID(L15,4,100)=product_name_th,"",MID(L15,4,100))),"")</f>
        <v/>
      </c>
      <c r="F15" s="305"/>
      <c r="G15" s="305"/>
      <c r="H15" s="332"/>
      <c r="I15" s="333"/>
      <c r="J15" s="347"/>
      <c r="L15" s="329"/>
      <c r="N15" s="292"/>
      <c r="O15" s="197"/>
      <c r="P15" s="225"/>
      <c r="T15" s="287" t="s">
        <v>83</v>
      </c>
      <c r="U15" s="221" t="s">
        <v>102</v>
      </c>
      <c r="V15" s="327"/>
      <c r="W15" s="327"/>
      <c r="X15" s="293"/>
    </row>
    <row r="16" spans="1:26" s="147" customFormat="1" ht="24.95" customHeight="1">
      <c r="A16" s="198"/>
      <c r="B16" s="1961"/>
      <c r="C16" s="1962"/>
      <c r="D16" s="330" t="str">
        <f t="shared" ref="D16:D25" si="1">IF(L16="","","-")</f>
        <v/>
      </c>
      <c r="E16" s="203" t="str">
        <f t="shared" si="0"/>
        <v/>
      </c>
      <c r="F16" s="305"/>
      <c r="G16" s="305"/>
      <c r="H16" s="332"/>
      <c r="I16" s="333"/>
      <c r="J16" s="347"/>
      <c r="L16" s="329"/>
      <c r="N16" s="292"/>
      <c r="O16" s="224" t="s">
        <v>298</v>
      </c>
      <c r="P16" s="225" t="s">
        <v>102</v>
      </c>
      <c r="Q16" s="1987" t="s">
        <v>1899</v>
      </c>
      <c r="R16" s="1988"/>
      <c r="T16" s="1965"/>
      <c r="U16" s="1966"/>
      <c r="V16" s="1966"/>
      <c r="W16" s="1967"/>
      <c r="X16" s="293"/>
    </row>
    <row r="17" spans="1:24" s="147" customFormat="1" ht="24.95" customHeight="1">
      <c r="A17" s="199"/>
      <c r="B17" s="1961"/>
      <c r="C17" s="1962"/>
      <c r="D17" s="330" t="str">
        <f t="shared" si="1"/>
        <v/>
      </c>
      <c r="E17" s="203" t="str">
        <f t="shared" si="0"/>
        <v/>
      </c>
      <c r="F17" s="306"/>
      <c r="G17" s="192"/>
      <c r="H17" s="334"/>
      <c r="I17" s="335"/>
      <c r="J17" s="348"/>
      <c r="K17" s="67"/>
      <c r="L17" s="329"/>
      <c r="M17" s="4"/>
      <c r="N17" s="292"/>
      <c r="O17" s="224"/>
      <c r="P17" s="225"/>
      <c r="R17" s="201">
        <f>MID(Q16,1,1)*1</f>
        <v>0</v>
      </c>
      <c r="T17" s="1968"/>
      <c r="U17" s="1969"/>
      <c r="V17" s="1969"/>
      <c r="W17" s="1970"/>
      <c r="X17" s="294"/>
    </row>
    <row r="18" spans="1:24" s="147" customFormat="1" ht="24.95" customHeight="1">
      <c r="A18" s="200"/>
      <c r="B18" s="1961"/>
      <c r="C18" s="1962"/>
      <c r="D18" s="330" t="str">
        <f t="shared" si="1"/>
        <v/>
      </c>
      <c r="E18" s="203" t="str">
        <f t="shared" si="0"/>
        <v/>
      </c>
      <c r="F18" s="218"/>
      <c r="G18" s="218"/>
      <c r="H18" s="336"/>
      <c r="I18" s="337"/>
      <c r="J18" s="349"/>
      <c r="K18" s="246"/>
      <c r="L18" s="329"/>
      <c r="M18" s="231"/>
      <c r="N18" s="292"/>
      <c r="O18" s="328" t="s">
        <v>217</v>
      </c>
      <c r="P18" s="221" t="s">
        <v>102</v>
      </c>
      <c r="Q18" s="1985" t="s">
        <v>430</v>
      </c>
      <c r="R18" s="1986"/>
      <c r="T18" s="1968"/>
      <c r="U18" s="1969"/>
      <c r="V18" s="1969"/>
      <c r="W18" s="1970"/>
      <c r="X18" s="294"/>
    </row>
    <row r="19" spans="1:24" s="147" customFormat="1" ht="24.95" customHeight="1">
      <c r="A19" s="201"/>
      <c r="B19" s="1961"/>
      <c r="C19" s="1962"/>
      <c r="D19" s="330" t="str">
        <f t="shared" si="1"/>
        <v/>
      </c>
      <c r="E19" s="203" t="str">
        <f t="shared" si="0"/>
        <v/>
      </c>
      <c r="F19" s="307"/>
      <c r="G19" s="307"/>
      <c r="H19" s="338"/>
      <c r="I19" s="339"/>
      <c r="J19" s="347"/>
      <c r="L19" s="329"/>
      <c r="M19" s="232"/>
      <c r="N19" s="292"/>
      <c r="O19" s="197"/>
      <c r="T19" s="1971"/>
      <c r="U19" s="1972"/>
      <c r="V19" s="1972"/>
      <c r="W19" s="1973"/>
      <c r="X19" s="294"/>
    </row>
    <row r="20" spans="1:24" s="34" customFormat="1" ht="24.95" customHeight="1">
      <c r="A20" s="150"/>
      <c r="B20" s="1961"/>
      <c r="C20" s="1962"/>
      <c r="D20" s="330" t="str">
        <f t="shared" si="1"/>
        <v/>
      </c>
      <c r="E20" s="203" t="str">
        <f t="shared" si="0"/>
        <v/>
      </c>
      <c r="F20" s="203"/>
      <c r="G20" s="203"/>
      <c r="H20" s="340"/>
      <c r="I20" s="341"/>
      <c r="J20" s="350"/>
      <c r="K20" s="227"/>
      <c r="L20" s="329"/>
      <c r="M20" s="234"/>
      <c r="N20" s="295"/>
      <c r="O20" s="296"/>
      <c r="P20" s="297"/>
      <c r="Q20" s="298"/>
      <c r="R20" s="298"/>
      <c r="S20" s="298"/>
      <c r="T20" s="298"/>
      <c r="U20" s="298"/>
      <c r="V20" s="298"/>
      <c r="W20" s="298"/>
      <c r="X20" s="299"/>
    </row>
    <row r="21" spans="1:24" ht="24.95" customHeight="1">
      <c r="A21" s="150"/>
      <c r="B21" s="1961"/>
      <c r="C21" s="1962"/>
      <c r="D21" s="330" t="str">
        <f t="shared" si="1"/>
        <v/>
      </c>
      <c r="E21" s="203" t="str">
        <f t="shared" si="0"/>
        <v/>
      </c>
      <c r="F21" s="203"/>
      <c r="G21" s="203"/>
      <c r="H21" s="340"/>
      <c r="I21" s="341"/>
      <c r="J21" s="350"/>
      <c r="K21" s="227"/>
      <c r="L21" s="329"/>
      <c r="M21" s="234"/>
      <c r="O21" s="287" t="s">
        <v>300</v>
      </c>
    </row>
    <row r="22" spans="1:24" ht="24.95" customHeight="1">
      <c r="A22" s="150"/>
      <c r="B22" s="1961"/>
      <c r="C22" s="1962"/>
      <c r="D22" s="330" t="str">
        <f t="shared" si="1"/>
        <v/>
      </c>
      <c r="E22" s="203" t="str">
        <f t="shared" si="0"/>
        <v/>
      </c>
      <c r="F22" s="203"/>
      <c r="G22" s="203"/>
      <c r="H22" s="340"/>
      <c r="I22" s="341"/>
      <c r="J22" s="350"/>
      <c r="K22" s="227"/>
      <c r="L22" s="329"/>
      <c r="M22" s="234"/>
      <c r="N22" s="369"/>
      <c r="O22" s="2005" t="s">
        <v>1644</v>
      </c>
      <c r="P22" s="2005"/>
      <c r="Q22" s="2005"/>
      <c r="R22" s="2005"/>
      <c r="S22" s="2005"/>
      <c r="T22" s="2005"/>
      <c r="U22" s="2005"/>
      <c r="V22" s="2005"/>
      <c r="W22" s="2005"/>
      <c r="X22" s="2006"/>
    </row>
    <row r="23" spans="1:24" ht="24.95" customHeight="1">
      <c r="A23" s="150"/>
      <c r="B23" s="1961"/>
      <c r="C23" s="1962"/>
      <c r="D23" s="330" t="str">
        <f t="shared" si="1"/>
        <v/>
      </c>
      <c r="E23" s="203" t="str">
        <f t="shared" si="0"/>
        <v/>
      </c>
      <c r="F23" s="203"/>
      <c r="G23" s="203"/>
      <c r="H23" s="340"/>
      <c r="I23" s="341"/>
      <c r="J23" s="350"/>
      <c r="K23" s="227"/>
      <c r="L23" s="329"/>
      <c r="M23" s="234"/>
      <c r="N23" s="370"/>
      <c r="O23" s="2007"/>
      <c r="P23" s="2007"/>
      <c r="Q23" s="2007"/>
      <c r="R23" s="2007"/>
      <c r="S23" s="2007"/>
      <c r="T23" s="2007"/>
      <c r="U23" s="2007"/>
      <c r="V23" s="2007"/>
      <c r="W23" s="2007"/>
      <c r="X23" s="2008"/>
    </row>
    <row r="24" spans="1:24" ht="24.95" customHeight="1">
      <c r="A24" s="150"/>
      <c r="B24" s="1961"/>
      <c r="C24" s="1962"/>
      <c r="D24" s="330" t="str">
        <f t="shared" si="1"/>
        <v/>
      </c>
      <c r="E24" s="203" t="str">
        <f t="shared" si="0"/>
        <v/>
      </c>
      <c r="F24" s="203"/>
      <c r="G24" s="203"/>
      <c r="H24" s="340"/>
      <c r="I24" s="341"/>
      <c r="J24" s="350"/>
      <c r="K24" s="227"/>
      <c r="L24" s="329"/>
      <c r="M24" s="234"/>
      <c r="N24" s="370"/>
      <c r="O24" s="2007"/>
      <c r="P24" s="2007"/>
      <c r="Q24" s="2007"/>
      <c r="R24" s="2007"/>
      <c r="S24" s="2007"/>
      <c r="T24" s="2007"/>
      <c r="U24" s="2007"/>
      <c r="V24" s="2007"/>
      <c r="W24" s="2007"/>
      <c r="X24" s="2008"/>
    </row>
    <row r="25" spans="1:24" ht="24.95" customHeight="1">
      <c r="A25" s="150"/>
      <c r="B25" s="1963"/>
      <c r="C25" s="1964"/>
      <c r="D25" s="331" t="str">
        <f t="shared" si="1"/>
        <v/>
      </c>
      <c r="E25" s="308" t="str">
        <f t="shared" si="0"/>
        <v/>
      </c>
      <c r="F25" s="308"/>
      <c r="G25" s="308"/>
      <c r="H25" s="342"/>
      <c r="I25" s="343"/>
      <c r="J25" s="351"/>
      <c r="K25" s="227"/>
      <c r="L25" s="329"/>
      <c r="M25" s="234"/>
      <c r="N25" s="371"/>
      <c r="O25" s="2009"/>
      <c r="P25" s="2009"/>
      <c r="Q25" s="2009"/>
      <c r="R25" s="2009"/>
      <c r="S25" s="2009"/>
      <c r="T25" s="2009"/>
      <c r="U25" s="2009"/>
      <c r="V25" s="2009"/>
      <c r="W25" s="2009"/>
      <c r="X25" s="2010"/>
    </row>
    <row r="26" spans="1:24" ht="24" customHeight="1">
      <c r="A26" s="150"/>
      <c r="B26" s="204"/>
      <c r="C26" s="204"/>
      <c r="D26" s="204"/>
      <c r="E26" s="129"/>
      <c r="F26" s="129"/>
      <c r="G26" s="129"/>
      <c r="H26" s="233"/>
      <c r="I26" s="233"/>
      <c r="J26" s="227"/>
      <c r="K26" s="227"/>
      <c r="L26" s="147"/>
      <c r="M26" s="234"/>
    </row>
    <row r="27" spans="1:24" ht="24" customHeight="1">
      <c r="A27" s="150"/>
      <c r="B27" s="235"/>
      <c r="C27" s="235"/>
      <c r="D27" s="235"/>
      <c r="E27" s="187"/>
      <c r="F27" s="187"/>
      <c r="G27" s="187"/>
      <c r="H27" s="236"/>
      <c r="I27" s="236"/>
      <c r="J27" s="227"/>
      <c r="K27" s="237"/>
      <c r="L27" s="234"/>
      <c r="M27" s="234"/>
    </row>
    <row r="28" spans="1:24" ht="24" customHeight="1">
      <c r="A28" s="150"/>
      <c r="B28" s="235"/>
      <c r="C28" s="235"/>
      <c r="D28" s="235"/>
      <c r="E28" s="187"/>
      <c r="F28" s="187"/>
      <c r="G28" s="187"/>
      <c r="H28" s="236"/>
      <c r="I28" s="236"/>
      <c r="J28" s="227"/>
      <c r="K28" s="237"/>
      <c r="L28" s="234"/>
      <c r="M28" s="234"/>
    </row>
    <row r="29" spans="1:24" ht="24" customHeight="1">
      <c r="A29" s="150"/>
      <c r="B29" s="235"/>
      <c r="C29" s="235"/>
      <c r="D29" s="235"/>
      <c r="E29" s="187"/>
      <c r="F29" s="187"/>
      <c r="G29" s="187"/>
      <c r="H29" s="236"/>
      <c r="I29" s="236"/>
      <c r="J29" s="227"/>
      <c r="K29" s="237"/>
      <c r="L29" s="234"/>
      <c r="M29" s="234"/>
    </row>
    <row r="30" spans="1:24" ht="24" customHeight="1">
      <c r="B30" s="190"/>
      <c r="C30" s="190"/>
      <c r="D30" s="190"/>
      <c r="E30" s="180"/>
      <c r="F30" s="180"/>
      <c r="G30" s="189"/>
      <c r="I30" s="194"/>
      <c r="J30" s="191"/>
      <c r="K30" s="179"/>
      <c r="L30" s="238"/>
      <c r="M30" s="238"/>
    </row>
    <row r="31" spans="1:24" ht="24" customHeight="1">
      <c r="B31" s="176"/>
      <c r="C31" s="176"/>
      <c r="D31" s="176"/>
      <c r="E31" s="177"/>
      <c r="F31" s="177"/>
      <c r="G31" s="178"/>
      <c r="H31" s="247" t="str">
        <f>IF(Q16="","",MID(Q16,3,100))</f>
        <v>2.ផល​ ពិសិទ្ធ</v>
      </c>
      <c r="I31" s="194"/>
      <c r="J31" s="191"/>
      <c r="K31" s="179"/>
      <c r="L31" s="238"/>
      <c r="M31" s="238"/>
    </row>
    <row r="32" spans="1:24" ht="24" customHeight="1">
      <c r="E32" s="176"/>
      <c r="F32" s="156"/>
      <c r="G32"/>
      <c r="H32" s="129"/>
      <c r="I32" s="129"/>
      <c r="J32" s="191"/>
      <c r="K32" s="179"/>
      <c r="L32" s="238"/>
      <c r="M32" s="238"/>
    </row>
    <row r="33" spans="1:23" ht="24" customHeight="1">
      <c r="B33" s="176"/>
      <c r="C33" s="176"/>
      <c r="D33" s="176"/>
      <c r="E33" s="156"/>
      <c r="F33" s="156"/>
      <c r="G33"/>
      <c r="H33" s="129"/>
      <c r="I33" s="129"/>
      <c r="J33" s="191"/>
      <c r="K33" s="179"/>
      <c r="L33" s="238"/>
      <c r="M33" s="238"/>
    </row>
    <row r="34" spans="1:23" ht="24" customHeight="1">
      <c r="E34" s="158"/>
      <c r="F34" s="158"/>
      <c r="G34"/>
      <c r="H34" s="72"/>
      <c r="I34" s="72"/>
      <c r="J34"/>
      <c r="K34"/>
    </row>
    <row r="35" spans="1:23" s="133" customFormat="1" ht="24" customHeight="1">
      <c r="A35" s="81"/>
      <c r="B35"/>
      <c r="C35"/>
      <c r="D35"/>
      <c r="E35" s="158"/>
      <c r="F35" s="158"/>
      <c r="G35" s="5"/>
      <c r="H35" s="2"/>
      <c r="I35" s="2"/>
      <c r="J35"/>
      <c r="K35"/>
      <c r="L35"/>
      <c r="M35"/>
      <c r="N35" s="47"/>
      <c r="O35" s="139"/>
      <c r="P35" s="13"/>
      <c r="Q35"/>
      <c r="R35"/>
      <c r="S35"/>
      <c r="T35"/>
      <c r="U35"/>
      <c r="V35"/>
      <c r="W35"/>
    </row>
    <row r="36" spans="1:23" s="133" customFormat="1" ht="24" customHeight="1">
      <c r="A36" s="81"/>
      <c r="B36"/>
      <c r="C36"/>
      <c r="D36"/>
      <c r="E36" s="158"/>
      <c r="F36" s="158"/>
      <c r="G36" s="2002"/>
      <c r="H36" s="2"/>
      <c r="I36" s="2"/>
      <c r="J36"/>
      <c r="K36"/>
      <c r="L36"/>
      <c r="M36"/>
      <c r="N36" s="47"/>
      <c r="O36" s="139"/>
      <c r="P36" s="13"/>
      <c r="Q36"/>
      <c r="R36"/>
      <c r="S36"/>
      <c r="T36"/>
      <c r="U36"/>
      <c r="V36"/>
      <c r="W36"/>
    </row>
    <row r="37" spans="1:23" s="133" customFormat="1" ht="24" customHeight="1">
      <c r="A37" s="81"/>
      <c r="B37"/>
      <c r="C37"/>
      <c r="D37"/>
      <c r="E37" s="158"/>
      <c r="F37" s="158"/>
      <c r="G37" s="2002"/>
      <c r="H37" s="2"/>
      <c r="I37" s="2"/>
      <c r="J37"/>
      <c r="K37"/>
      <c r="L37"/>
      <c r="M37"/>
      <c r="N37" s="47"/>
      <c r="O37" s="139"/>
      <c r="P37" s="13"/>
      <c r="Q37"/>
      <c r="R37"/>
      <c r="S37"/>
      <c r="T37"/>
      <c r="U37"/>
      <c r="V37"/>
      <c r="W37"/>
    </row>
    <row r="38" spans="1:23" s="133" customFormat="1" ht="24" customHeight="1">
      <c r="A38" s="81"/>
      <c r="B38" s="157"/>
      <c r="C38" s="157"/>
      <c r="D38" s="157"/>
      <c r="E38" s="151"/>
      <c r="F38" s="151"/>
      <c r="G38" s="5"/>
      <c r="H38" s="2"/>
      <c r="I38" s="2"/>
      <c r="J38"/>
      <c r="K38"/>
      <c r="L38"/>
      <c r="M38"/>
      <c r="N38" s="47"/>
      <c r="O38" s="139"/>
      <c r="P38" s="13"/>
      <c r="Q38"/>
      <c r="R38"/>
      <c r="S38"/>
      <c r="T38"/>
      <c r="U38"/>
      <c r="V38"/>
      <c r="W38"/>
    </row>
    <row r="39" spans="1:23" s="133" customFormat="1" ht="24" customHeight="1">
      <c r="A39" s="81"/>
      <c r="B39" s="64"/>
      <c r="C39" s="64"/>
      <c r="D39" s="64"/>
      <c r="E39" s="64"/>
      <c r="F39" s="64"/>
      <c r="G39" s="64"/>
      <c r="H39" s="64"/>
      <c r="I39" s="64"/>
      <c r="J39"/>
      <c r="K39"/>
      <c r="L39"/>
      <c r="M39"/>
      <c r="N39" s="47"/>
      <c r="O39" s="139"/>
      <c r="P39" s="13"/>
      <c r="Q39"/>
      <c r="R39"/>
      <c r="S39"/>
      <c r="T39"/>
      <c r="U39"/>
      <c r="V39"/>
      <c r="W39"/>
    </row>
    <row r="40" spans="1:23" s="133" customFormat="1" ht="24" customHeight="1">
      <c r="A40" s="81"/>
      <c r="B40"/>
      <c r="C40"/>
      <c r="D40"/>
      <c r="E40" s="5"/>
      <c r="F40" s="5"/>
      <c r="G40" s="5"/>
      <c r="H40" s="2"/>
      <c r="I40" s="2"/>
      <c r="J40"/>
      <c r="K40"/>
      <c r="L40"/>
      <c r="M40"/>
      <c r="N40" s="47"/>
      <c r="O40" s="139"/>
      <c r="P40" s="13"/>
      <c r="Q40"/>
      <c r="R40"/>
      <c r="S40"/>
      <c r="T40"/>
      <c r="U40"/>
      <c r="V40"/>
      <c r="W40"/>
    </row>
    <row r="41" spans="1:23" s="133" customFormat="1" ht="24" customHeight="1">
      <c r="A41" s="81"/>
      <c r="B41"/>
      <c r="C41"/>
      <c r="D41"/>
      <c r="E41" s="5"/>
      <c r="F41" s="5"/>
      <c r="G41" s="5"/>
      <c r="H41" s="2"/>
      <c r="I41" s="2"/>
      <c r="J41" s="6"/>
      <c r="K41" s="6"/>
      <c r="L41" s="64"/>
      <c r="M41" s="64"/>
      <c r="N41" s="47"/>
      <c r="O41" s="139"/>
      <c r="P41" s="13"/>
      <c r="Q41"/>
      <c r="R41"/>
      <c r="S41"/>
      <c r="T41"/>
      <c r="U41"/>
      <c r="V41"/>
      <c r="W41"/>
    </row>
    <row r="42" spans="1:23" s="133" customFormat="1" ht="24" customHeight="1">
      <c r="A42" s="81"/>
      <c r="B42" s="5"/>
      <c r="C42" s="5"/>
      <c r="D42" s="5"/>
      <c r="E42" s="5"/>
      <c r="F42" s="5"/>
      <c r="G42" s="8"/>
      <c r="H42" s="8"/>
      <c r="I42" s="8"/>
      <c r="J42" s="6"/>
      <c r="K42" s="6"/>
      <c r="L42" s="5"/>
      <c r="M42" s="5"/>
      <c r="N42" s="47"/>
      <c r="O42" s="139"/>
      <c r="P42" s="13"/>
      <c r="Q42"/>
      <c r="R42"/>
      <c r="S42"/>
      <c r="T42"/>
      <c r="U42"/>
      <c r="V42"/>
      <c r="W42"/>
    </row>
    <row r="43" spans="1:23" s="133" customFormat="1" ht="24" customHeight="1">
      <c r="A43" s="81"/>
      <c r="B43" s="5"/>
      <c r="C43" s="5"/>
      <c r="D43" s="5"/>
      <c r="E43" s="5"/>
      <c r="F43" s="5"/>
      <c r="G43" s="5"/>
      <c r="H43" s="8"/>
      <c r="I43" s="8"/>
      <c r="J43" s="6"/>
      <c r="K43" s="6"/>
      <c r="L43" s="5"/>
      <c r="M43" s="5"/>
      <c r="N43" s="47"/>
      <c r="O43" s="139"/>
      <c r="P43" s="13"/>
      <c r="Q43"/>
      <c r="R43"/>
      <c r="S43"/>
      <c r="T43"/>
      <c r="U43"/>
      <c r="V43"/>
      <c r="W43"/>
    </row>
    <row r="44" spans="1:23" s="133" customFormat="1" ht="24" customHeight="1">
      <c r="A44" s="81"/>
      <c r="B44" s="5"/>
      <c r="C44" s="5"/>
      <c r="D44" s="5"/>
      <c r="E44" s="5"/>
      <c r="F44" s="5"/>
      <c r="G44" s="5"/>
      <c r="H44" s="8"/>
      <c r="I44" s="8"/>
      <c r="J44" s="6"/>
      <c r="K44" s="6"/>
      <c r="L44" s="5"/>
      <c r="M44" s="5"/>
      <c r="N44" s="47"/>
      <c r="O44" s="139"/>
      <c r="P44" s="13"/>
      <c r="Q44"/>
      <c r="R44"/>
      <c r="S44"/>
      <c r="T44"/>
      <c r="U44"/>
      <c r="V44"/>
      <c r="W44"/>
    </row>
    <row r="45" spans="1:23" ht="24" customHeight="1">
      <c r="B45" s="5"/>
      <c r="C45" s="5"/>
      <c r="D45" s="5"/>
      <c r="H45" s="8"/>
      <c r="I45" s="8"/>
      <c r="J45" s="6"/>
      <c r="K45" s="6"/>
      <c r="L45" s="5"/>
      <c r="M45" s="5"/>
    </row>
    <row r="46" spans="1:23" ht="24" customHeight="1">
      <c r="B46" s="5"/>
      <c r="C46" s="5"/>
      <c r="D46" s="5"/>
      <c r="H46" s="8"/>
      <c r="I46" s="8"/>
      <c r="J46" s="6"/>
      <c r="K46" s="6"/>
      <c r="L46" s="5"/>
      <c r="M46" s="5"/>
    </row>
    <row r="47" spans="1:23" ht="24" customHeight="1">
      <c r="B47" s="5"/>
      <c r="C47" s="5"/>
      <c r="D47" s="5"/>
      <c r="H47" s="8"/>
      <c r="I47" s="8"/>
      <c r="J47" s="6"/>
      <c r="K47" s="6"/>
      <c r="L47" s="5"/>
      <c r="M47" s="5"/>
    </row>
    <row r="48" spans="1:23" ht="24" customHeight="1">
      <c r="B48" s="5"/>
      <c r="C48" s="5"/>
      <c r="D48" s="5"/>
      <c r="H48" s="8"/>
      <c r="I48" s="8"/>
      <c r="J48" s="6"/>
      <c r="K48" s="6"/>
      <c r="L48" s="5"/>
      <c r="M48" s="5"/>
    </row>
    <row r="49" spans="2:13" ht="24" customHeight="1">
      <c r="B49" s="5"/>
      <c r="C49" s="5"/>
      <c r="D49" s="5"/>
      <c r="H49" s="8"/>
      <c r="I49" s="8"/>
      <c r="J49" s="6"/>
      <c r="K49" s="6"/>
      <c r="L49" s="5"/>
      <c r="M49" s="5"/>
    </row>
    <row r="50" spans="2:13" ht="24" customHeight="1">
      <c r="B50" s="5"/>
      <c r="C50" s="5"/>
      <c r="D50" s="5"/>
      <c r="H50" s="8"/>
      <c r="I50" s="8"/>
      <c r="J50" s="6"/>
      <c r="K50" s="6"/>
      <c r="L50" s="5"/>
      <c r="M50" s="5"/>
    </row>
    <row r="51" spans="2:13" ht="24" customHeight="1">
      <c r="B51" s="5"/>
      <c r="C51" s="5"/>
      <c r="D51" s="5"/>
      <c r="H51" s="8"/>
      <c r="I51" s="8"/>
      <c r="J51" s="6"/>
      <c r="K51" s="6"/>
      <c r="L51" s="5"/>
      <c r="M51" s="5"/>
    </row>
    <row r="52" spans="2:13" ht="24" customHeight="1">
      <c r="B52" s="5"/>
      <c r="C52" s="5"/>
      <c r="D52" s="5"/>
      <c r="H52" s="8"/>
      <c r="I52" s="8"/>
      <c r="J52" s="6"/>
      <c r="K52" s="6"/>
      <c r="L52" s="5"/>
      <c r="M52" s="5"/>
    </row>
    <row r="53" spans="2:13" ht="24" customHeight="1">
      <c r="B53" s="5"/>
      <c r="C53" s="5"/>
      <c r="D53" s="5"/>
      <c r="H53" s="8"/>
      <c r="I53" s="8"/>
      <c r="J53" s="6"/>
      <c r="K53" s="6"/>
      <c r="L53" s="5"/>
      <c r="M53" s="5"/>
    </row>
    <row r="54" spans="2:13" ht="24" customHeight="1">
      <c r="B54" s="5"/>
      <c r="C54" s="5"/>
      <c r="D54" s="5"/>
      <c r="H54" s="8"/>
      <c r="I54" s="8"/>
      <c r="J54" s="6"/>
      <c r="K54" s="6"/>
      <c r="L54" s="5"/>
      <c r="M54" s="5"/>
    </row>
    <row r="55" spans="2:13" ht="24" customHeight="1">
      <c r="B55" s="5"/>
      <c r="C55" s="5"/>
      <c r="D55" s="5"/>
      <c r="H55" s="8"/>
      <c r="I55" s="8"/>
      <c r="J55" s="6"/>
      <c r="K55" s="6"/>
      <c r="L55" s="5"/>
      <c r="M55" s="5"/>
    </row>
    <row r="56" spans="2:13" ht="24" customHeight="1">
      <c r="B56" s="5"/>
      <c r="C56" s="5"/>
      <c r="D56" s="5"/>
      <c r="H56" s="8"/>
      <c r="I56" s="8"/>
      <c r="J56" s="6"/>
      <c r="K56" s="6"/>
      <c r="L56" s="5"/>
      <c r="M56" s="5"/>
    </row>
    <row r="57" spans="2:13" ht="24" customHeight="1">
      <c r="B57" s="5"/>
      <c r="C57" s="5"/>
      <c r="D57" s="5"/>
      <c r="H57" s="8"/>
      <c r="I57" s="8"/>
      <c r="J57" s="6"/>
      <c r="K57" s="6"/>
      <c r="L57" s="5"/>
      <c r="M57" s="5"/>
    </row>
    <row r="58" spans="2:13" ht="24" customHeight="1">
      <c r="B58" s="5"/>
      <c r="C58" s="5"/>
      <c r="D58" s="5"/>
      <c r="H58" s="8"/>
      <c r="I58" s="8"/>
      <c r="J58" s="6"/>
      <c r="K58" s="6"/>
      <c r="L58" s="5"/>
      <c r="M58" s="5"/>
    </row>
    <row r="59" spans="2:13" ht="24" customHeight="1">
      <c r="B59" s="5"/>
      <c r="C59" s="5"/>
      <c r="D59" s="5"/>
      <c r="H59" s="8"/>
      <c r="I59" s="8"/>
      <c r="J59" s="6"/>
      <c r="K59" s="6"/>
      <c r="L59" s="5"/>
      <c r="M59" s="5"/>
    </row>
  </sheetData>
  <mergeCells count="24">
    <mergeCell ref="V10:W10"/>
    <mergeCell ref="D12:G12"/>
    <mergeCell ref="D13:G13"/>
    <mergeCell ref="G36:G37"/>
    <mergeCell ref="T11:T12"/>
    <mergeCell ref="T13:T14"/>
    <mergeCell ref="L13:L14"/>
    <mergeCell ref="O22:X25"/>
    <mergeCell ref="B14:C25"/>
    <mergeCell ref="T16:W19"/>
    <mergeCell ref="H14:I14"/>
    <mergeCell ref="B1:J1"/>
    <mergeCell ref="O11:O12"/>
    <mergeCell ref="O1:X2"/>
    <mergeCell ref="B12:C12"/>
    <mergeCell ref="B13:C13"/>
    <mergeCell ref="Q18:R18"/>
    <mergeCell ref="Q16:R16"/>
    <mergeCell ref="J4:J6"/>
    <mergeCell ref="H13:I13"/>
    <mergeCell ref="H12:I12"/>
    <mergeCell ref="P11:P12"/>
    <mergeCell ref="Q11:R12"/>
    <mergeCell ref="Q13:R14"/>
  </mergeCells>
  <dataValidations xWindow="183" yWindow="591" count="13">
    <dataValidation type="list" allowBlank="1" showInputMessage="1" showErrorMessage="1" sqref="Q18:R18" xr:uid="{206AAE31-115F-4C4E-BDF8-91C72BBC4CAA}">
      <formula1>module_type_option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Q3" xr:uid="{29256E5B-13EA-4E20-B417-6250FE82AB6C}">
      <formula1>1</formula1>
    </dataValidation>
    <dataValidation type="list" allowBlank="1" showInputMessage="1" showErrorMessage="1" sqref="Q16" xr:uid="{84E0592C-B04B-4424-BC28-F3FDBF66D074}">
      <formula1>saller_option</formula1>
    </dataValidation>
    <dataValidation type="whole" operator="greaterThanOrEqual" allowBlank="1" showInputMessage="1" showErrorMessage="1" sqref="Q7" xr:uid="{89EB3933-8836-4CC0-A21E-0C37D3B4C7C1}">
      <formula1>1</formula1>
    </dataValidation>
    <dataValidation type="list" allowBlank="1" showInputMessage="1" showErrorMessage="1" sqref="V4" xr:uid="{215434F7-1416-4157-86F5-F8058F896E8F}">
      <formula1>IF(R4="","",eow_1)</formula1>
    </dataValidation>
    <dataValidation type="list" allowBlank="1" showInputMessage="1" showErrorMessage="1" sqref="Q4" xr:uid="{12F1C70F-8737-4741-8B63-B3010DFC34B2}">
      <formula1>group_address_option</formula1>
    </dataValidation>
    <dataValidation type="whole" operator="greaterThanOrEqual" allowBlank="1" showInputMessage="1" showErrorMessage="1" error="បញ្ចូលបានតែលេខ, សូមព្យាយាមម្តងទៀត។" sqref="H20:I29" xr:uid="{349285AE-DE04-4519-9850-1BACDCA21452}">
      <formula1>0</formula1>
    </dataValidation>
    <dataValidation allowBlank="1" showInputMessage="1" showErrorMessage="1" prompt="Optional field: Purchase Order number from cumstomer, Sales Order issued by Company or other ref of trading." sqref="D12 B12" xr:uid="{CB486FE1-C7FF-4AFF-BE00-50C7D74DF955}"/>
    <dataValidation allowBlank="1" sqref="A20:A29" xr:uid="{574F4D22-4346-4CA9-A91D-927D267092E6}"/>
    <dataValidation type="list" allowBlank="1" showInputMessage="1" showErrorMessage="1" sqref="Q8" xr:uid="{EDE08879-04D4-4F30-9EDE-909E78EB163E}">
      <formula1>option_vendor</formula1>
    </dataValidation>
    <dataValidation type="list" allowBlank="1" showInputMessage="1" showErrorMessage="1" sqref="L15:M15 L16:L25" xr:uid="{E25E1804-0898-4996-8B3F-0EFE22663F7C}">
      <formula1>product_name_option</formula1>
    </dataValidation>
    <dataValidation type="list" allowBlank="1" showInputMessage="1" showErrorMessage="1" sqref="Q9" xr:uid="{43B5810F-B2CE-44AD-AF32-EC3074670489}">
      <formula1>member_option</formula1>
    </dataValidation>
    <dataValidation type="decimal" operator="greaterThanOrEqual" allowBlank="1" showInputMessage="1" showErrorMessage="1" error="បញ្ចូលបានលេខប៉ុណ្ណោះ​,​ សូមបញ្ចូលម្តងទៀត" sqref="Q11:R14" xr:uid="{1A09D252-CC68-42B0-A278-D1462C53EC89}">
      <formula1>0</formula1>
    </dataValidation>
  </dataValidations>
  <pageMargins left="3.937007874015748E-2" right="3.937007874015748E-2" top="3.937007874015748E-2" bottom="3.937007874015748E-2" header="0" footer="0"/>
  <pageSetup paperSize="11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3652" r:id="rId4" name="Button 4">
              <controlPr defaultSize="0" print="0" autoFill="0" autoPict="0" macro="[0]!CurrentDateOtherExpense">
                <anchor moveWithCells="1" sizeWithCells="1">
                  <from>
                    <xdr:col>22</xdr:col>
                    <xdr:colOff>47625</xdr:colOff>
                    <xdr:row>4</xdr:row>
                    <xdr:rowOff>342900</xdr:rowOff>
                  </from>
                  <to>
                    <xdr:col>23</xdr:col>
                    <xdr:colOff>142875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3" r:id="rId5" name="Button 5">
              <controlPr defaultSize="0" print="0" autoFill="0" autoPict="0" macro="[0]!ExchangeRateReceivePayment">
                <anchor moveWithCells="1" sizeWithCells="1">
                  <from>
                    <xdr:col>21</xdr:col>
                    <xdr:colOff>9525</xdr:colOff>
                    <xdr:row>11</xdr:row>
                    <xdr:rowOff>333375</xdr:rowOff>
                  </from>
                  <to>
                    <xdr:col>22</xdr:col>
                    <xdr:colOff>657225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4" r:id="rId6" name="Button 6">
              <controlPr defaultSize="0" print="0" autoFill="0" autoPict="0" macro="[0]!SaveOtherExpense">
                <anchor moveWithCells="1" sizeWithCells="1">
                  <from>
                    <xdr:col>21</xdr:col>
                    <xdr:colOff>1276350</xdr:colOff>
                    <xdr:row>0</xdr:row>
                    <xdr:rowOff>114300</xdr:rowOff>
                  </from>
                  <to>
                    <xdr:col>22</xdr:col>
                    <xdr:colOff>476250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1" r:id="rId7" name="Button 13">
              <controlPr defaultSize="0" print="0" autoFill="0" autoPict="0" macro="[0]!checkExistExpenseAmount">
                <anchor moveWithCells="1" sizeWithCells="1">
                  <from>
                    <xdr:col>14</xdr:col>
                    <xdr:colOff>19050</xdr:colOff>
                    <xdr:row>12</xdr:row>
                    <xdr:rowOff>85725</xdr:rowOff>
                  </from>
                  <to>
                    <xdr:col>15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4" r:id="rId8" name="Button 16">
              <controlPr defaultSize="0" print="0" autoFill="0" autoPict="0" macro="[0]!goToExpenseData">
                <anchor moveWithCells="1" sizeWithCells="1">
                  <from>
                    <xdr:col>14</xdr:col>
                    <xdr:colOff>9525</xdr:colOff>
                    <xdr:row>25</xdr:row>
                    <xdr:rowOff>142875</xdr:rowOff>
                  </from>
                  <to>
                    <xdr:col>16</xdr:col>
                    <xdr:colOff>285750</xdr:colOff>
                    <xdr:row>26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S22" sqref="S22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69.75" customHeight="1">
      <c r="B1" s="1927" t="s">
        <v>197</v>
      </c>
      <c r="C1" s="1927"/>
      <c r="D1" s="1927"/>
      <c r="E1" s="1927"/>
      <c r="F1" s="1927"/>
      <c r="G1" s="1927"/>
      <c r="H1" s="1927"/>
      <c r="I1" s="1927"/>
      <c r="J1" s="1927"/>
      <c r="K1" s="1927"/>
      <c r="M1" s="475"/>
      <c r="N1" s="1940" t="s">
        <v>192</v>
      </c>
      <c r="O1" s="1940"/>
      <c r="P1" s="1940"/>
      <c r="Q1" s="1940"/>
      <c r="R1" s="1940"/>
      <c r="S1" s="1940"/>
      <c r="T1" s="1940"/>
      <c r="U1" s="1940"/>
      <c r="V1" s="1940"/>
      <c r="W1" s="1941"/>
    </row>
    <row r="2" spans="1:28" ht="11.25" customHeight="1">
      <c r="B2" s="283"/>
      <c r="C2" s="283"/>
      <c r="D2" s="283"/>
      <c r="E2" s="283"/>
      <c r="F2" s="283"/>
      <c r="G2" s="283"/>
      <c r="H2" s="283"/>
      <c r="I2" s="283"/>
      <c r="J2" s="283"/>
      <c r="K2" s="283"/>
      <c r="M2" s="483"/>
      <c r="N2" s="508"/>
      <c r="O2" s="508"/>
      <c r="P2" s="508"/>
      <c r="Q2" s="508"/>
      <c r="R2" s="508"/>
      <c r="S2" s="508"/>
      <c r="T2" s="508"/>
      <c r="U2" s="508"/>
      <c r="V2" s="508"/>
      <c r="W2" s="509"/>
    </row>
    <row r="3" spans="1:28" ht="24" customHeight="1">
      <c r="B3" s="475"/>
      <c r="C3" s="476"/>
      <c r="D3" s="477"/>
      <c r="E3" s="478"/>
      <c r="F3" s="479"/>
      <c r="G3" s="480"/>
      <c r="H3" s="481"/>
      <c r="I3" s="481"/>
      <c r="J3" s="452"/>
      <c r="K3" s="482"/>
      <c r="M3" s="483"/>
      <c r="N3" s="510"/>
      <c r="O3" s="510"/>
      <c r="P3" s="510"/>
      <c r="Q3" s="510"/>
      <c r="R3" s="510"/>
      <c r="S3" s="510"/>
      <c r="T3" s="510"/>
      <c r="U3" s="510"/>
      <c r="V3" s="510"/>
      <c r="W3" s="511"/>
      <c r="Y3" s="302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3"/>
      <c r="C4" s="3"/>
      <c r="E4" s="3"/>
      <c r="F4" s="52"/>
      <c r="G4" s="149"/>
      <c r="H4" s="162"/>
      <c r="I4" s="162"/>
      <c r="K4" s="484"/>
      <c r="L4" s="210"/>
      <c r="M4" s="512"/>
      <c r="N4" s="287" t="s">
        <v>184</v>
      </c>
      <c r="O4" s="225"/>
      <c r="P4" s="470">
        <v>14</v>
      </c>
      <c r="S4" s="287" t="s">
        <v>224</v>
      </c>
      <c r="T4" s="221"/>
      <c r="U4" s="548" t="str">
        <f>IF(oic_status=-1,"Edit",IF(oic_status=1,"Issue",IF(oic_status=2,"Fullfilied",IF(oic_status=3,"Partial",1))))</f>
        <v>Issue</v>
      </c>
      <c r="V4" s="549">
        <v>1</v>
      </c>
      <c r="W4" s="442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3"/>
      <c r="K5" s="484"/>
      <c r="L5" s="210"/>
      <c r="M5" s="512"/>
      <c r="N5" s="287" t="s">
        <v>283</v>
      </c>
      <c r="O5" s="225"/>
      <c r="P5" s="407" t="s">
        <v>225</v>
      </c>
      <c r="Q5" s="269">
        <f>MID(P5,1,2)*1</f>
        <v>1</v>
      </c>
      <c r="S5" s="287" t="s">
        <v>281</v>
      </c>
      <c r="T5" s="221"/>
      <c r="U5" s="2013" t="s">
        <v>1625</v>
      </c>
      <c r="V5" s="2013"/>
      <c r="W5" s="442"/>
      <c r="Y5" s="317" t="str">
        <f>IF(oic_option_income_type&lt;&gt;"","លេខទូរស័ព្ទ ៖ "&amp;VLOOKUP(MID(oic_option_income_type,1,2)*1,branch_list,11,FALSE),"")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3"/>
      <c r="K6" s="484"/>
      <c r="L6" s="213"/>
      <c r="M6" s="513"/>
      <c r="O6" s="225"/>
      <c r="Q6" s="81"/>
      <c r="S6" s="514" t="s">
        <v>107</v>
      </c>
      <c r="T6" s="515"/>
      <c r="U6" s="374" t="e">
        <f>VLOOKUP(oic_invoice_no,sale_invoice_data_list,2,FALSE)</f>
        <v>#NAME?</v>
      </c>
      <c r="V6" s="81"/>
      <c r="W6" s="442"/>
      <c r="Y6" s="129" t="str">
        <f>IF(oic_option_income_type&lt;&gt;"",VLOOKUP(MID(oic_option_income_type,1,2)*1,branch_list,6,FALSE),"")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3"/>
      <c r="C7" s="447"/>
      <c r="D7" s="448"/>
      <c r="E7" s="449"/>
      <c r="F7" s="449"/>
      <c r="G7" s="450"/>
      <c r="H7" s="451"/>
      <c r="I7" s="451"/>
      <c r="J7" s="452"/>
      <c r="K7" s="484"/>
      <c r="L7" s="213"/>
      <c r="M7" s="513"/>
      <c r="N7" s="1926" t="s">
        <v>279</v>
      </c>
      <c r="O7" s="1933"/>
      <c r="Q7" s="209" t="str">
        <f>IFERROR(IF(AND(P16&lt;&gt;"",P16&gt;0),"("&amp;P16&amp;")",""),"")</f>
        <v>(990)</v>
      </c>
      <c r="S7" s="1932" t="s">
        <v>282</v>
      </c>
      <c r="T7" s="1959"/>
      <c r="U7" s="1953">
        <v>46113</v>
      </c>
      <c r="V7" s="517"/>
      <c r="W7" s="442"/>
      <c r="Y7" s="129"/>
      <c r="Z7" s="129"/>
      <c r="AA7" s="129"/>
      <c r="AB7" s="129"/>
    </row>
    <row r="8" spans="1:28" s="3" customFormat="1" ht="37.5" customHeight="1">
      <c r="A8" s="207"/>
      <c r="B8" s="485"/>
      <c r="C8" s="224" t="s">
        <v>82</v>
      </c>
      <c r="D8" s="221"/>
      <c r="E8" s="453">
        <f>IF(U7="","",U7)</f>
        <v>46113</v>
      </c>
      <c r="F8" s="486"/>
      <c r="G8" s="487"/>
      <c r="H8" s="263" t="s">
        <v>184</v>
      </c>
      <c r="I8" s="224"/>
      <c r="J8" s="454" t="str">
        <f>"OIC"&amp;RIGHT(YEAR(oic_current_date),2)&amp;TEXT(P4,"0000")</f>
        <v>OIC260014</v>
      </c>
      <c r="K8" s="488"/>
      <c r="L8" s="207"/>
      <c r="M8" s="485"/>
      <c r="N8" s="1926"/>
      <c r="O8" s="1933"/>
      <c r="P8" s="2012" t="s">
        <v>1643</v>
      </c>
      <c r="Q8" s="2012"/>
      <c r="S8" s="1932"/>
      <c r="T8" s="1959"/>
      <c r="U8" s="1954"/>
      <c r="W8" s="518"/>
      <c r="Y8" s="129">
        <f>IF(oic_option_income_type&lt;&gt;"",VLOOKUP(MID(oic_option_income_type,1,2)*1,branch_list,7,FALSE),"")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89"/>
      <c r="C9" s="490"/>
      <c r="D9" s="221"/>
      <c r="E9" s="300"/>
      <c r="F9" s="301"/>
      <c r="G9" s="287"/>
      <c r="H9" s="491"/>
      <c r="I9" s="492"/>
      <c r="J9" s="493"/>
      <c r="K9" s="488"/>
      <c r="L9" s="170"/>
      <c r="M9" s="489"/>
      <c r="N9" s="592" t="s">
        <v>104</v>
      </c>
      <c r="O9" s="593"/>
      <c r="P9" s="594" t="e">
        <f>VLOOKUP(oic_customer_id,customer_list,2,FALSE)</f>
        <v>#N/A</v>
      </c>
      <c r="Q9" s="595" t="str">
        <f>MID(P8,1,4)</f>
        <v>0129</v>
      </c>
      <c r="R9" s="519"/>
      <c r="S9" s="201" t="s">
        <v>85</v>
      </c>
      <c r="T9" s="201"/>
      <c r="U9" s="201">
        <f>IFERROR(IF(oic_current_date="","",IF(AND(DAY(oic_current_date)&gt;0,DAY(oic_current_date)&lt;8),1,IF(AND(DAY(oic_current_date)&gt;7,DAY(oic_current_date)&lt;15),2,IF(AND(DAY(oic_current_date)&gt;14,DAY(oic_current_date)&lt;22),3,IF(AND(DAY(oic_current_date)&gt;21,DAY(oic_current_date)&lt;32),4,""))))),"")</f>
        <v>1</v>
      </c>
      <c r="V9" s="201"/>
      <c r="W9" s="443"/>
      <c r="Y9" s="135"/>
      <c r="Z9" s="402"/>
      <c r="AA9" s="135"/>
      <c r="AB9" s="135"/>
    </row>
    <row r="10" spans="1:28" s="147" customFormat="1" ht="27.95" customHeight="1">
      <c r="A10" s="208"/>
      <c r="B10" s="494"/>
      <c r="C10" s="224" t="s">
        <v>187</v>
      </c>
      <c r="D10" s="221"/>
      <c r="E10" s="495" t="str">
        <f>IFERROR(IF(AND(VLOOKUP(oic_customer_id,customer_list,2,FALSE)&lt;&gt;"",VLOOKUP(oic_customer_id,customer_list,4,FALSE)&lt;&gt;""),VLOOKUP(oic_customer_id,customer_list,2,FALSE)&amp; "_" &amp; VLOOKUP(oic_customer_id,customer_list,4,FALSE),""),"")</f>
        <v/>
      </c>
      <c r="F10" s="495"/>
      <c r="G10" s="495"/>
      <c r="H10" s="263" t="s">
        <v>256</v>
      </c>
      <c r="I10" s="224"/>
      <c r="J10" s="455">
        <f>oic_amount_kh_paid+oic_amount_en_paid*oic_exchange_rate</f>
        <v>0</v>
      </c>
      <c r="K10" s="488"/>
      <c r="L10" s="173"/>
      <c r="M10" s="520"/>
      <c r="N10" s="596"/>
      <c r="O10" s="596"/>
      <c r="P10" s="597" t="str">
        <f>MID(P8,6,100)</f>
        <v>សំអុន (Samon)</v>
      </c>
      <c r="Q10" s="598"/>
      <c r="R10" s="521"/>
      <c r="W10" s="444"/>
      <c r="Y10" s="182"/>
      <c r="Z10" s="403"/>
      <c r="AA10" s="182"/>
      <c r="AB10" s="182"/>
    </row>
    <row r="11" spans="1:28" s="147" customFormat="1" ht="25.5" customHeight="1">
      <c r="A11" s="208"/>
      <c r="B11" s="494"/>
      <c r="C11" s="224"/>
      <c r="D11" s="221"/>
      <c r="E11" s="401" t="str">
        <f>IFERROR(IF(VLOOKUP(oic_customer_id,customer_list,6,FALSE)="","",VLOOKUP(oic_customer_id,customer_list,6,FALSE))&amp;IF(VLOOKUP(oic_customer_id,customer_list,8,FALSE)="","",", "&amp;VLOOKUP(oic_customer_id,customer_list,8,FALSE))&amp;IF(VLOOKUP(oic_customer_id,customer_list,7,FALSE)="","",", (Telegram : "&amp;VLOOKUP(oic_customer_id,customer_list,7,FALSE)&amp;")"),"")</f>
        <v/>
      </c>
      <c r="F11" s="302"/>
      <c r="G11" s="456"/>
      <c r="H11" s="457"/>
      <c r="I11" s="457"/>
      <c r="J11" s="458"/>
      <c r="K11" s="488"/>
      <c r="L11" s="173"/>
      <c r="M11" s="520"/>
      <c r="N11" s="1932" t="s">
        <v>285</v>
      </c>
      <c r="O11" s="1933"/>
      <c r="P11" s="1928"/>
      <c r="Q11" s="1929"/>
      <c r="S11" s="1932" t="s">
        <v>193</v>
      </c>
      <c r="U11" s="1949" t="s">
        <v>196</v>
      </c>
      <c r="V11" s="1950"/>
      <c r="W11" s="444"/>
      <c r="Y11" s="182"/>
      <c r="Z11" s="182"/>
      <c r="AA11" s="182"/>
      <c r="AB11" s="182"/>
    </row>
    <row r="12" spans="1:28" s="147" customFormat="1" ht="27.75" customHeight="1">
      <c r="A12" s="208"/>
      <c r="B12" s="494"/>
      <c r="C12" s="224" t="s">
        <v>188</v>
      </c>
      <c r="D12" s="221"/>
      <c r="E12" s="459" t="str" cm="1">
        <f t="array" ref="E12">IF(J10&gt;0,SpellKhNumber(J10),"")</f>
        <v/>
      </c>
      <c r="F12" s="460"/>
      <c r="G12" s="461"/>
      <c r="H12" s="462"/>
      <c r="I12" s="462"/>
      <c r="J12" s="463"/>
      <c r="K12" s="488"/>
      <c r="L12" s="173"/>
      <c r="M12" s="520"/>
      <c r="N12" s="1932"/>
      <c r="O12" s="1933"/>
      <c r="P12" s="1930"/>
      <c r="Q12" s="1931"/>
      <c r="S12" s="1932"/>
      <c r="U12" s="544" t="s">
        <v>195</v>
      </c>
      <c r="V12" s="545">
        <v>4001</v>
      </c>
      <c r="W12" s="444"/>
      <c r="Y12" s="182"/>
      <c r="Z12" s="182"/>
      <c r="AA12" s="182"/>
      <c r="AB12" s="182"/>
    </row>
    <row r="13" spans="1:28" s="147" customFormat="1" ht="34.5" customHeight="1">
      <c r="A13" s="208"/>
      <c r="B13" s="494"/>
      <c r="C13" s="224" t="s">
        <v>191</v>
      </c>
      <c r="D13" s="221"/>
      <c r="E13" s="410" t="str">
        <f>IF(P16="","",MID(TEXT(P16,"000000"),1,40))</f>
        <v>000990</v>
      </c>
      <c r="F13" s="466"/>
      <c r="G13" s="464"/>
      <c r="H13" s="465" t="s">
        <v>258</v>
      </c>
      <c r="I13" s="465"/>
      <c r="J13" s="429" t="s">
        <v>185</v>
      </c>
      <c r="K13" s="488"/>
      <c r="L13" s="173"/>
      <c r="M13" s="520"/>
      <c r="N13" s="197"/>
      <c r="O13" s="225"/>
      <c r="P13" s="1955"/>
      <c r="Q13" s="1956"/>
      <c r="S13" s="1932" t="s">
        <v>194</v>
      </c>
      <c r="T13" s="223"/>
      <c r="U13" s="546"/>
      <c r="V13" s="547"/>
      <c r="W13" s="444"/>
      <c r="Y13" s="182"/>
      <c r="Z13" s="182"/>
      <c r="AA13" s="182"/>
      <c r="AB13" s="182"/>
    </row>
    <row r="14" spans="1:28" s="147" customFormat="1" ht="25.5">
      <c r="A14" s="208"/>
      <c r="B14" s="494"/>
      <c r="C14" s="287" t="s">
        <v>189</v>
      </c>
      <c r="D14" s="303"/>
      <c r="E14" s="302" t="str">
        <f>IF(oic_invoice_no="","",MID(P18,4,20))</f>
        <v>.នឹម ស្រីមុំ</v>
      </c>
      <c r="F14" s="302"/>
      <c r="H14" s="496"/>
      <c r="I14" s="227"/>
      <c r="J14" s="430" t="s">
        <v>186</v>
      </c>
      <c r="K14" s="488"/>
      <c r="L14" s="173"/>
      <c r="M14" s="520"/>
      <c r="N14" s="197"/>
      <c r="O14" s="225"/>
      <c r="P14" s="1957"/>
      <c r="Q14" s="1958"/>
      <c r="S14" s="1932"/>
      <c r="W14" s="444"/>
      <c r="Y14" s="182"/>
      <c r="Z14" s="182"/>
      <c r="AA14" s="182"/>
      <c r="AB14" s="182"/>
    </row>
    <row r="15" spans="1:28" s="147" customFormat="1" ht="30" customHeight="1">
      <c r="A15" s="208"/>
      <c r="B15" s="494"/>
      <c r="D15" s="497"/>
      <c r="E15" s="498" t="str">
        <f>IF(OR(P18="",oic_invoice_no="",ISNA(VLOOKUP(Q18,saller_list,5,FALSE))),"","លេខទូរស័ព្ទ ៖ "&amp;VLOOKUP(Q18,saller_list,5,FALSE))</f>
        <v/>
      </c>
      <c r="F15" s="499"/>
      <c r="H15" s="469"/>
      <c r="I15" s="270"/>
      <c r="J15" s="409" t="s">
        <v>190</v>
      </c>
      <c r="K15" s="488"/>
      <c r="L15" s="173"/>
      <c r="M15" s="520"/>
      <c r="N15" s="514" t="s">
        <v>266</v>
      </c>
      <c r="O15" s="522"/>
      <c r="P15" s="523" t="e">
        <f>IF(oic_invoice_no&lt;&gt;"",SUMIF(#REF!,oic_invoice_no*1,#REF!),"")</f>
        <v>#REF!</v>
      </c>
      <c r="Q15" s="524"/>
      <c r="S15" s="542" t="s">
        <v>217</v>
      </c>
      <c r="T15" s="543"/>
      <c r="U15" s="1948" t="s">
        <v>431</v>
      </c>
      <c r="V15" s="1948"/>
      <c r="W15" s="444"/>
      <c r="Y15" s="182"/>
      <c r="Z15" s="182"/>
      <c r="AA15" s="182"/>
      <c r="AB15" s="182"/>
    </row>
    <row r="16" spans="1:28" s="147" customFormat="1" ht="30" customHeight="1">
      <c r="A16" s="208"/>
      <c r="B16" s="494"/>
      <c r="C16" s="224"/>
      <c r="D16" s="497"/>
      <c r="E16" s="467" t="str">
        <f>IF(OR(P18="",oic_invoice_no="",ISNA(VLOOKUP(Q18,saller_list,6,FALSE))),"","តេលេក្រាម ៖ "&amp;VLOOKUP(Q18,saller_list,6,FALSE))</f>
        <v/>
      </c>
      <c r="F16" s="468"/>
      <c r="G16" s="500"/>
      <c r="H16" s="263" t="s">
        <v>257</v>
      </c>
      <c r="I16" s="221"/>
      <c r="J16" s="501">
        <f>oic_total_amount_paid</f>
        <v>0</v>
      </c>
      <c r="K16" s="488"/>
      <c r="L16" s="173"/>
      <c r="M16" s="520"/>
      <c r="N16" s="525" t="s">
        <v>1640</v>
      </c>
      <c r="O16" s="225"/>
      <c r="P16" s="2014">
        <v>990</v>
      </c>
      <c r="Q16" s="2015"/>
      <c r="W16" s="444"/>
      <c r="Y16" s="182"/>
      <c r="Z16" s="182"/>
      <c r="AA16" s="182"/>
      <c r="AB16" s="182"/>
    </row>
    <row r="17" spans="1:28" s="147" customFormat="1" ht="24.75" customHeight="1">
      <c r="A17" s="208"/>
      <c r="B17" s="494"/>
      <c r="C17" s="1926" t="s">
        <v>83</v>
      </c>
      <c r="D17" s="1925"/>
      <c r="E17" s="1937" t="str">
        <f>IF(S18="","",S18)</f>
        <v>បុង 990</v>
      </c>
      <c r="F17" s="1937"/>
      <c r="G17" s="1937"/>
      <c r="H17" s="263" t="s">
        <v>46</v>
      </c>
      <c r="I17" s="221"/>
      <c r="J17" s="501">
        <v>0</v>
      </c>
      <c r="K17" s="488"/>
      <c r="L17" s="173"/>
      <c r="M17" s="520"/>
      <c r="N17" s="224"/>
      <c r="O17" s="225"/>
      <c r="P17" s="526" t="s">
        <v>213</v>
      </c>
      <c r="S17" s="471" t="s">
        <v>84</v>
      </c>
      <c r="T17" s="472"/>
      <c r="U17" s="473"/>
      <c r="V17" s="474"/>
      <c r="W17" s="527"/>
      <c r="Y17" s="182"/>
      <c r="Z17" s="182"/>
      <c r="AA17" s="182"/>
      <c r="AB17" s="182"/>
    </row>
    <row r="18" spans="1:28" s="147" customFormat="1" ht="27" customHeight="1">
      <c r="A18" s="208"/>
      <c r="B18" s="494"/>
      <c r="C18" s="1926"/>
      <c r="D18" s="1925"/>
      <c r="E18" s="1937"/>
      <c r="F18" s="1937"/>
      <c r="G18" s="1937"/>
      <c r="H18" s="263" t="s">
        <v>92</v>
      </c>
      <c r="I18" s="221"/>
      <c r="J18" s="502">
        <f>oic_total_amount_paid</f>
        <v>0</v>
      </c>
      <c r="K18" s="488"/>
      <c r="L18" s="173"/>
      <c r="M18" s="520"/>
      <c r="N18" s="287" t="s">
        <v>286</v>
      </c>
      <c r="O18" s="225"/>
      <c r="P18" s="1960" t="s">
        <v>1901</v>
      </c>
      <c r="Q18" s="1960"/>
      <c r="S18" s="1942" t="str">
        <f>"បុង " &amp;oic_invoice_no</f>
        <v>បុង 990</v>
      </c>
      <c r="T18" s="1943"/>
      <c r="U18" s="1943"/>
      <c r="V18" s="1944"/>
      <c r="W18" s="527"/>
      <c r="Y18" s="182"/>
      <c r="Z18" s="182"/>
      <c r="AA18" s="182"/>
      <c r="AB18" s="182"/>
    </row>
    <row r="19" spans="1:28" s="147" customFormat="1" ht="27" customHeight="1">
      <c r="A19" s="208"/>
      <c r="B19" s="494"/>
      <c r="C19" s="204"/>
      <c r="D19" s="204"/>
      <c r="E19" s="1937"/>
      <c r="F19" s="1937"/>
      <c r="G19" s="1937"/>
      <c r="H19" s="263" t="s">
        <v>183</v>
      </c>
      <c r="I19" s="221"/>
      <c r="J19" s="501">
        <f>oic_amount_due-J17-J18</f>
        <v>0</v>
      </c>
      <c r="K19" s="488"/>
      <c r="L19" s="173"/>
      <c r="M19" s="520"/>
      <c r="N19" s="197"/>
      <c r="S19" s="1945"/>
      <c r="T19" s="1946"/>
      <c r="U19" s="1946"/>
      <c r="V19" s="1947"/>
      <c r="W19" s="527"/>
      <c r="Y19" s="182"/>
      <c r="Z19" s="182"/>
      <c r="AA19" s="182"/>
      <c r="AB19" s="182"/>
    </row>
    <row r="20" spans="1:28" s="34" customFormat="1" ht="7.5" customHeight="1">
      <c r="A20" s="208"/>
      <c r="B20" s="503"/>
      <c r="C20" s="269"/>
      <c r="D20" s="269"/>
      <c r="E20" s="504"/>
      <c r="F20" s="504"/>
      <c r="G20" s="505"/>
      <c r="H20" s="506"/>
      <c r="I20" s="506"/>
      <c r="J20" s="506"/>
      <c r="K20" s="507"/>
      <c r="L20" s="174"/>
      <c r="M20" s="528"/>
      <c r="N20" s="529"/>
      <c r="O20" s="530"/>
      <c r="P20" s="506"/>
      <c r="Q20" s="506"/>
      <c r="R20" s="506"/>
      <c r="S20" s="506"/>
      <c r="T20" s="506"/>
      <c r="U20" s="506"/>
      <c r="V20" s="506"/>
      <c r="W20" s="531"/>
      <c r="Y20" s="404"/>
      <c r="Z20" s="404"/>
      <c r="AA20" s="404"/>
      <c r="AB20" s="404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36"/>
      <c r="N22" s="537" t="s">
        <v>223</v>
      </c>
      <c r="O22" s="538"/>
      <c r="P22" s="539"/>
      <c r="Q22" s="540"/>
      <c r="S22" s="224" t="str">
        <f>IFERROR(IF(oic_invoice_no&lt;&gt;"",VLOOKUP(N(oic_invoice_no),sale_invoice_data_list,8,FALSE),""),"")</f>
        <v/>
      </c>
      <c r="T22" s="129"/>
      <c r="U22" s="2011"/>
      <c r="V22" s="2011"/>
    </row>
    <row r="23" spans="1:28" ht="33.75" customHeight="1">
      <c r="M23" s="536"/>
      <c r="N23" s="537" t="s">
        <v>92</v>
      </c>
      <c r="O23" s="538"/>
      <c r="P23" s="539"/>
      <c r="Q23" s="541"/>
      <c r="S23" s="203" t="str">
        <f>IFERROR(IF(VLOOKUP(S22,customer_list,4,FALSE)&lt;&gt;"",VLOOKUP(S22,customer_list,4,FALSE),""),"")</f>
        <v/>
      </c>
      <c r="T23" s="129"/>
      <c r="U23" s="129"/>
      <c r="V23" s="129"/>
    </row>
    <row r="24" spans="1:28" ht="30.75" customHeight="1">
      <c r="M24" s="536"/>
      <c r="N24" s="537" t="s">
        <v>222</v>
      </c>
      <c r="O24" s="538"/>
      <c r="P24" s="539"/>
      <c r="Q24" s="541"/>
      <c r="S24" s="203" t="e">
        <f>VLOOKUP(S22,customer_list,2,FALSE)</f>
        <v>#N/A</v>
      </c>
      <c r="T24" s="129"/>
      <c r="U24" s="129"/>
      <c r="V24" s="129"/>
    </row>
    <row r="25" spans="1:28" ht="37.5" customHeight="1">
      <c r="M25" s="534"/>
      <c r="N25" s="535" t="s">
        <v>255</v>
      </c>
      <c r="O25" s="532"/>
      <c r="P25" s="533"/>
      <c r="Q25" s="446"/>
      <c r="S25" s="129"/>
      <c r="T25" s="129"/>
      <c r="U25" s="129"/>
      <c r="V25" s="129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U22:V22"/>
    <mergeCell ref="P8:Q8"/>
    <mergeCell ref="U5:V5"/>
    <mergeCell ref="U15:V15"/>
    <mergeCell ref="P16:Q16"/>
    <mergeCell ref="P13:Q14"/>
    <mergeCell ref="S13:S14"/>
    <mergeCell ref="C17:C18"/>
    <mergeCell ref="D17:D18"/>
    <mergeCell ref="E17:G19"/>
    <mergeCell ref="P18:Q18"/>
    <mergeCell ref="S18:V19"/>
    <mergeCell ref="N11:N12"/>
    <mergeCell ref="O11:O12"/>
    <mergeCell ref="P11:Q12"/>
    <mergeCell ref="S11:S12"/>
    <mergeCell ref="U11:V11"/>
    <mergeCell ref="B1:K1"/>
    <mergeCell ref="N1:W1"/>
    <mergeCell ref="N7:N8"/>
    <mergeCell ref="O7:O8"/>
    <mergeCell ref="S7:S8"/>
    <mergeCell ref="T7:T8"/>
    <mergeCell ref="U7:U8"/>
  </mergeCells>
  <dataValidations count="9">
    <dataValidation type="list" allowBlank="1" showInputMessage="1" showErrorMessage="1" sqref="U15:V15" xr:uid="{7BD7B22E-6717-4961-86EF-5E17FCF4309E}">
      <formula1>module_type_option</formula1>
    </dataValidation>
    <dataValidation type="whole" operator="greaterThanOrEqual" allowBlank="1" showInputMessage="1" showErrorMessage="1" sqref="K21" xr:uid="{EDE32850-EE1C-4DE4-B7F7-E9580901F077}">
      <formula1>0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A4E9A0F9-BAAA-4D88-A9E2-A0B416C239AB}">
      <formula1>1</formula1>
    </dataValidation>
    <dataValidation type="list" allowBlank="1" showInputMessage="1" showErrorMessage="1" sqref="P18" xr:uid="{C99F2D24-6CC3-4903-91C4-37A3E2C0600F}">
      <formula1>saller_option</formula1>
    </dataValidation>
    <dataValidation type="whole" operator="greaterThanOrEqual" allowBlank="1" showInputMessage="1" showErrorMessage="1" sqref="P16" xr:uid="{EBFCAC8E-74E2-4823-9B13-C6FA049DDBF7}">
      <formula1>1</formula1>
    </dataValidation>
    <dataValidation type="list" allowBlank="1" showInputMessage="1" showErrorMessage="1" sqref="U5" xr:uid="{32AF9110-3811-44AF-B690-5B5888BD3FCF}">
      <formula1>IF(Q5="","",iow_1)</formula1>
    </dataValidation>
    <dataValidation type="list" allowBlank="1" showInputMessage="1" showErrorMessage="1" sqref="P5" xr:uid="{8DAE9FD7-0C2B-472F-A4A8-10567B2059BE}">
      <formula1>branch_option</formula1>
    </dataValidation>
    <dataValidation type="whole" operator="greaterThanOrEqual" allowBlank="1" showInputMessage="1" showErrorMessage="1" error="បញ្ចូលបានលេ,សូមបញ្ចូលម្តងទៀត។" sqref="J10" xr:uid="{8C3C7682-6E46-4677-902F-1C263BA59958}">
      <formula1>0</formula1>
    </dataValidation>
    <dataValidation type="list" allowBlank="1" showInputMessage="1" showErrorMessage="1" sqref="P8" xr:uid="{E22E33F3-BA1E-46A6-9B0C-A9BC4D305D68}">
      <formula1>customer_name_option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884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0" r:id="rId5" name="Check Box 2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1" r:id="rId6" name="Check Box 3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2" r:id="rId7" name="Button 4">
              <controlPr defaultSize="0" print="0" autoFill="0" autoPict="0" macro="[0]!currentDateOic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3" r:id="rId8" name="Button 5">
              <controlPr defaultSize="0" print="0" autoFill="0" autoPict="0" macro="[0]!ExchangeRateOic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4" r:id="rId9" name="Button 6">
              <controlPr defaultSize="0" print="0" autoFill="0" autoPict="0" macro="[0]!SaveDataOtherIncome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5" r:id="rId10" name="Button 7">
              <controlPr defaultSize="0" print="0" autoFill="0" autoPict="0" macro="[0]!copyOtherIncome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6" r:id="rId11" name="Button 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7" r:id="rId12" name="Button 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A6" sqref="A6:XFD10"/>
    </sheetView>
  </sheetViews>
  <sheetFormatPr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248" customWidth="1"/>
    <col min="5" max="5" width="63.85546875" style="256" customWidth="1"/>
    <col min="6" max="6" width="27.5703125" style="569" customWidth="1"/>
    <col min="7" max="7" width="12.85546875" style="126" customWidth="1"/>
    <col min="8" max="8" width="24.5703125" style="256" bestFit="1" customWidth="1"/>
    <col min="9" max="16384" width="9.140625" style="128"/>
  </cols>
  <sheetData>
    <row r="1" spans="3:8" ht="13.5" customHeight="1">
      <c r="E1" s="127"/>
      <c r="F1" s="381"/>
      <c r="H1" s="128"/>
    </row>
    <row r="2" spans="3:8" ht="39.75" customHeight="1">
      <c r="C2" s="1001" t="s">
        <v>1630</v>
      </c>
      <c r="D2" s="817"/>
      <c r="E2" s="817"/>
      <c r="F2" s="817"/>
      <c r="G2" s="817"/>
      <c r="H2" s="128"/>
    </row>
    <row r="3" spans="3:8" ht="14.25" hidden="1" customHeight="1">
      <c r="E3" s="127"/>
      <c r="F3" s="381"/>
      <c r="H3" s="128"/>
    </row>
    <row r="4" spans="3:8" ht="29.25" customHeight="1">
      <c r="C4" s="902" t="s">
        <v>47</v>
      </c>
      <c r="D4" s="902" t="s">
        <v>176</v>
      </c>
      <c r="E4" s="902" t="s">
        <v>1632</v>
      </c>
      <c r="F4" s="902" t="s">
        <v>121</v>
      </c>
      <c r="G4" s="902" t="s">
        <v>224</v>
      </c>
      <c r="H4" s="128"/>
    </row>
    <row r="5" spans="3:8" ht="17.25" customHeight="1">
      <c r="C5" s="889" t="s">
        <v>9</v>
      </c>
      <c r="D5" s="889" t="s">
        <v>115</v>
      </c>
      <c r="E5" s="889" t="s">
        <v>1633</v>
      </c>
      <c r="F5" s="889" t="s">
        <v>311</v>
      </c>
      <c r="G5" s="889" t="s">
        <v>182</v>
      </c>
      <c r="H5" s="128"/>
    </row>
    <row r="6" spans="3:8" ht="24.95" customHeight="1">
      <c r="C6" s="1007"/>
      <c r="D6" s="355"/>
      <c r="E6" s="361"/>
      <c r="F6" s="568"/>
      <c r="G6" s="356"/>
    </row>
    <row r="7" spans="3:8" ht="24.95" customHeight="1">
      <c r="C7" s="356"/>
      <c r="D7" s="355"/>
      <c r="E7" s="361"/>
      <c r="F7" s="568"/>
      <c r="G7" s="356"/>
    </row>
    <row r="8" spans="3:8" ht="24.95" customHeight="1">
      <c r="C8" s="356"/>
      <c r="D8" s="355"/>
      <c r="E8" s="361"/>
      <c r="F8" s="568"/>
      <c r="G8" s="356"/>
    </row>
    <row r="9" spans="3:8" ht="24.95" customHeight="1">
      <c r="C9" s="356"/>
      <c r="D9" s="355"/>
      <c r="E9" s="361"/>
      <c r="F9" s="568"/>
      <c r="G9" s="356"/>
    </row>
    <row r="10" spans="3:8" ht="24.95" customHeight="1">
      <c r="C10" s="356"/>
      <c r="D10" s="355"/>
      <c r="E10" s="361"/>
      <c r="F10" s="568"/>
      <c r="G10" s="356"/>
    </row>
    <row r="11" spans="3:8" ht="24.95" customHeight="1">
      <c r="C11" s="356"/>
      <c r="D11" s="355"/>
      <c r="E11" s="361"/>
      <c r="F11" s="568"/>
      <c r="G11" s="356"/>
    </row>
    <row r="12" spans="3:8" ht="24.95" customHeight="1">
      <c r="C12" s="356"/>
      <c r="D12" s="355"/>
      <c r="E12" s="361"/>
      <c r="F12" s="568"/>
      <c r="G12" s="356"/>
    </row>
    <row r="13" spans="3:8" ht="24.95" customHeight="1">
      <c r="C13" s="356"/>
      <c r="D13" s="355"/>
      <c r="E13" s="361"/>
      <c r="F13" s="568"/>
      <c r="G13" s="356"/>
    </row>
    <row r="14" spans="3:8" ht="24.95" customHeight="1">
      <c r="C14" s="356"/>
      <c r="D14" s="355"/>
      <c r="E14" s="361"/>
      <c r="F14" s="568"/>
      <c r="G14" s="356"/>
    </row>
    <row r="15" spans="3:8" ht="24.95" customHeight="1">
      <c r="C15" s="356"/>
      <c r="D15" s="355"/>
      <c r="E15" s="361"/>
      <c r="F15" s="568"/>
      <c r="G15" s="356"/>
    </row>
    <row r="16" spans="3:8">
      <c r="C16" s="356"/>
      <c r="D16" s="355"/>
      <c r="E16" s="361"/>
      <c r="F16" s="568"/>
      <c r="G16" s="356"/>
    </row>
    <row r="17" spans="3:7" ht="24.95" customHeight="1">
      <c r="C17" s="356"/>
      <c r="D17" s="355"/>
      <c r="E17" s="361"/>
      <c r="F17" s="568"/>
      <c r="G17" s="356"/>
    </row>
    <row r="18" spans="3:7" ht="24.95" customHeight="1">
      <c r="C18" s="356"/>
      <c r="D18" s="355"/>
      <c r="E18" s="361"/>
      <c r="F18" s="568"/>
      <c r="G18" s="356"/>
    </row>
    <row r="19" spans="3:7" ht="24.95" customHeight="1">
      <c r="C19" s="356"/>
      <c r="D19" s="355"/>
      <c r="E19" s="361"/>
      <c r="F19" s="568"/>
      <c r="G19" s="567"/>
    </row>
    <row r="20" spans="3:7" ht="24.95" customHeight="1"/>
    <row r="28" spans="3:7" ht="24.95" customHeight="1"/>
  </sheetData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F19" sqref="F19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16" t="s">
        <v>958</v>
      </c>
      <c r="D4" s="2016"/>
      <c r="E4" s="2016"/>
    </row>
    <row r="5" spans="3:6" ht="9.75" customHeight="1"/>
    <row r="6" spans="3:6">
      <c r="C6" s="1006" t="s">
        <v>47</v>
      </c>
      <c r="D6" s="1006" t="s">
        <v>1658</v>
      </c>
      <c r="E6" s="1006" t="s">
        <v>83</v>
      </c>
    </row>
    <row r="7" spans="3:6">
      <c r="C7" s="974" t="s">
        <v>10</v>
      </c>
      <c r="D7" s="974" t="s">
        <v>419</v>
      </c>
      <c r="E7" s="974" t="s">
        <v>86</v>
      </c>
    </row>
    <row r="8" spans="3:6">
      <c r="C8" s="13">
        <v>1</v>
      </c>
      <c r="D8" s="129" t="s">
        <v>2225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7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L14" sqref="L14"/>
    </sheetView>
  </sheetViews>
  <sheetFormatPr defaultColWidth="8.7109375" defaultRowHeight="24.95" customHeight="1"/>
  <cols>
    <col min="1" max="1" width="0.85546875" style="1121" customWidth="1"/>
    <col min="2" max="2" width="2.5703125" style="1121" customWidth="1"/>
    <col min="3" max="3" width="7.85546875" style="204" customWidth="1"/>
    <col min="4" max="4" width="18.140625" style="204" customWidth="1"/>
    <col min="5" max="5" width="22.28515625" style="1121" customWidth="1"/>
    <col min="6" max="6" width="18.85546875" style="1121" customWidth="1"/>
    <col min="7" max="7" width="27" style="1121" customWidth="1"/>
    <col min="8" max="8" width="40.42578125" style="1121" customWidth="1"/>
    <col min="9" max="9" width="20.5703125" style="1387" customWidth="1"/>
    <col min="10" max="10" width="27.42578125" style="328" customWidth="1"/>
    <col min="11" max="11" width="38.42578125" style="1388" bestFit="1" customWidth="1"/>
    <col min="12" max="13" width="24.7109375" style="1388" customWidth="1"/>
    <col min="14" max="14" width="21.85546875" style="621" bestFit="1" customWidth="1"/>
    <col min="15" max="15" width="18.28515625" style="1108" customWidth="1"/>
    <col min="16" max="16" width="14.5703125" style="1389" bestFit="1" customWidth="1"/>
    <col min="17" max="17" width="35.5703125" style="1390" bestFit="1" customWidth="1"/>
    <col min="18" max="18" width="19.7109375" style="1121" customWidth="1"/>
    <col min="19" max="16384" width="8.7109375" style="1121"/>
  </cols>
  <sheetData>
    <row r="1" spans="3:18" s="145" customFormat="1" ht="30" customHeight="1">
      <c r="C1" s="126"/>
      <c r="D1" s="126"/>
      <c r="I1" s="620"/>
      <c r="J1" s="242"/>
      <c r="K1" s="619"/>
      <c r="L1" s="619"/>
      <c r="M1" s="619"/>
      <c r="N1" s="621"/>
      <c r="O1" s="1108"/>
      <c r="P1" s="377"/>
      <c r="Q1" s="614"/>
    </row>
    <row r="2" spans="3:18" s="145" customFormat="1" ht="45.75" customHeight="1">
      <c r="C2" s="978" t="s">
        <v>2808</v>
      </c>
      <c r="D2" s="979"/>
      <c r="E2" s="879"/>
      <c r="F2" s="879"/>
      <c r="G2" s="879"/>
      <c r="H2" s="879"/>
      <c r="I2" s="982"/>
      <c r="J2" s="980"/>
      <c r="K2" s="980"/>
      <c r="L2" s="980"/>
      <c r="M2" s="980"/>
      <c r="N2" s="981"/>
      <c r="O2" s="1109"/>
      <c r="P2" s="980"/>
      <c r="Q2" s="614"/>
    </row>
    <row r="3" spans="3:18" s="145" customFormat="1" ht="29.25" customHeight="1">
      <c r="C3" s="891" t="s">
        <v>47</v>
      </c>
      <c r="D3" s="976" t="s">
        <v>120</v>
      </c>
      <c r="E3" s="976" t="s">
        <v>211</v>
      </c>
      <c r="F3" s="976" t="s">
        <v>958</v>
      </c>
      <c r="G3" s="976" t="s">
        <v>90</v>
      </c>
      <c r="H3" s="976" t="s">
        <v>309</v>
      </c>
      <c r="I3" s="977" t="s">
        <v>121</v>
      </c>
      <c r="J3" s="977" t="s">
        <v>122</v>
      </c>
      <c r="K3" s="977" t="s">
        <v>123</v>
      </c>
      <c r="L3" s="977" t="s">
        <v>766</v>
      </c>
      <c r="M3" s="977" t="s">
        <v>84</v>
      </c>
      <c r="N3" s="977" t="s">
        <v>1653</v>
      </c>
      <c r="O3" s="1110" t="s">
        <v>219</v>
      </c>
      <c r="P3" s="977" t="s">
        <v>224</v>
      </c>
      <c r="Q3" s="615"/>
    </row>
    <row r="4" spans="3:18" s="154" customFormat="1" ht="20.25" customHeight="1">
      <c r="C4" s="974" t="s">
        <v>1654</v>
      </c>
      <c r="D4" s="974" t="s">
        <v>1655</v>
      </c>
      <c r="E4" s="974" t="s">
        <v>1666</v>
      </c>
      <c r="F4" s="974" t="s">
        <v>419</v>
      </c>
      <c r="G4" s="974" t="s">
        <v>181</v>
      </c>
      <c r="H4" s="974" t="s">
        <v>1656</v>
      </c>
      <c r="I4" s="975" t="s">
        <v>311</v>
      </c>
      <c r="J4" s="975" t="s">
        <v>1667</v>
      </c>
      <c r="K4" s="975" t="s">
        <v>23</v>
      </c>
      <c r="L4" s="975" t="s">
        <v>759</v>
      </c>
      <c r="M4" s="975" t="s">
        <v>87</v>
      </c>
      <c r="N4" s="975" t="s">
        <v>2122</v>
      </c>
      <c r="O4" s="1111" t="s">
        <v>1657</v>
      </c>
      <c r="P4" s="975" t="s">
        <v>182</v>
      </c>
      <c r="Q4" s="586"/>
    </row>
    <row r="5" spans="3:18" ht="25.5">
      <c r="C5" s="204">
        <v>1</v>
      </c>
      <c r="D5" s="204" t="s">
        <v>1668</v>
      </c>
      <c r="E5" s="264" t="s">
        <v>3452</v>
      </c>
      <c r="F5" s="302" t="s">
        <v>3454</v>
      </c>
      <c r="G5" s="1386" t="s">
        <v>3453</v>
      </c>
      <c r="H5" s="1121" t="s">
        <v>3452</v>
      </c>
      <c r="I5" s="1387" t="s">
        <v>126</v>
      </c>
      <c r="K5" s="1388" t="s">
        <v>3455</v>
      </c>
      <c r="O5" s="1108">
        <v>0</v>
      </c>
      <c r="P5" s="1389">
        <v>1</v>
      </c>
      <c r="Q5" s="1390" t="s">
        <v>3456</v>
      </c>
    </row>
    <row r="6" spans="3:18" s="145" customFormat="1" ht="45">
      <c r="C6" s="126">
        <v>2</v>
      </c>
      <c r="D6" s="126" t="s">
        <v>3560</v>
      </c>
      <c r="E6" s="145" t="s">
        <v>3561</v>
      </c>
      <c r="F6" s="145" t="s">
        <v>3562</v>
      </c>
      <c r="G6" s="1793" t="s">
        <v>3563</v>
      </c>
      <c r="H6" s="145" t="s">
        <v>3561</v>
      </c>
      <c r="I6" s="620" t="s">
        <v>3564</v>
      </c>
      <c r="J6" s="1794"/>
      <c r="K6" s="619" t="s">
        <v>3565</v>
      </c>
      <c r="L6" s="619" t="s">
        <v>3566</v>
      </c>
      <c r="M6" s="619" t="s">
        <v>3567</v>
      </c>
      <c r="N6" s="621" t="s">
        <v>3568</v>
      </c>
      <c r="O6" s="1108">
        <v>0</v>
      </c>
      <c r="P6" s="377">
        <v>1</v>
      </c>
      <c r="Q6" s="614" t="s">
        <v>3569</v>
      </c>
    </row>
    <row r="7" spans="3:18" s="145" customFormat="1" ht="23.25">
      <c r="C7" s="126">
        <v>3</v>
      </c>
      <c r="D7" s="126" t="s">
        <v>3570</v>
      </c>
      <c r="E7" s="145" t="s">
        <v>3571</v>
      </c>
      <c r="F7" s="145" t="s">
        <v>3572</v>
      </c>
      <c r="G7" s="1793" t="s">
        <v>3573</v>
      </c>
      <c r="H7" s="145" t="s">
        <v>3571</v>
      </c>
      <c r="I7" s="620" t="s">
        <v>3574</v>
      </c>
      <c r="J7" s="242" t="s">
        <v>3575</v>
      </c>
      <c r="K7" s="619" t="s">
        <v>3576</v>
      </c>
      <c r="L7" s="619" t="s">
        <v>3577</v>
      </c>
      <c r="M7" s="619"/>
      <c r="N7" s="621" t="s">
        <v>3578</v>
      </c>
      <c r="O7" s="1108">
        <v>0</v>
      </c>
      <c r="P7" s="377">
        <v>1</v>
      </c>
      <c r="Q7" s="614" t="s">
        <v>3579</v>
      </c>
    </row>
    <row r="8" spans="3:18" s="145" customFormat="1" ht="45">
      <c r="C8" s="126">
        <v>4</v>
      </c>
      <c r="D8" s="126" t="s">
        <v>3580</v>
      </c>
      <c r="E8" s="145" t="s">
        <v>3581</v>
      </c>
      <c r="F8" s="145" t="s">
        <v>3572</v>
      </c>
      <c r="G8" s="1793" t="s">
        <v>3582</v>
      </c>
      <c r="H8" s="145" t="s">
        <v>3582</v>
      </c>
      <c r="I8" s="620" t="s">
        <v>3564</v>
      </c>
      <c r="J8" s="242"/>
      <c r="K8" s="619" t="s">
        <v>3565</v>
      </c>
      <c r="L8" s="619"/>
      <c r="M8" s="619"/>
      <c r="N8" s="621"/>
      <c r="O8" s="1108">
        <v>0</v>
      </c>
      <c r="P8" s="377">
        <v>1</v>
      </c>
      <c r="Q8" s="614" t="s">
        <v>3583</v>
      </c>
    </row>
    <row r="9" spans="3:18" s="145" customFormat="1" ht="45">
      <c r="C9" s="126">
        <v>5</v>
      </c>
      <c r="D9" s="126" t="s">
        <v>3584</v>
      </c>
      <c r="E9" s="145" t="s">
        <v>3585</v>
      </c>
      <c r="F9" s="145" t="s">
        <v>3572</v>
      </c>
      <c r="G9" s="1793" t="s">
        <v>3586</v>
      </c>
      <c r="H9" s="145" t="s">
        <v>3585</v>
      </c>
      <c r="I9" s="620" t="s">
        <v>3587</v>
      </c>
      <c r="J9" s="1794"/>
      <c r="K9" s="619" t="s">
        <v>3565</v>
      </c>
      <c r="L9" s="619" t="s">
        <v>3588</v>
      </c>
      <c r="M9" s="619"/>
      <c r="N9" s="621"/>
      <c r="O9" s="1108">
        <v>0</v>
      </c>
      <c r="P9" s="377">
        <v>1</v>
      </c>
      <c r="Q9" s="614" t="s">
        <v>3589</v>
      </c>
    </row>
    <row r="10" spans="3:18" s="145" customFormat="1" ht="23.25">
      <c r="C10" s="126">
        <v>6</v>
      </c>
      <c r="D10" s="126" t="s">
        <v>3590</v>
      </c>
      <c r="E10" s="145" t="s">
        <v>3591</v>
      </c>
      <c r="F10" s="145" t="s">
        <v>3592</v>
      </c>
      <c r="G10" s="1793" t="s">
        <v>3593</v>
      </c>
      <c r="H10" s="145" t="s">
        <v>3591</v>
      </c>
      <c r="I10" s="620" t="s">
        <v>3564</v>
      </c>
      <c r="J10" s="242"/>
      <c r="K10" s="619" t="s">
        <v>3594</v>
      </c>
      <c r="L10" s="619"/>
      <c r="M10" s="619"/>
      <c r="N10" s="621"/>
      <c r="O10" s="1108">
        <v>0</v>
      </c>
      <c r="P10" s="377">
        <v>1</v>
      </c>
      <c r="Q10" s="614" t="s">
        <v>3595</v>
      </c>
    </row>
    <row r="11" spans="3:18" s="145" customFormat="1" ht="45">
      <c r="C11" s="126">
        <v>7</v>
      </c>
      <c r="D11" s="126" t="s">
        <v>3596</v>
      </c>
      <c r="E11" s="145" t="s">
        <v>3597</v>
      </c>
      <c r="F11" s="145" t="s">
        <v>3592</v>
      </c>
      <c r="G11" s="1793" t="s">
        <v>3598</v>
      </c>
      <c r="H11" s="145" t="s">
        <v>3597</v>
      </c>
      <c r="I11" s="620" t="s">
        <v>3564</v>
      </c>
      <c r="J11" s="242"/>
      <c r="K11" s="619" t="s">
        <v>3565</v>
      </c>
      <c r="L11" s="619"/>
      <c r="M11" s="619"/>
      <c r="N11" s="621"/>
      <c r="O11" s="1108">
        <v>0</v>
      </c>
      <c r="P11" s="377">
        <v>1</v>
      </c>
      <c r="Q11" s="614" t="s">
        <v>3599</v>
      </c>
    </row>
    <row r="12" spans="3:18" s="145" customFormat="1" ht="23.25">
      <c r="C12" s="126">
        <v>8</v>
      </c>
      <c r="D12" s="126" t="s">
        <v>3600</v>
      </c>
      <c r="E12" s="145" t="s">
        <v>3601</v>
      </c>
      <c r="F12" s="145" t="s">
        <v>3592</v>
      </c>
      <c r="G12" s="1793" t="s">
        <v>3602</v>
      </c>
      <c r="H12" s="145" t="s">
        <v>3601</v>
      </c>
      <c r="I12" s="620" t="s">
        <v>3564</v>
      </c>
      <c r="J12" s="242"/>
      <c r="K12" s="619" t="s">
        <v>3603</v>
      </c>
      <c r="L12" s="619"/>
      <c r="M12" s="619"/>
      <c r="N12" s="621"/>
      <c r="O12" s="1108">
        <v>0</v>
      </c>
      <c r="P12" s="377">
        <v>1</v>
      </c>
      <c r="Q12" s="614" t="s">
        <v>3604</v>
      </c>
      <c r="R12" s="612"/>
    </row>
    <row r="13" spans="3:18" s="145" customFormat="1" ht="45">
      <c r="C13" s="126">
        <v>9</v>
      </c>
      <c r="D13" s="126" t="s">
        <v>3605</v>
      </c>
      <c r="E13" s="145" t="s">
        <v>3606</v>
      </c>
      <c r="F13" s="145" t="s">
        <v>3607</v>
      </c>
      <c r="G13" s="1793" t="s">
        <v>3608</v>
      </c>
      <c r="H13" s="145" t="s">
        <v>3606</v>
      </c>
      <c r="I13" s="620" t="s">
        <v>3609</v>
      </c>
      <c r="J13" s="242"/>
      <c r="K13" s="619" t="s">
        <v>3565</v>
      </c>
      <c r="L13" s="619"/>
      <c r="M13" s="619"/>
      <c r="N13" s="621"/>
      <c r="O13" s="1108">
        <v>0</v>
      </c>
      <c r="P13" s="377">
        <v>1</v>
      </c>
      <c r="Q13" s="614" t="s">
        <v>3610</v>
      </c>
    </row>
    <row r="14" spans="3:18" s="145" customFormat="1" ht="45">
      <c r="C14" s="126">
        <v>10</v>
      </c>
      <c r="D14" s="126" t="s">
        <v>3611</v>
      </c>
      <c r="E14" s="145" t="s">
        <v>3612</v>
      </c>
      <c r="F14" s="145" t="s">
        <v>3572</v>
      </c>
      <c r="G14" s="1793" t="s">
        <v>3613</v>
      </c>
      <c r="H14" s="145" t="s">
        <v>3612</v>
      </c>
      <c r="I14" s="1795" t="s">
        <v>3614</v>
      </c>
      <c r="J14" s="242"/>
      <c r="K14" s="619" t="s">
        <v>3565</v>
      </c>
      <c r="L14" s="619"/>
      <c r="M14" s="619"/>
      <c r="N14" s="621"/>
      <c r="O14" s="1108">
        <v>0</v>
      </c>
      <c r="P14" s="377">
        <v>1</v>
      </c>
      <c r="Q14" s="614" t="s">
        <v>3615</v>
      </c>
    </row>
    <row r="15" spans="3:18" s="145" customFormat="1" ht="24.95" customHeight="1">
      <c r="C15" s="126">
        <v>11</v>
      </c>
      <c r="D15" s="126" t="s">
        <v>3616</v>
      </c>
      <c r="E15" s="145" t="s">
        <v>3617</v>
      </c>
      <c r="F15" s="145" t="s">
        <v>3592</v>
      </c>
      <c r="G15" s="1793" t="s">
        <v>3618</v>
      </c>
      <c r="H15" s="145" t="s">
        <v>3617</v>
      </c>
      <c r="I15" s="620" t="s">
        <v>3564</v>
      </c>
      <c r="J15" s="242"/>
      <c r="K15" s="619" t="s">
        <v>3619</v>
      </c>
      <c r="L15" s="619" t="s">
        <v>3620</v>
      </c>
      <c r="M15" s="619"/>
      <c r="N15" s="621"/>
      <c r="O15" s="1108">
        <v>0</v>
      </c>
      <c r="P15" s="377">
        <v>1</v>
      </c>
      <c r="Q15" s="614" t="s">
        <v>3621</v>
      </c>
    </row>
    <row r="16" spans="3:18" s="145" customFormat="1" ht="24.95" customHeight="1">
      <c r="C16" s="126">
        <v>12</v>
      </c>
      <c r="D16" s="126" t="s">
        <v>3622</v>
      </c>
      <c r="E16" s="145" t="s">
        <v>3623</v>
      </c>
      <c r="F16" s="145" t="s">
        <v>3592</v>
      </c>
      <c r="G16" s="1793" t="s">
        <v>3623</v>
      </c>
      <c r="H16" s="145" t="s">
        <v>3623</v>
      </c>
      <c r="I16" s="620" t="s">
        <v>3624</v>
      </c>
      <c r="J16" s="242"/>
      <c r="K16" s="619" t="s">
        <v>3625</v>
      </c>
      <c r="L16" s="619"/>
      <c r="M16" s="619"/>
      <c r="N16" s="621"/>
      <c r="O16" s="1108">
        <v>0</v>
      </c>
      <c r="P16" s="377">
        <v>1</v>
      </c>
      <c r="Q16" s="614" t="s">
        <v>3626</v>
      </c>
    </row>
    <row r="17" spans="7:18" ht="24.95" customHeight="1">
      <c r="G17" s="1386"/>
    </row>
    <row r="18" spans="7:18" ht="24.95" customHeight="1">
      <c r="G18" s="1386"/>
    </row>
    <row r="19" spans="7:18" ht="24.95" customHeight="1">
      <c r="G19" s="1386"/>
    </row>
    <row r="20" spans="7:18" ht="24.95" customHeight="1">
      <c r="G20" s="1386"/>
    </row>
    <row r="21" spans="7:18" ht="24.95" customHeight="1">
      <c r="G21" s="1386"/>
      <c r="J21" s="1392"/>
    </row>
    <row r="22" spans="7:18" ht="24.95" customHeight="1">
      <c r="G22" s="1386"/>
    </row>
    <row r="23" spans="7:18" ht="24.95" customHeight="1">
      <c r="G23" s="1386"/>
    </row>
    <row r="24" spans="7:18" ht="24.95" customHeight="1">
      <c r="G24" s="1386"/>
      <c r="R24" s="1134"/>
    </row>
    <row r="25" spans="7:18" ht="24.95" customHeight="1">
      <c r="G25" s="1386"/>
      <c r="R25" s="1134"/>
    </row>
    <row r="26" spans="7:18" ht="24.95" customHeight="1">
      <c r="G26" s="1386"/>
      <c r="R26" s="1393"/>
    </row>
    <row r="27" spans="7:18" ht="24.95" customHeight="1">
      <c r="G27" s="1386"/>
      <c r="R27" s="1134"/>
    </row>
    <row r="28" spans="7:18" ht="24.95" customHeight="1">
      <c r="G28" s="1386"/>
      <c r="R28" s="1134"/>
    </row>
    <row r="29" spans="7:18" ht="24.95" customHeight="1">
      <c r="G29" s="1386"/>
      <c r="R29" s="1134"/>
    </row>
    <row r="30" spans="7:18" ht="24.95" customHeight="1">
      <c r="G30" s="1386"/>
      <c r="R30" s="1134"/>
    </row>
    <row r="31" spans="7:18" ht="24.95" customHeight="1">
      <c r="G31" s="1386"/>
      <c r="R31" s="1134"/>
    </row>
    <row r="32" spans="7:18" ht="24.95" customHeight="1">
      <c r="G32" s="1386"/>
      <c r="J32" s="1392"/>
      <c r="R32" s="1134"/>
    </row>
    <row r="33" spans="7:7" ht="24.95" customHeight="1">
      <c r="G33" s="1386"/>
    </row>
    <row r="34" spans="7:7" ht="24.95" customHeight="1">
      <c r="G34" s="1386"/>
    </row>
    <row r="35" spans="7:7" ht="24.95" customHeight="1">
      <c r="G35" s="1386"/>
    </row>
    <row r="36" spans="7:7" ht="24.95" customHeight="1">
      <c r="G36" s="1386"/>
    </row>
    <row r="37" spans="7:7" ht="24.95" customHeight="1">
      <c r="G37" s="1386"/>
    </row>
    <row r="38" spans="7:7" ht="24.95" customHeight="1">
      <c r="G38" s="1386"/>
    </row>
    <row r="39" spans="7:7" ht="24.95" customHeight="1">
      <c r="G39" s="1386"/>
    </row>
    <row r="40" spans="7:7" ht="24.95" customHeight="1">
      <c r="G40" s="1386"/>
    </row>
    <row r="42" spans="7:7" ht="24.95" customHeight="1">
      <c r="G42" s="1386"/>
    </row>
    <row r="43" spans="7:7" ht="24.95" customHeight="1">
      <c r="G43" s="1386"/>
    </row>
    <row r="70" spans="10:10" ht="24.95" customHeight="1">
      <c r="J70" s="1391"/>
    </row>
    <row r="73" spans="10:10" ht="24.95" customHeight="1">
      <c r="J73" s="1391"/>
    </row>
    <row r="94" spans="10:10" ht="24.95" customHeight="1">
      <c r="J94" s="1391"/>
    </row>
    <row r="109" spans="10:10" ht="24.95" customHeight="1">
      <c r="J109" s="1391"/>
    </row>
    <row r="110" spans="10:10" ht="24.95" customHeight="1">
      <c r="J110" s="1391"/>
    </row>
    <row r="114" spans="7:7" ht="25.5"/>
    <row r="125" spans="7:7" ht="24.95" customHeight="1">
      <c r="G125" s="1386"/>
    </row>
  </sheetData>
  <sortState xmlns:xlrd2="http://schemas.microsoft.com/office/spreadsheetml/2017/richdata2" ref="D6:K18">
    <sortCondition ref="D5:D18"/>
  </sortState>
  <phoneticPr fontId="37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Y58"/>
  <sheetViews>
    <sheetView showGridLines="0" topLeftCell="A2" zoomScale="80" zoomScaleNormal="80" workbookViewId="0">
      <pane ySplit="6" topLeftCell="A8" activePane="bottomLeft" state="frozen"/>
      <selection pane="bottomLeft" activeCell="H13" sqref="H13"/>
    </sheetView>
  </sheetViews>
  <sheetFormatPr defaultColWidth="8.7109375" defaultRowHeight="24.95" customHeight="1"/>
  <cols>
    <col min="1" max="2" width="4.85546875" style="145" customWidth="1"/>
    <col min="3" max="3" width="7.85546875" style="204" customWidth="1"/>
    <col min="4" max="4" width="14.140625" style="204" customWidth="1"/>
    <col min="5" max="5" width="19.42578125" style="204" customWidth="1"/>
    <col min="6" max="6" width="29.42578125" style="401" bestFit="1" customWidth="1"/>
    <col min="7" max="7" width="20.5703125" style="1121" customWidth="1"/>
    <col min="8" max="8" width="18.140625" style="1121" customWidth="1"/>
    <col min="9" max="9" width="25.7109375" style="1121" bestFit="1" customWidth="1"/>
    <col min="10" max="10" width="34.140625" style="1120" customWidth="1"/>
    <col min="11" max="12" width="17.28515625" style="1176" customWidth="1"/>
    <col min="13" max="13" width="28.42578125" style="1134" customWidth="1"/>
    <col min="14" max="14" width="23.42578125" style="1134" bestFit="1" customWidth="1"/>
    <col min="15" max="15" width="15.85546875" style="1134" bestFit="1" customWidth="1"/>
    <col min="16" max="16" width="45.5703125" style="1121" bestFit="1" customWidth="1"/>
    <col min="17" max="17" width="32.42578125" style="1121" customWidth="1"/>
    <col min="18" max="18" width="37.42578125" style="1182" customWidth="1"/>
    <col min="19" max="19" width="27.5703125" style="1120" customWidth="1"/>
    <col min="20" max="20" width="13.42578125" style="1120" customWidth="1"/>
    <col min="21" max="21" width="48.140625" style="1121" bestFit="1" customWidth="1"/>
    <col min="22" max="22" width="6.28515625" style="354" customWidth="1"/>
    <col min="23" max="23" width="20.7109375" style="354" customWidth="1"/>
    <col min="24" max="24" width="8.7109375" style="145"/>
    <col min="25" max="25" width="25.7109375" style="145" bestFit="1" customWidth="1"/>
    <col min="26" max="16384" width="8.7109375" style="145"/>
  </cols>
  <sheetData>
    <row r="1" spans="3:25" ht="21.95" hidden="1" customHeight="1">
      <c r="C1" s="126"/>
      <c r="D1" s="126"/>
      <c r="E1" s="126"/>
      <c r="F1" s="145"/>
      <c r="G1" s="145"/>
      <c r="H1" s="145"/>
      <c r="I1" s="145"/>
      <c r="J1" s="144"/>
      <c r="K1" s="1173"/>
      <c r="L1" s="1173"/>
      <c r="M1" s="152"/>
      <c r="N1" s="152"/>
      <c r="O1" s="152"/>
      <c r="P1" s="145"/>
      <c r="Q1" s="145"/>
      <c r="R1" s="1177"/>
      <c r="S1" s="144"/>
      <c r="T1" s="144"/>
      <c r="U1" s="145"/>
    </row>
    <row r="2" spans="3:25" ht="12" customHeight="1">
      <c r="C2" s="126"/>
      <c r="D2" s="126"/>
      <c r="E2" s="126"/>
      <c r="F2" s="145"/>
      <c r="G2" s="145"/>
      <c r="H2" s="145"/>
      <c r="I2" s="145"/>
      <c r="J2" s="144"/>
      <c r="K2" s="1173"/>
      <c r="L2" s="1173"/>
      <c r="M2" s="152"/>
      <c r="N2" s="152"/>
      <c r="O2" s="152"/>
      <c r="P2" s="145"/>
      <c r="Q2" s="145"/>
      <c r="R2" s="1177"/>
      <c r="S2" s="144"/>
      <c r="T2" s="144"/>
      <c r="U2" s="145"/>
    </row>
    <row r="3" spans="3:25" ht="42">
      <c r="C3" s="940" t="s">
        <v>1608</v>
      </c>
      <c r="D3" s="940"/>
      <c r="E3" s="940"/>
      <c r="F3" s="940"/>
      <c r="G3" s="940"/>
      <c r="H3" s="940"/>
      <c r="I3" s="940"/>
      <c r="J3" s="1174"/>
      <c r="K3" s="1174"/>
      <c r="L3" s="1174"/>
      <c r="M3" s="940"/>
      <c r="N3" s="940"/>
      <c r="O3" s="940"/>
      <c r="P3" s="940"/>
      <c r="Q3" s="941"/>
      <c r="R3" s="1178"/>
      <c r="S3" s="806"/>
      <c r="T3" s="806"/>
      <c r="U3" s="145"/>
    </row>
    <row r="4" spans="3:25" ht="6.75" hidden="1" customHeight="1">
      <c r="C4" s="126"/>
      <c r="D4" s="126"/>
      <c r="E4" s="126"/>
      <c r="F4" s="145"/>
      <c r="G4" s="145"/>
      <c r="H4" s="145"/>
      <c r="I4" s="145"/>
      <c r="J4" s="144"/>
      <c r="K4" s="1173"/>
      <c r="L4" s="1173"/>
      <c r="M4" s="152"/>
      <c r="N4" s="152"/>
      <c r="O4" s="152"/>
      <c r="P4" s="145"/>
      <c r="Q4" s="145"/>
      <c r="R4" s="1177"/>
      <c r="S4" s="144"/>
      <c r="T4" s="144"/>
      <c r="U4" s="145"/>
    </row>
    <row r="5" spans="3:25" ht="27" customHeight="1"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5" ht="24.75" customHeight="1">
      <c r="C6" s="938" t="s">
        <v>47</v>
      </c>
      <c r="D6" s="938" t="s">
        <v>2026</v>
      </c>
      <c r="E6" s="938" t="s">
        <v>206</v>
      </c>
      <c r="F6" s="938" t="s">
        <v>207</v>
      </c>
      <c r="G6" s="938" t="s">
        <v>207</v>
      </c>
      <c r="H6" s="938" t="s">
        <v>2029</v>
      </c>
      <c r="I6" s="938" t="s">
        <v>2050</v>
      </c>
      <c r="J6" s="938" t="s">
        <v>2030</v>
      </c>
      <c r="K6" s="938" t="s">
        <v>2031</v>
      </c>
      <c r="L6" s="938" t="s">
        <v>2032</v>
      </c>
      <c r="M6" s="938" t="s">
        <v>122</v>
      </c>
      <c r="N6" s="938" t="s">
        <v>2038</v>
      </c>
      <c r="O6" s="938" t="s">
        <v>310</v>
      </c>
      <c r="P6" s="938" t="s">
        <v>123</v>
      </c>
      <c r="Q6" s="939" t="s">
        <v>84</v>
      </c>
      <c r="R6" s="1179" t="s">
        <v>734</v>
      </c>
      <c r="S6" s="939" t="s">
        <v>2033</v>
      </c>
      <c r="T6" s="939" t="s">
        <v>224</v>
      </c>
      <c r="U6" s="179"/>
    </row>
    <row r="7" spans="3:25" s="154" customFormat="1" ht="16.5" customHeight="1">
      <c r="C7" s="921" t="s">
        <v>9</v>
      </c>
      <c r="D7" s="921" t="s">
        <v>2021</v>
      </c>
      <c r="E7" s="921" t="s">
        <v>204</v>
      </c>
      <c r="F7" s="921" t="s">
        <v>209</v>
      </c>
      <c r="G7" s="921" t="s">
        <v>2028</v>
      </c>
      <c r="H7" s="921" t="s">
        <v>2022</v>
      </c>
      <c r="I7" s="921" t="s">
        <v>2049</v>
      </c>
      <c r="J7" s="921" t="s">
        <v>2023</v>
      </c>
      <c r="K7" s="921" t="s">
        <v>1959</v>
      </c>
      <c r="L7" s="921" t="s">
        <v>2024</v>
      </c>
      <c r="M7" s="921" t="s">
        <v>118</v>
      </c>
      <c r="N7" s="921" t="s">
        <v>1908</v>
      </c>
      <c r="O7" s="921" t="s">
        <v>1667</v>
      </c>
      <c r="P7" s="921" t="s">
        <v>2025</v>
      </c>
      <c r="Q7" s="921" t="s">
        <v>89</v>
      </c>
      <c r="R7" s="1180" t="s">
        <v>720</v>
      </c>
      <c r="S7" s="921" t="s">
        <v>1728</v>
      </c>
      <c r="T7" s="921" t="s">
        <v>1743</v>
      </c>
      <c r="U7" s="250"/>
      <c r="V7" s="1183"/>
      <c r="W7" s="1183"/>
    </row>
    <row r="8" spans="3:25" ht="24.95" customHeight="1">
      <c r="C8" s="271">
        <v>1</v>
      </c>
      <c r="D8" s="271"/>
      <c r="E8" s="271" t="s">
        <v>2052</v>
      </c>
      <c r="F8" s="1344" t="s">
        <v>3543</v>
      </c>
      <c r="G8" s="1170" t="s">
        <v>2051</v>
      </c>
      <c r="H8" s="1170"/>
      <c r="I8" s="1170"/>
      <c r="J8" s="1172"/>
      <c r="K8" s="1175"/>
      <c r="L8" s="1175"/>
      <c r="M8" s="1171"/>
      <c r="N8" s="1171"/>
      <c r="O8" s="1171"/>
      <c r="P8" s="1170" t="s">
        <v>2054</v>
      </c>
      <c r="Q8" s="1170"/>
      <c r="R8" s="1181">
        <v>46196</v>
      </c>
      <c r="S8" s="1172">
        <v>0</v>
      </c>
      <c r="T8" s="1172">
        <v>1</v>
      </c>
      <c r="U8" s="1121" t="s">
        <v>3551</v>
      </c>
    </row>
    <row r="9" spans="3:25" ht="51">
      <c r="C9" s="271">
        <v>2</v>
      </c>
      <c r="D9" s="271"/>
      <c r="E9" s="271" t="s">
        <v>3186</v>
      </c>
      <c r="F9" s="1344" t="s">
        <v>3544</v>
      </c>
      <c r="G9" s="1170" t="s">
        <v>3185</v>
      </c>
      <c r="H9" s="1170" t="s">
        <v>3545</v>
      </c>
      <c r="I9" s="1170" t="s">
        <v>3547</v>
      </c>
      <c r="J9" s="1377" t="s">
        <v>3548</v>
      </c>
      <c r="K9" s="1175" t="s">
        <v>214</v>
      </c>
      <c r="L9" s="1175" t="s">
        <v>214</v>
      </c>
      <c r="M9" s="1171"/>
      <c r="N9" s="1171" t="s">
        <v>214</v>
      </c>
      <c r="O9" s="1171"/>
      <c r="P9" s="1170" t="s">
        <v>3549</v>
      </c>
      <c r="Q9" s="1170"/>
      <c r="R9" s="1181">
        <v>46196.552685185183</v>
      </c>
      <c r="S9" s="1172">
        <v>4606.12</v>
      </c>
      <c r="T9" s="1172">
        <v>1</v>
      </c>
      <c r="U9" s="1121" t="s">
        <v>3550</v>
      </c>
      <c r="V9" s="128">
        <v>1</v>
      </c>
      <c r="W9" s="1184" t="s">
        <v>9</v>
      </c>
      <c r="Y9" s="145" t="str">
        <f>V9&amp;"-"&amp;W9</f>
        <v>1-No.</v>
      </c>
    </row>
    <row r="10" spans="3:25" ht="24.95" customHeight="1">
      <c r="C10" s="271"/>
      <c r="D10" s="271"/>
      <c r="E10" s="271"/>
      <c r="F10" s="1344"/>
      <c r="G10" s="1170"/>
      <c r="H10" s="1170"/>
      <c r="I10" s="1170"/>
      <c r="J10" s="1172"/>
      <c r="K10" s="1175"/>
      <c r="L10" s="1175"/>
      <c r="M10" s="1171"/>
      <c r="N10" s="1171"/>
      <c r="O10" s="1171"/>
      <c r="P10" s="1170"/>
      <c r="Q10" s="1170"/>
      <c r="R10" s="1181"/>
      <c r="S10" s="1172"/>
      <c r="T10" s="1172"/>
      <c r="V10" s="128">
        <v>2</v>
      </c>
      <c r="W10" s="1184" t="s">
        <v>2021</v>
      </c>
      <c r="Y10" s="145" t="str">
        <f t="shared" ref="Y10:Y26" si="0">V10&amp;"-"&amp;W10</f>
        <v>2-Photo</v>
      </c>
    </row>
    <row r="11" spans="3:25" ht="24.95" customHeight="1">
      <c r="C11" s="271"/>
      <c r="D11" s="271"/>
      <c r="E11" s="271"/>
      <c r="F11" s="1344"/>
      <c r="G11" s="1170"/>
      <c r="H11" s="1170"/>
      <c r="I11" s="1170"/>
      <c r="J11" s="1172"/>
      <c r="K11" s="1175"/>
      <c r="L11" s="1175"/>
      <c r="M11" s="1171"/>
      <c r="N11" s="1171"/>
      <c r="O11" s="1171"/>
      <c r="P11" s="1170"/>
      <c r="Q11" s="1170"/>
      <c r="R11" s="1181"/>
      <c r="S11" s="1172"/>
      <c r="T11" s="1172"/>
      <c r="V11" s="128">
        <v>3</v>
      </c>
      <c r="W11" s="1184" t="s">
        <v>204</v>
      </c>
      <c r="Y11" s="145" t="str">
        <f t="shared" si="0"/>
        <v>3-Vendor Code</v>
      </c>
    </row>
    <row r="12" spans="3:25" ht="24.95" customHeight="1">
      <c r="C12" s="271"/>
      <c r="D12" s="271"/>
      <c r="E12" s="271"/>
      <c r="F12" s="1344"/>
      <c r="G12" s="1170"/>
      <c r="H12" s="1170"/>
      <c r="I12" s="1170"/>
      <c r="J12" s="1172"/>
      <c r="K12" s="1175"/>
      <c r="L12" s="1175"/>
      <c r="M12" s="1171"/>
      <c r="N12" s="1171"/>
      <c r="O12" s="1171"/>
      <c r="P12" s="1170"/>
      <c r="Q12" s="1170"/>
      <c r="R12" s="1181"/>
      <c r="S12" s="1172"/>
      <c r="T12" s="1172"/>
      <c r="V12" s="128">
        <v>4</v>
      </c>
      <c r="W12" s="1184" t="s">
        <v>209</v>
      </c>
      <c r="Y12" s="145" t="str">
        <f t="shared" si="0"/>
        <v>4-Vendor Name KH</v>
      </c>
    </row>
    <row r="13" spans="3:25" ht="24.95" customHeight="1">
      <c r="C13" s="271"/>
      <c r="D13" s="271"/>
      <c r="E13" s="271"/>
      <c r="F13" s="1344"/>
      <c r="G13" s="1170"/>
      <c r="H13" s="1170"/>
      <c r="I13" s="1170"/>
      <c r="J13" s="1172"/>
      <c r="K13" s="1175"/>
      <c r="L13" s="1175"/>
      <c r="M13" s="1171"/>
      <c r="N13" s="1171"/>
      <c r="O13" s="1171"/>
      <c r="P13" s="1170"/>
      <c r="Q13" s="1170"/>
      <c r="R13" s="1181"/>
      <c r="S13" s="1172"/>
      <c r="T13" s="1172"/>
      <c r="V13" s="128">
        <v>5</v>
      </c>
      <c r="W13" s="1184" t="s">
        <v>2028</v>
      </c>
      <c r="Y13" s="145" t="str">
        <f t="shared" si="0"/>
        <v>5-Vendor Name En</v>
      </c>
    </row>
    <row r="14" spans="3:25" ht="24.95" customHeight="1">
      <c r="C14" s="271"/>
      <c r="D14" s="271"/>
      <c r="E14" s="271"/>
      <c r="F14" s="1344"/>
      <c r="G14" s="1170"/>
      <c r="H14" s="1170"/>
      <c r="I14" s="1170"/>
      <c r="J14" s="1172"/>
      <c r="K14" s="1175"/>
      <c r="L14" s="1175"/>
      <c r="M14" s="1171"/>
      <c r="N14" s="1171"/>
      <c r="O14" s="1171"/>
      <c r="P14" s="1170"/>
      <c r="Q14" s="1170"/>
      <c r="R14" s="1181"/>
      <c r="S14" s="1172"/>
      <c r="T14" s="1172"/>
      <c r="V14" s="128">
        <v>6</v>
      </c>
      <c r="W14" s="1184" t="s">
        <v>2022</v>
      </c>
      <c r="Y14" s="145" t="str">
        <f t="shared" si="0"/>
        <v>6-Vendor Contact</v>
      </c>
    </row>
    <row r="15" spans="3:25" ht="24.95" customHeight="1">
      <c r="C15" s="271"/>
      <c r="D15" s="271"/>
      <c r="E15" s="271"/>
      <c r="F15" s="1344"/>
      <c r="G15" s="1170"/>
      <c r="H15" s="1170"/>
      <c r="I15" s="1170"/>
      <c r="J15" s="1172"/>
      <c r="K15" s="1175"/>
      <c r="L15" s="1175"/>
      <c r="M15" s="1171"/>
      <c r="N15" s="1171"/>
      <c r="O15" s="1171"/>
      <c r="P15" s="1170"/>
      <c r="Q15" s="1170"/>
      <c r="R15" s="1181"/>
      <c r="S15" s="1172"/>
      <c r="T15" s="1172"/>
      <c r="V15" s="128">
        <v>7</v>
      </c>
      <c r="W15" s="1184" t="s">
        <v>2049</v>
      </c>
      <c r="Y15" s="145" t="str">
        <f t="shared" si="0"/>
        <v>7-Contact Position</v>
      </c>
    </row>
    <row r="16" spans="3:25" ht="24.95" customHeight="1">
      <c r="C16" s="271"/>
      <c r="D16" s="271"/>
      <c r="E16" s="271"/>
      <c r="F16" s="1344"/>
      <c r="G16" s="1170"/>
      <c r="H16" s="1170"/>
      <c r="I16" s="1170"/>
      <c r="J16" s="1172"/>
      <c r="K16" s="1175"/>
      <c r="L16" s="1175"/>
      <c r="M16" s="1171"/>
      <c r="N16" s="1171"/>
      <c r="O16" s="1171"/>
      <c r="P16" s="1170"/>
      <c r="Q16" s="1170"/>
      <c r="R16" s="1181"/>
      <c r="S16" s="1172"/>
      <c r="T16" s="1172"/>
      <c r="V16" s="128">
        <v>8</v>
      </c>
      <c r="W16" s="1184" t="s">
        <v>2023</v>
      </c>
      <c r="Y16" s="145" t="str">
        <f t="shared" si="0"/>
        <v>8-Work Telephone</v>
      </c>
    </row>
    <row r="17" spans="3:25" ht="24.95" customHeight="1">
      <c r="C17" s="271"/>
      <c r="D17" s="271"/>
      <c r="E17" s="271"/>
      <c r="F17" s="1344"/>
      <c r="G17" s="1170"/>
      <c r="H17" s="1170"/>
      <c r="I17" s="1170"/>
      <c r="J17" s="1172"/>
      <c r="K17" s="1175"/>
      <c r="L17" s="1175"/>
      <c r="M17" s="1171"/>
      <c r="N17" s="1171"/>
      <c r="O17" s="1171"/>
      <c r="P17" s="1170"/>
      <c r="Q17" s="1170"/>
      <c r="R17" s="1181"/>
      <c r="S17" s="1172"/>
      <c r="T17" s="1172"/>
      <c r="V17" s="128">
        <v>9</v>
      </c>
      <c r="W17" s="1184" t="s">
        <v>1959</v>
      </c>
      <c r="Y17" s="145" t="str">
        <f t="shared" si="0"/>
        <v>9-Other Telephone</v>
      </c>
    </row>
    <row r="18" spans="3:25" ht="24.95" customHeight="1">
      <c r="C18" s="271"/>
      <c r="D18" s="271"/>
      <c r="E18" s="271"/>
      <c r="F18" s="1344"/>
      <c r="G18" s="1170"/>
      <c r="H18" s="1170"/>
      <c r="I18" s="1170"/>
      <c r="J18" s="1172"/>
      <c r="K18" s="1175"/>
      <c r="L18" s="1175"/>
      <c r="M18" s="1171"/>
      <c r="N18" s="1171"/>
      <c r="O18" s="1171"/>
      <c r="P18" s="1170"/>
      <c r="Q18" s="1170"/>
      <c r="R18" s="1181"/>
      <c r="S18" s="1172"/>
      <c r="T18" s="1172"/>
      <c r="V18" s="128">
        <v>10</v>
      </c>
      <c r="W18" s="1184" t="s">
        <v>2024</v>
      </c>
      <c r="Y18" s="145" t="str">
        <f t="shared" si="0"/>
        <v>10-Fax Number</v>
      </c>
    </row>
    <row r="19" spans="3:25" ht="24.95" customHeight="1">
      <c r="C19" s="271"/>
      <c r="D19" s="271"/>
      <c r="E19" s="271"/>
      <c r="F19" s="1344"/>
      <c r="G19" s="1170"/>
      <c r="H19" s="1170"/>
      <c r="I19" s="1170"/>
      <c r="J19" s="1172"/>
      <c r="K19" s="1175"/>
      <c r="L19" s="1175"/>
      <c r="M19" s="1171"/>
      <c r="N19" s="1171"/>
      <c r="O19" s="1171"/>
      <c r="P19" s="1170"/>
      <c r="Q19" s="1170"/>
      <c r="R19" s="1181"/>
      <c r="S19" s="1172"/>
      <c r="T19" s="1172"/>
      <c r="V19" s="128">
        <v>11</v>
      </c>
      <c r="W19" s="1184" t="s">
        <v>118</v>
      </c>
      <c r="Y19" s="145" t="str">
        <f t="shared" si="0"/>
        <v>11-Email/Telegram/Other</v>
      </c>
    </row>
    <row r="20" spans="3:25" ht="24.95" customHeight="1">
      <c r="C20" s="271"/>
      <c r="D20" s="271"/>
      <c r="E20" s="271"/>
      <c r="F20" s="1344"/>
      <c r="G20" s="1170"/>
      <c r="H20" s="1170"/>
      <c r="I20" s="1170"/>
      <c r="J20" s="1172"/>
      <c r="K20" s="1175"/>
      <c r="L20" s="1175"/>
      <c r="M20" s="1171"/>
      <c r="N20" s="1171"/>
      <c r="O20" s="1171"/>
      <c r="P20" s="1170"/>
      <c r="Q20" s="1170"/>
      <c r="R20" s="1181"/>
      <c r="S20" s="1172"/>
      <c r="T20" s="1172"/>
      <c r="V20" s="128">
        <v>12</v>
      </c>
      <c r="W20" s="1184" t="s">
        <v>1908</v>
      </c>
      <c r="Y20" s="145" t="str">
        <f t="shared" si="0"/>
        <v>12-TIN Number</v>
      </c>
    </row>
    <row r="21" spans="3:25" ht="24.95" customHeight="1">
      <c r="C21" s="271"/>
      <c r="D21" s="271"/>
      <c r="E21" s="271"/>
      <c r="F21" s="1344"/>
      <c r="G21" s="1170"/>
      <c r="H21" s="1170"/>
      <c r="I21" s="1170"/>
      <c r="J21" s="1172"/>
      <c r="K21" s="1175"/>
      <c r="L21" s="1175"/>
      <c r="M21" s="1171"/>
      <c r="N21" s="1171"/>
      <c r="O21" s="1171"/>
      <c r="P21" s="1170"/>
      <c r="Q21" s="1170"/>
      <c r="R21" s="1181"/>
      <c r="S21" s="1172"/>
      <c r="T21" s="1172"/>
      <c r="V21" s="128">
        <v>13</v>
      </c>
      <c r="W21" s="1184" t="s">
        <v>1667</v>
      </c>
      <c r="Y21" s="145" t="str">
        <f t="shared" si="0"/>
        <v>13-Social Network</v>
      </c>
    </row>
    <row r="22" spans="3:25" ht="24.95" customHeight="1">
      <c r="C22" s="271"/>
      <c r="D22" s="271"/>
      <c r="E22" s="271"/>
      <c r="F22" s="1344"/>
      <c r="G22" s="1170"/>
      <c r="H22" s="1170"/>
      <c r="I22" s="1170"/>
      <c r="J22" s="1172"/>
      <c r="K22" s="1175"/>
      <c r="L22" s="1175"/>
      <c r="M22" s="1171"/>
      <c r="N22" s="1171"/>
      <c r="O22" s="1171"/>
      <c r="P22" s="1170"/>
      <c r="Q22" s="1170"/>
      <c r="R22" s="1181"/>
      <c r="S22" s="1172"/>
      <c r="T22" s="1172"/>
      <c r="V22" s="128">
        <v>14</v>
      </c>
      <c r="W22" s="1184" t="s">
        <v>2025</v>
      </c>
      <c r="Y22" s="145" t="str">
        <f t="shared" si="0"/>
        <v>14-Addresss</v>
      </c>
    </row>
    <row r="23" spans="3:25" ht="24.95" customHeight="1">
      <c r="C23" s="271"/>
      <c r="D23" s="271"/>
      <c r="E23" s="271"/>
      <c r="F23" s="1344"/>
      <c r="G23" s="1170"/>
      <c r="H23" s="1170"/>
      <c r="I23" s="1170"/>
      <c r="J23" s="1172"/>
      <c r="K23" s="1175"/>
      <c r="L23" s="1175"/>
      <c r="M23" s="1171"/>
      <c r="N23" s="1171"/>
      <c r="O23" s="1171"/>
      <c r="P23" s="1170"/>
      <c r="Q23" s="1170"/>
      <c r="R23" s="1181"/>
      <c r="S23" s="1172"/>
      <c r="T23" s="1172"/>
      <c r="V23" s="128">
        <v>15</v>
      </c>
      <c r="W23" s="1184" t="s">
        <v>89</v>
      </c>
      <c r="Y23" s="145" t="str">
        <f t="shared" si="0"/>
        <v>15-Note</v>
      </c>
    </row>
    <row r="24" spans="3:25" ht="24.95" customHeight="1">
      <c r="C24" s="271"/>
      <c r="D24" s="271"/>
      <c r="E24" s="271"/>
      <c r="F24" s="1344"/>
      <c r="G24" s="1170"/>
      <c r="H24" s="1170"/>
      <c r="I24" s="1170"/>
      <c r="J24" s="1172"/>
      <c r="K24" s="1175"/>
      <c r="L24" s="1175"/>
      <c r="M24" s="1171"/>
      <c r="N24" s="1171"/>
      <c r="O24" s="1171"/>
      <c r="P24" s="1170"/>
      <c r="Q24" s="1170"/>
      <c r="R24" s="1181"/>
      <c r="S24" s="1172"/>
      <c r="T24" s="1172"/>
      <c r="V24" s="128">
        <v>16</v>
      </c>
      <c r="W24" s="1185" t="s">
        <v>720</v>
      </c>
      <c r="Y24" s="145" t="str">
        <f t="shared" si="0"/>
        <v>16-Created</v>
      </c>
    </row>
    <row r="25" spans="3:25" ht="24.95" customHeight="1">
      <c r="C25" s="271"/>
      <c r="D25" s="271"/>
      <c r="E25" s="271"/>
      <c r="F25" s="1344"/>
      <c r="G25" s="1170"/>
      <c r="H25" s="1170"/>
      <c r="I25" s="1170"/>
      <c r="J25" s="1172"/>
      <c r="K25" s="1175"/>
      <c r="L25" s="1175"/>
      <c r="M25" s="1171"/>
      <c r="N25" s="1171"/>
      <c r="O25" s="1171"/>
      <c r="P25" s="1170"/>
      <c r="Q25" s="1170"/>
      <c r="R25" s="1181"/>
      <c r="S25" s="1172"/>
      <c r="T25" s="1172"/>
      <c r="V25" s="128">
        <v>17</v>
      </c>
      <c r="W25" s="1184" t="s">
        <v>1728</v>
      </c>
      <c r="Y25" s="145" t="str">
        <f t="shared" si="0"/>
        <v>17-Vendor Balance</v>
      </c>
    </row>
    <row r="26" spans="3:25" ht="24.95" customHeight="1">
      <c r="C26" s="271"/>
      <c r="D26" s="271"/>
      <c r="E26" s="271"/>
      <c r="F26" s="1344"/>
      <c r="G26" s="1170"/>
      <c r="H26" s="1170"/>
      <c r="I26" s="1170"/>
      <c r="J26" s="1172"/>
      <c r="K26" s="1175"/>
      <c r="L26" s="1175"/>
      <c r="M26" s="1171"/>
      <c r="N26" s="1171"/>
      <c r="O26" s="1171"/>
      <c r="P26" s="1170"/>
      <c r="Q26" s="1170"/>
      <c r="R26" s="1181"/>
      <c r="S26" s="1172"/>
      <c r="T26" s="1172"/>
      <c r="V26" s="128">
        <v>18</v>
      </c>
      <c r="W26" s="1184" t="s">
        <v>1743</v>
      </c>
      <c r="Y26" s="145" t="str">
        <f t="shared" si="0"/>
        <v>18-Is Active</v>
      </c>
    </row>
    <row r="27" spans="3:25" ht="24.95" customHeight="1">
      <c r="C27" s="271"/>
      <c r="D27" s="271"/>
      <c r="E27" s="271"/>
      <c r="F27" s="1344"/>
      <c r="G27" s="1170"/>
      <c r="H27" s="1170"/>
      <c r="I27" s="1170"/>
      <c r="J27" s="1172"/>
      <c r="K27" s="1175"/>
      <c r="L27" s="1175"/>
      <c r="M27" s="1171"/>
      <c r="N27" s="1171"/>
      <c r="O27" s="1171"/>
      <c r="P27" s="1170"/>
      <c r="Q27" s="1170"/>
      <c r="R27" s="1181"/>
      <c r="S27" s="1172"/>
      <c r="T27" s="1172"/>
    </row>
    <row r="28" spans="3:25" ht="24.95" customHeight="1">
      <c r="C28" s="271"/>
      <c r="D28" s="271"/>
      <c r="E28" s="271"/>
      <c r="F28" s="1344"/>
      <c r="G28" s="1170"/>
      <c r="H28" s="1170"/>
      <c r="I28" s="1170"/>
      <c r="J28" s="1172"/>
      <c r="K28" s="1175"/>
      <c r="L28" s="1175"/>
      <c r="M28" s="1171"/>
      <c r="N28" s="1171"/>
      <c r="O28" s="1171"/>
      <c r="P28" s="1170"/>
      <c r="Q28" s="1170"/>
      <c r="R28" s="1181"/>
      <c r="S28" s="1172"/>
      <c r="T28" s="1172"/>
    </row>
    <row r="29" spans="3:25" ht="24.95" customHeight="1">
      <c r="C29" s="271"/>
      <c r="D29" s="271"/>
      <c r="E29" s="271"/>
      <c r="F29" s="1344"/>
      <c r="G29" s="1170"/>
      <c r="H29" s="1170"/>
      <c r="I29" s="1170"/>
      <c r="J29" s="1172"/>
      <c r="K29" s="1175"/>
      <c r="L29" s="1175"/>
      <c r="M29" s="1171"/>
      <c r="N29" s="1171"/>
      <c r="O29" s="1171"/>
      <c r="P29" s="1170"/>
      <c r="Q29" s="1170"/>
      <c r="R29" s="1181"/>
      <c r="S29" s="1172"/>
      <c r="T29" s="1172"/>
    </row>
    <row r="30" spans="3:25" ht="24.95" customHeight="1">
      <c r="C30" s="271"/>
      <c r="D30" s="271"/>
      <c r="E30" s="271"/>
      <c r="F30" s="1344"/>
      <c r="G30" s="1170"/>
      <c r="H30" s="1170"/>
      <c r="I30" s="1170"/>
      <c r="J30" s="1172"/>
      <c r="K30" s="1175"/>
      <c r="L30" s="1175"/>
      <c r="M30" s="1171"/>
      <c r="N30" s="1171"/>
      <c r="O30" s="1171"/>
      <c r="P30" s="1170"/>
      <c r="Q30" s="1170"/>
      <c r="R30" s="1181"/>
      <c r="S30" s="1172"/>
      <c r="T30" s="1172"/>
    </row>
    <row r="31" spans="3:25" ht="24.95" customHeight="1">
      <c r="C31" s="271"/>
      <c r="D31" s="271"/>
      <c r="E31" s="271"/>
      <c r="F31" s="1344"/>
      <c r="G31" s="1170"/>
      <c r="H31" s="1170"/>
      <c r="I31" s="1170"/>
      <c r="J31" s="1172"/>
      <c r="K31" s="1175"/>
      <c r="L31" s="1175"/>
      <c r="M31" s="1171"/>
      <c r="N31" s="1171"/>
      <c r="O31" s="1171"/>
      <c r="P31" s="1170"/>
      <c r="Q31" s="1170"/>
      <c r="R31" s="1181"/>
      <c r="S31" s="1172"/>
      <c r="T31" s="1172"/>
    </row>
    <row r="32" spans="3:25" ht="24.95" customHeight="1">
      <c r="C32" s="271"/>
      <c r="D32" s="271"/>
      <c r="E32" s="271"/>
      <c r="F32" s="1344"/>
      <c r="G32" s="1170"/>
      <c r="H32" s="1170"/>
      <c r="I32" s="1170"/>
      <c r="J32" s="1172"/>
      <c r="K32" s="1175"/>
      <c r="L32" s="1175"/>
      <c r="M32" s="1171"/>
      <c r="N32" s="1171"/>
      <c r="O32" s="1171"/>
      <c r="P32" s="1170"/>
      <c r="Q32" s="1170"/>
      <c r="R32" s="1181"/>
      <c r="S32" s="1172"/>
      <c r="T32" s="1172"/>
    </row>
    <row r="33" spans="3:20" ht="24.95" customHeight="1">
      <c r="C33" s="271"/>
      <c r="D33" s="271"/>
      <c r="E33" s="271"/>
      <c r="F33" s="1344"/>
      <c r="G33" s="1170"/>
      <c r="H33" s="1170"/>
      <c r="I33" s="1170"/>
      <c r="J33" s="1172"/>
      <c r="K33" s="1175"/>
      <c r="L33" s="1175"/>
      <c r="M33" s="1171"/>
      <c r="N33" s="1171"/>
      <c r="O33" s="1171"/>
      <c r="P33" s="1170"/>
      <c r="Q33" s="1170"/>
      <c r="R33" s="1181"/>
      <c r="S33" s="1172"/>
      <c r="T33" s="1172"/>
    </row>
    <row r="34" spans="3:20" ht="24.95" customHeight="1">
      <c r="C34" s="271"/>
      <c r="D34" s="271"/>
      <c r="E34" s="271"/>
      <c r="F34" s="1344"/>
      <c r="G34" s="1170"/>
      <c r="H34" s="1170"/>
      <c r="I34" s="1170"/>
      <c r="J34" s="1172"/>
      <c r="K34" s="1175"/>
      <c r="L34" s="1175"/>
      <c r="M34" s="1171"/>
      <c r="N34" s="1171"/>
      <c r="O34" s="1171"/>
      <c r="P34" s="1170"/>
      <c r="Q34" s="1170"/>
      <c r="R34" s="1181"/>
      <c r="S34" s="1172"/>
      <c r="T34" s="1172"/>
    </row>
    <row r="35" spans="3:20" ht="24.95" customHeight="1">
      <c r="C35" s="271"/>
      <c r="D35" s="271"/>
      <c r="E35" s="271"/>
      <c r="F35" s="1344"/>
      <c r="G35" s="1170"/>
      <c r="H35" s="1170"/>
      <c r="I35" s="1170"/>
      <c r="J35" s="1172"/>
      <c r="K35" s="1175"/>
      <c r="L35" s="1175"/>
      <c r="M35" s="1171"/>
      <c r="N35" s="1171"/>
      <c r="O35" s="1171"/>
      <c r="P35" s="1170"/>
      <c r="Q35" s="1170"/>
      <c r="R35" s="1181"/>
      <c r="S35" s="1172"/>
      <c r="T35" s="1172"/>
    </row>
    <row r="36" spans="3:20" ht="24.95" customHeight="1">
      <c r="C36" s="271"/>
      <c r="D36" s="271"/>
      <c r="E36" s="271"/>
      <c r="F36" s="1344"/>
      <c r="G36" s="1170"/>
      <c r="H36" s="1170"/>
      <c r="I36" s="1170"/>
      <c r="J36" s="1172"/>
      <c r="K36" s="1175"/>
      <c r="L36" s="1175"/>
      <c r="M36" s="1171"/>
      <c r="N36" s="1171"/>
      <c r="O36" s="1171"/>
      <c r="P36" s="1170"/>
      <c r="Q36" s="1170"/>
      <c r="R36" s="1181"/>
      <c r="S36" s="1172"/>
      <c r="T36" s="1172"/>
    </row>
    <row r="37" spans="3:20" ht="24.95" customHeight="1">
      <c r="C37" s="271"/>
      <c r="D37" s="271"/>
      <c r="E37" s="271"/>
      <c r="F37" s="1344"/>
      <c r="G37" s="1170"/>
      <c r="H37" s="1170"/>
      <c r="I37" s="1170"/>
      <c r="J37" s="1172"/>
      <c r="K37" s="1175"/>
      <c r="L37" s="1175"/>
      <c r="M37" s="1171"/>
      <c r="N37" s="1171"/>
      <c r="O37" s="1171"/>
      <c r="P37" s="1170"/>
      <c r="Q37" s="1170"/>
      <c r="R37" s="1181"/>
      <c r="S37" s="1172"/>
      <c r="T37" s="1172"/>
    </row>
    <row r="38" spans="3:20" ht="24.95" customHeight="1">
      <c r="C38" s="271"/>
      <c r="D38" s="271"/>
      <c r="E38" s="271"/>
      <c r="F38" s="1344"/>
      <c r="G38" s="1170"/>
      <c r="H38" s="1170"/>
      <c r="I38" s="1170"/>
      <c r="J38" s="1172"/>
      <c r="K38" s="1175"/>
      <c r="L38" s="1175"/>
      <c r="M38" s="1171"/>
      <c r="N38" s="1171"/>
      <c r="O38" s="1171"/>
      <c r="P38" s="1170"/>
      <c r="Q38" s="1170"/>
      <c r="R38" s="1181"/>
      <c r="S38" s="1172"/>
      <c r="T38" s="1172"/>
    </row>
    <row r="39" spans="3:20" ht="24.95" customHeight="1">
      <c r="C39" s="271"/>
      <c r="D39" s="271"/>
      <c r="E39" s="271"/>
      <c r="F39" s="1344"/>
      <c r="G39" s="1170"/>
      <c r="H39" s="1170"/>
      <c r="I39" s="1170"/>
      <c r="J39" s="1172"/>
      <c r="K39" s="1175"/>
      <c r="L39" s="1175"/>
      <c r="M39" s="1171"/>
      <c r="N39" s="1171"/>
      <c r="O39" s="1171"/>
      <c r="P39" s="1170"/>
      <c r="Q39" s="1170"/>
      <c r="R39" s="1181"/>
      <c r="S39" s="1172"/>
      <c r="T39" s="1172"/>
    </row>
    <row r="40" spans="3:20" ht="24.95" customHeight="1">
      <c r="C40" s="271"/>
      <c r="D40" s="271"/>
      <c r="E40" s="271"/>
      <c r="F40" s="1344"/>
      <c r="G40" s="1170"/>
      <c r="H40" s="1170"/>
      <c r="I40" s="1170"/>
      <c r="J40" s="1172"/>
      <c r="K40" s="1175"/>
      <c r="L40" s="1175"/>
      <c r="M40" s="1171"/>
      <c r="N40" s="1171"/>
      <c r="O40" s="1171"/>
      <c r="P40" s="1170"/>
      <c r="Q40" s="1170"/>
      <c r="R40" s="1181"/>
      <c r="S40" s="1172"/>
      <c r="T40" s="1172"/>
    </row>
    <row r="41" spans="3:20" ht="24.95" customHeight="1">
      <c r="C41" s="271"/>
      <c r="D41" s="271"/>
      <c r="E41" s="271"/>
      <c r="F41" s="1344"/>
      <c r="G41" s="1170"/>
      <c r="H41" s="1170"/>
      <c r="I41" s="1170"/>
      <c r="J41" s="1172"/>
      <c r="K41" s="1175"/>
      <c r="L41" s="1175"/>
      <c r="M41" s="1171"/>
      <c r="N41" s="1171"/>
      <c r="O41" s="1171"/>
      <c r="P41" s="1170"/>
      <c r="Q41" s="1170"/>
      <c r="R41" s="1181"/>
      <c r="S41" s="1172"/>
      <c r="T41" s="1172"/>
    </row>
    <row r="42" spans="3:20" ht="24.95" customHeight="1">
      <c r="C42" s="271"/>
      <c r="D42" s="271"/>
      <c r="E42" s="271"/>
      <c r="F42" s="1344"/>
      <c r="G42" s="1170"/>
      <c r="H42" s="1170"/>
      <c r="I42" s="1170"/>
      <c r="J42" s="1172"/>
      <c r="K42" s="1175"/>
      <c r="L42" s="1175"/>
      <c r="M42" s="1171"/>
      <c r="N42" s="1171"/>
      <c r="O42" s="1171"/>
      <c r="P42" s="1170"/>
      <c r="Q42" s="1170"/>
      <c r="R42" s="1181"/>
      <c r="S42" s="1172"/>
      <c r="T42" s="1172"/>
    </row>
    <row r="43" spans="3:20" ht="24.95" customHeight="1">
      <c r="C43" s="271"/>
      <c r="D43" s="271"/>
      <c r="E43" s="271"/>
      <c r="F43" s="1344"/>
      <c r="G43" s="1170"/>
      <c r="H43" s="1170"/>
      <c r="I43" s="1170"/>
      <c r="J43" s="1172"/>
      <c r="K43" s="1175"/>
      <c r="L43" s="1175"/>
      <c r="M43" s="1171"/>
      <c r="N43" s="1171"/>
      <c r="O43" s="1171"/>
      <c r="P43" s="1170"/>
      <c r="Q43" s="1170"/>
      <c r="R43" s="1181"/>
      <c r="S43" s="1172"/>
      <c r="T43" s="1172"/>
    </row>
    <row r="44" spans="3:20" ht="24.95" customHeight="1">
      <c r="C44" s="271"/>
      <c r="D44" s="271"/>
      <c r="E44" s="271"/>
      <c r="F44" s="1344"/>
      <c r="G44" s="1170"/>
      <c r="H44" s="1170"/>
      <c r="I44" s="1170"/>
      <c r="J44" s="1172"/>
      <c r="K44" s="1175"/>
      <c r="L44" s="1175"/>
      <c r="M44" s="1171"/>
      <c r="N44" s="1171"/>
      <c r="O44" s="1171"/>
      <c r="P44" s="1170"/>
      <c r="Q44" s="1170"/>
      <c r="R44" s="1181"/>
      <c r="S44" s="1172"/>
      <c r="T44" s="1172"/>
    </row>
    <row r="45" spans="3:20" ht="24.95" customHeight="1">
      <c r="C45" s="271"/>
      <c r="D45" s="271"/>
      <c r="E45" s="271"/>
      <c r="F45" s="1344"/>
      <c r="G45" s="1170"/>
      <c r="H45" s="1170"/>
      <c r="I45" s="1170"/>
      <c r="J45" s="1172"/>
      <c r="K45" s="1175"/>
      <c r="L45" s="1175"/>
      <c r="M45" s="1171"/>
      <c r="N45" s="1171"/>
      <c r="O45" s="1171"/>
      <c r="P45" s="1170"/>
      <c r="Q45" s="1170"/>
      <c r="R45" s="1181"/>
      <c r="S45" s="1172"/>
      <c r="T45" s="1172"/>
    </row>
    <row r="46" spans="3:20" ht="24.95" customHeight="1">
      <c r="C46" s="271"/>
      <c r="D46" s="271"/>
      <c r="E46" s="271"/>
      <c r="F46" s="1344"/>
      <c r="G46" s="1170"/>
      <c r="H46" s="1170"/>
      <c r="I46" s="1170"/>
      <c r="J46" s="1172"/>
      <c r="K46" s="1175"/>
      <c r="L46" s="1175"/>
      <c r="M46" s="1171"/>
      <c r="N46" s="1171"/>
      <c r="O46" s="1171"/>
      <c r="P46" s="1170"/>
      <c r="Q46" s="1170"/>
      <c r="R46" s="1181"/>
      <c r="S46" s="1172"/>
      <c r="T46" s="1172"/>
    </row>
    <row r="47" spans="3:20" ht="24.95" customHeight="1">
      <c r="C47" s="271"/>
      <c r="D47" s="271"/>
      <c r="E47" s="271"/>
      <c r="F47" s="1344"/>
      <c r="G47" s="1170"/>
      <c r="H47" s="1170"/>
      <c r="I47" s="1170"/>
      <c r="J47" s="1172"/>
      <c r="K47" s="1175"/>
      <c r="L47" s="1175"/>
      <c r="M47" s="1171"/>
      <c r="N47" s="1171"/>
      <c r="O47" s="1171"/>
      <c r="P47" s="1170"/>
      <c r="Q47" s="1170"/>
      <c r="R47" s="1181"/>
      <c r="S47" s="1172"/>
      <c r="T47" s="1172"/>
    </row>
    <row r="48" spans="3:20" ht="24.95" customHeight="1">
      <c r="C48" s="271"/>
      <c r="D48" s="271"/>
      <c r="E48" s="271"/>
      <c r="F48" s="1344"/>
      <c r="G48" s="1170"/>
      <c r="H48" s="1170"/>
      <c r="I48" s="1170"/>
      <c r="J48" s="1172"/>
      <c r="K48" s="1175"/>
      <c r="L48" s="1175"/>
      <c r="M48" s="1171"/>
      <c r="N48" s="1171"/>
      <c r="O48" s="1171"/>
      <c r="P48" s="1170"/>
      <c r="Q48" s="1170"/>
      <c r="R48" s="1181"/>
      <c r="S48" s="1172"/>
      <c r="T48" s="1172"/>
    </row>
    <row r="49" spans="3:20" ht="24.95" customHeight="1">
      <c r="C49" s="271"/>
      <c r="D49" s="271"/>
      <c r="E49" s="271"/>
      <c r="F49" s="1344"/>
      <c r="G49" s="1170"/>
      <c r="H49" s="1170"/>
      <c r="I49" s="1170"/>
      <c r="J49" s="1172"/>
      <c r="K49" s="1175"/>
      <c r="L49" s="1175"/>
      <c r="M49" s="1171"/>
      <c r="N49" s="1171"/>
      <c r="O49" s="1171"/>
      <c r="P49" s="1170"/>
      <c r="Q49" s="1170"/>
      <c r="R49" s="1181"/>
      <c r="S49" s="1172"/>
      <c r="T49" s="1172"/>
    </row>
    <row r="50" spans="3:20" ht="24.95" customHeight="1">
      <c r="C50" s="271"/>
      <c r="D50" s="271"/>
      <c r="E50" s="271"/>
      <c r="F50" s="1344"/>
      <c r="G50" s="1170"/>
      <c r="H50" s="1170"/>
      <c r="I50" s="1170"/>
      <c r="J50" s="1172"/>
      <c r="K50" s="1175"/>
      <c r="L50" s="1175"/>
      <c r="M50" s="1171"/>
      <c r="N50" s="1171"/>
      <c r="O50" s="1171"/>
      <c r="P50" s="1170"/>
      <c r="Q50" s="1170"/>
      <c r="R50" s="1181"/>
      <c r="S50" s="1172"/>
      <c r="T50" s="1172"/>
    </row>
    <row r="51" spans="3:20" ht="24.95" customHeight="1">
      <c r="C51" s="271"/>
      <c r="D51" s="271"/>
      <c r="E51" s="271"/>
      <c r="F51" s="1344"/>
      <c r="G51" s="1170"/>
      <c r="H51" s="1170"/>
      <c r="I51" s="1170"/>
      <c r="J51" s="1172"/>
      <c r="K51" s="1175"/>
      <c r="L51" s="1175"/>
      <c r="M51" s="1171"/>
      <c r="N51" s="1171"/>
      <c r="O51" s="1171"/>
      <c r="P51" s="1170"/>
      <c r="Q51" s="1170"/>
      <c r="R51" s="1181"/>
      <c r="S51" s="1172"/>
      <c r="T51" s="1172"/>
    </row>
    <row r="52" spans="3:20" ht="24.95" customHeight="1">
      <c r="C52" s="271"/>
      <c r="D52" s="271"/>
      <c r="E52" s="271"/>
      <c r="F52" s="1344"/>
      <c r="G52" s="1170"/>
      <c r="H52" s="1170"/>
      <c r="I52" s="1170"/>
      <c r="J52" s="1172"/>
      <c r="K52" s="1175"/>
      <c r="L52" s="1175"/>
      <c r="M52" s="1171"/>
      <c r="N52" s="1171"/>
      <c r="O52" s="1171"/>
      <c r="P52" s="1170"/>
      <c r="Q52" s="1170"/>
      <c r="R52" s="1181"/>
      <c r="S52" s="1172"/>
      <c r="T52" s="1172"/>
    </row>
    <row r="53" spans="3:20" ht="24.95" customHeight="1">
      <c r="C53" s="271"/>
      <c r="D53" s="271"/>
      <c r="E53" s="271"/>
      <c r="F53" s="1344"/>
      <c r="G53" s="1170"/>
      <c r="H53" s="1170"/>
      <c r="I53" s="1170"/>
      <c r="J53" s="1172"/>
      <c r="K53" s="1175"/>
      <c r="L53" s="1175"/>
      <c r="M53" s="1171"/>
      <c r="N53" s="1171"/>
      <c r="O53" s="1171"/>
      <c r="P53" s="1170"/>
      <c r="Q53" s="1170"/>
      <c r="R53" s="1181"/>
      <c r="S53" s="1172"/>
      <c r="T53" s="1172"/>
    </row>
    <row r="54" spans="3:20" ht="24.95" customHeight="1">
      <c r="C54" s="271"/>
      <c r="D54" s="271"/>
      <c r="E54" s="271"/>
      <c r="F54" s="1344"/>
      <c r="G54" s="1170"/>
      <c r="H54" s="1170"/>
      <c r="I54" s="1170"/>
      <c r="J54" s="1172"/>
      <c r="K54" s="1175"/>
      <c r="L54" s="1175"/>
      <c r="M54" s="1171"/>
      <c r="N54" s="1171"/>
      <c r="O54" s="1171"/>
      <c r="P54" s="1170"/>
      <c r="Q54" s="1170"/>
      <c r="R54" s="1181"/>
      <c r="S54" s="1172"/>
      <c r="T54" s="1172"/>
    </row>
    <row r="55" spans="3:20" ht="24.95" customHeight="1">
      <c r="C55" s="271"/>
      <c r="D55" s="271"/>
      <c r="E55" s="271"/>
      <c r="F55" s="1344"/>
      <c r="G55" s="1170"/>
      <c r="H55" s="1170"/>
      <c r="I55" s="1170"/>
      <c r="J55" s="1172"/>
      <c r="K55" s="1175"/>
      <c r="L55" s="1175"/>
      <c r="M55" s="1171"/>
      <c r="N55" s="1171"/>
      <c r="O55" s="1171"/>
      <c r="P55" s="1170"/>
      <c r="Q55" s="1170"/>
      <c r="R55" s="1181"/>
      <c r="S55" s="1172"/>
      <c r="T55" s="1172"/>
    </row>
    <row r="56" spans="3:20" ht="24.95" customHeight="1">
      <c r="C56" s="271"/>
      <c r="D56" s="271"/>
      <c r="E56" s="271"/>
      <c r="F56" s="1344"/>
      <c r="G56" s="1170"/>
      <c r="H56" s="1170"/>
      <c r="I56" s="1170"/>
      <c r="J56" s="1172"/>
      <c r="K56" s="1175"/>
      <c r="L56" s="1175"/>
      <c r="M56" s="1171"/>
      <c r="N56" s="1171"/>
      <c r="O56" s="1171"/>
      <c r="P56" s="1170"/>
      <c r="Q56" s="1170"/>
      <c r="R56" s="1181"/>
      <c r="S56" s="1172"/>
      <c r="T56" s="1172"/>
    </row>
    <row r="57" spans="3:20" ht="24.95" customHeight="1">
      <c r="C57" s="271"/>
      <c r="D57" s="271"/>
      <c r="E57" s="271"/>
      <c r="F57" s="1344"/>
      <c r="G57" s="1170"/>
      <c r="H57" s="1170"/>
      <c r="I57" s="1170"/>
      <c r="J57" s="1172"/>
      <c r="K57" s="1175"/>
      <c r="L57" s="1175"/>
      <c r="M57" s="1171"/>
      <c r="N57" s="1171"/>
      <c r="O57" s="1171"/>
      <c r="P57" s="1170"/>
      <c r="Q57" s="1170"/>
      <c r="R57" s="1181"/>
      <c r="S57" s="1172"/>
      <c r="T57" s="1172"/>
    </row>
    <row r="58" spans="3:20" ht="24.95" customHeight="1">
      <c r="C58" s="271"/>
      <c r="D58" s="271"/>
      <c r="E58" s="271"/>
      <c r="F58" s="1344"/>
      <c r="G58" s="1170"/>
      <c r="H58" s="1170"/>
      <c r="I58" s="1170"/>
      <c r="J58" s="1172"/>
      <c r="K58" s="1175"/>
      <c r="L58" s="1175"/>
      <c r="M58" s="1171"/>
      <c r="N58" s="1171"/>
      <c r="O58" s="1171"/>
      <c r="P58" s="1170"/>
      <c r="Q58" s="1170"/>
      <c r="R58" s="1181"/>
      <c r="S58" s="1172"/>
      <c r="T58" s="1172"/>
    </row>
  </sheetData>
  <phoneticPr fontId="37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354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812"/>
      <c r="B3" s="812"/>
      <c r="C3" s="812"/>
      <c r="D3" s="812"/>
      <c r="E3" s="812"/>
      <c r="F3" s="812"/>
      <c r="G3" s="812"/>
      <c r="H3" s="812"/>
      <c r="I3" s="806"/>
      <c r="J3" s="806"/>
      <c r="K3" s="806"/>
    </row>
    <row r="4" spans="1:12" ht="6.75" hidden="1" customHeight="1"/>
    <row r="5" spans="1:12" ht="5.25" customHeight="1"/>
    <row r="6" spans="1:12" ht="24.75" customHeight="1">
      <c r="A6" s="938" t="s">
        <v>47</v>
      </c>
      <c r="B6" s="938" t="s">
        <v>2027</v>
      </c>
      <c r="C6" s="938" t="s">
        <v>2026</v>
      </c>
      <c r="D6" s="938" t="s">
        <v>206</v>
      </c>
      <c r="E6" s="938" t="s">
        <v>207</v>
      </c>
      <c r="F6" s="938" t="s">
        <v>207</v>
      </c>
      <c r="G6" s="938" t="s">
        <v>2029</v>
      </c>
      <c r="H6" s="938" t="s">
        <v>122</v>
      </c>
      <c r="I6" s="939" t="s">
        <v>84</v>
      </c>
      <c r="J6" s="939" t="s">
        <v>734</v>
      </c>
      <c r="K6" s="939" t="s">
        <v>224</v>
      </c>
      <c r="L6" s="179"/>
    </row>
    <row r="7" spans="1:12" s="154" customFormat="1" ht="16.5" customHeight="1">
      <c r="A7" s="921" t="s">
        <v>9</v>
      </c>
      <c r="B7" s="921" t="s">
        <v>757</v>
      </c>
      <c r="C7" s="921" t="s">
        <v>275</v>
      </c>
      <c r="D7" s="921" t="s">
        <v>2034</v>
      </c>
      <c r="E7" s="921" t="s">
        <v>2035</v>
      </c>
      <c r="F7" s="921" t="s">
        <v>2036</v>
      </c>
      <c r="G7" s="921" t="s">
        <v>2037</v>
      </c>
      <c r="H7" s="921" t="s">
        <v>118</v>
      </c>
      <c r="I7" s="921" t="s">
        <v>89</v>
      </c>
      <c r="J7" s="921" t="s">
        <v>720</v>
      </c>
      <c r="K7" s="921" t="s">
        <v>1743</v>
      </c>
      <c r="L7" s="250"/>
    </row>
    <row r="8" spans="1:12" ht="21.95" customHeight="1">
      <c r="A8" s="807">
        <v>1</v>
      </c>
      <c r="B8" s="807"/>
      <c r="C8" s="807"/>
      <c r="D8" s="807"/>
      <c r="E8" s="808" t="s">
        <v>205</v>
      </c>
      <c r="F8" s="809" t="s">
        <v>210</v>
      </c>
      <c r="G8" s="809"/>
      <c r="H8" s="810"/>
      <c r="I8" s="809"/>
      <c r="J8" s="809"/>
      <c r="K8" s="809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807"/>
      <c r="B9" s="807"/>
      <c r="C9" s="807"/>
      <c r="D9" s="807"/>
      <c r="E9" s="808"/>
      <c r="F9" s="809"/>
      <c r="G9" s="809"/>
      <c r="H9" s="810"/>
      <c r="I9" s="809"/>
      <c r="J9" s="809"/>
      <c r="K9" s="809"/>
    </row>
    <row r="10" spans="1:12" ht="21.95" customHeight="1">
      <c r="A10" s="807"/>
      <c r="B10" s="807"/>
      <c r="C10" s="807"/>
      <c r="D10" s="807"/>
      <c r="E10" s="808"/>
      <c r="F10" s="809"/>
      <c r="G10" s="809"/>
      <c r="H10" s="810"/>
      <c r="I10" s="809"/>
      <c r="J10" s="809"/>
      <c r="K10" s="809"/>
    </row>
    <row r="11" spans="1:12" ht="21.95" customHeight="1">
      <c r="A11" s="807"/>
      <c r="B11" s="807"/>
      <c r="C11" s="807"/>
      <c r="D11" s="807"/>
      <c r="E11" s="808"/>
      <c r="F11" s="809"/>
      <c r="G11" s="809"/>
      <c r="H11" s="810"/>
      <c r="I11" s="809"/>
      <c r="J11" s="809"/>
      <c r="K11" s="809"/>
    </row>
    <row r="12" spans="1:12" ht="21.95" customHeight="1">
      <c r="A12" s="807"/>
      <c r="B12" s="807"/>
      <c r="C12" s="807"/>
      <c r="D12" s="807"/>
      <c r="E12" s="808"/>
      <c r="F12" s="809"/>
      <c r="G12" s="809"/>
      <c r="H12" s="810"/>
      <c r="I12" s="809"/>
      <c r="J12" s="809"/>
      <c r="K12" s="809"/>
    </row>
    <row r="13" spans="1:12" ht="21.95" customHeight="1">
      <c r="A13" s="807"/>
      <c r="B13" s="807"/>
      <c r="C13" s="807"/>
      <c r="D13" s="807"/>
      <c r="E13" s="808"/>
      <c r="F13" s="809"/>
      <c r="G13" s="809"/>
      <c r="H13" s="810"/>
      <c r="I13" s="809"/>
      <c r="J13" s="809"/>
      <c r="K13" s="809"/>
    </row>
    <row r="14" spans="1:12" ht="21.95" customHeight="1">
      <c r="A14" s="807"/>
      <c r="B14" s="807"/>
      <c r="C14" s="807"/>
      <c r="D14" s="807"/>
      <c r="E14" s="808"/>
      <c r="F14" s="809"/>
      <c r="G14" s="809"/>
      <c r="H14" s="810"/>
      <c r="I14" s="809"/>
      <c r="J14" s="809"/>
      <c r="K14" s="809"/>
    </row>
    <row r="15" spans="1:12" ht="21.95" customHeight="1">
      <c r="A15" s="807"/>
      <c r="B15" s="807"/>
      <c r="C15" s="807"/>
      <c r="D15" s="807"/>
      <c r="E15" s="808"/>
      <c r="F15" s="809"/>
      <c r="G15" s="809"/>
      <c r="H15" s="810"/>
      <c r="I15" s="809"/>
      <c r="J15" s="809"/>
      <c r="K15" s="809"/>
    </row>
    <row r="16" spans="1:12" ht="21.95" customHeight="1">
      <c r="A16" s="807"/>
      <c r="B16" s="807"/>
      <c r="C16" s="807"/>
      <c r="D16" s="807"/>
      <c r="E16" s="808"/>
      <c r="F16" s="809"/>
      <c r="G16" s="809"/>
      <c r="H16" s="810"/>
      <c r="I16" s="809"/>
      <c r="J16" s="809"/>
      <c r="K16" s="809"/>
    </row>
    <row r="17" spans="1:12" ht="21.95" customHeight="1">
      <c r="A17" s="807"/>
      <c r="B17" s="807"/>
      <c r="C17" s="807"/>
      <c r="D17" s="807"/>
      <c r="E17" s="808"/>
      <c r="F17" s="809"/>
      <c r="G17" s="809"/>
      <c r="H17" s="810"/>
      <c r="I17" s="809"/>
      <c r="J17" s="809"/>
      <c r="K17" s="809"/>
      <c r="L17" s="145" t="str">
        <f t="shared" ref="L17:L80" si="0">IF(AND(A17&lt;&gt;"",E17&lt;&gt;""),TEXT(A17,"000")&amp;"."&amp;E17,"")</f>
        <v/>
      </c>
    </row>
    <row r="18" spans="1:12" ht="21.95" customHeight="1">
      <c r="A18" s="807"/>
      <c r="B18" s="807"/>
      <c r="C18" s="807"/>
      <c r="D18" s="807"/>
      <c r="E18" s="808"/>
      <c r="F18" s="809"/>
      <c r="G18" s="809"/>
      <c r="H18" s="811"/>
      <c r="I18" s="809"/>
      <c r="J18" s="809"/>
      <c r="K18" s="809"/>
      <c r="L18" s="145" t="str">
        <f t="shared" si="0"/>
        <v/>
      </c>
    </row>
    <row r="19" spans="1:12" ht="21.95" customHeight="1">
      <c r="A19" s="807"/>
      <c r="B19" s="807"/>
      <c r="C19" s="807"/>
      <c r="D19" s="807"/>
      <c r="E19" s="809"/>
      <c r="F19" s="809"/>
      <c r="G19" s="809"/>
      <c r="H19" s="811"/>
      <c r="I19" s="809"/>
      <c r="J19" s="809"/>
      <c r="K19" s="809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L22"/>
  <sheetViews>
    <sheetView showGridLines="0" zoomScaleNormal="100" zoomScaleSheetLayoutView="98" workbookViewId="0">
      <pane ySplit="6" topLeftCell="A7" activePane="bottomLeft" state="frozen"/>
      <selection activeCell="I21" sqref="I21"/>
      <selection pane="bottomLeft" activeCell="D12" sqref="D12"/>
    </sheetView>
  </sheetViews>
  <sheetFormatPr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127" customWidth="1"/>
    <col min="6" max="6" width="22.85546875" style="128" customWidth="1"/>
    <col min="7" max="7" width="25.42578125" style="181" customWidth="1"/>
    <col min="8" max="8" width="32.28515625" style="128" bestFit="1" customWidth="1"/>
    <col min="9" max="10" width="16.85546875" style="127" customWidth="1"/>
    <col min="11" max="11" width="23.5703125" style="127" customWidth="1"/>
    <col min="12" max="12" width="19.5703125" style="188" bestFit="1" customWidth="1"/>
    <col min="13" max="16384" width="9.140625" style="128"/>
  </cols>
  <sheetData>
    <row r="1" spans="3:12" ht="6.75" hidden="1" customHeight="1"/>
    <row r="2" spans="3:12" ht="6.75" hidden="1" customHeight="1"/>
    <row r="3" spans="3:12" ht="52.5" customHeight="1">
      <c r="C3" s="2017" t="s">
        <v>312</v>
      </c>
      <c r="D3" s="2017"/>
      <c r="E3" s="2017"/>
      <c r="F3" s="2017"/>
      <c r="G3" s="2017"/>
      <c r="H3" s="2017"/>
      <c r="I3" s="2017"/>
      <c r="J3" s="2017"/>
      <c r="K3" s="2017"/>
    </row>
    <row r="4" spans="3:12" ht="10.5" hidden="1" customHeight="1"/>
    <row r="5" spans="3:12" ht="25.5" customHeight="1">
      <c r="C5" s="1052" t="s">
        <v>277</v>
      </c>
      <c r="D5" s="1052" t="s">
        <v>307</v>
      </c>
      <c r="E5" s="1052" t="s">
        <v>308</v>
      </c>
      <c r="F5" s="1052" t="s">
        <v>309</v>
      </c>
      <c r="G5" s="1052" t="s">
        <v>121</v>
      </c>
      <c r="H5" s="1052" t="s">
        <v>310</v>
      </c>
      <c r="I5" s="1052" t="s">
        <v>123</v>
      </c>
      <c r="J5" s="1052" t="s">
        <v>84</v>
      </c>
      <c r="K5" s="1052" t="s">
        <v>224</v>
      </c>
    </row>
    <row r="6" spans="3:12" ht="18" customHeight="1">
      <c r="C6" s="1053" t="s">
        <v>10</v>
      </c>
      <c r="D6" s="1053" t="s">
        <v>115</v>
      </c>
      <c r="E6" s="1053" t="s">
        <v>116</v>
      </c>
      <c r="F6" s="1053" t="s">
        <v>17</v>
      </c>
      <c r="G6" s="1053" t="s">
        <v>117</v>
      </c>
      <c r="H6" s="1053" t="s">
        <v>118</v>
      </c>
      <c r="I6" s="1053" t="s">
        <v>23</v>
      </c>
      <c r="J6" s="1053" t="s">
        <v>89</v>
      </c>
      <c r="K6" s="1053" t="s">
        <v>1743</v>
      </c>
    </row>
    <row r="7" spans="3:12" ht="24.95" customHeight="1">
      <c r="C7" s="1007">
        <v>1</v>
      </c>
      <c r="D7" s="356" t="s">
        <v>2105</v>
      </c>
      <c r="E7" s="357" t="s">
        <v>3457</v>
      </c>
      <c r="F7" s="358" t="s">
        <v>3461</v>
      </c>
      <c r="G7" s="358"/>
      <c r="H7" s="358"/>
      <c r="I7" s="357"/>
      <c r="J7" s="357"/>
      <c r="K7" s="357"/>
      <c r="L7" s="188" t="str">
        <f>IF(AND(C7&lt;&gt;"",E7&lt;&gt;""),TEXT(C7,"000")&amp;"."&amp;E7&amp;" ("&amp;F7&amp;")","")</f>
        <v>001.ហឿត ចន្ត្រា (HOEURT CHANTRA)</v>
      </c>
    </row>
    <row r="8" spans="3:12" ht="24.95" customHeight="1">
      <c r="C8" s="356">
        <v>2</v>
      </c>
      <c r="D8" s="356" t="s">
        <v>2106</v>
      </c>
      <c r="E8" s="357" t="s">
        <v>3458</v>
      </c>
      <c r="F8" s="358" t="s">
        <v>3460</v>
      </c>
      <c r="G8" s="358"/>
      <c r="H8" s="358"/>
      <c r="I8" s="357"/>
      <c r="J8" s="357"/>
      <c r="K8" s="357"/>
      <c r="L8" s="188" t="str">
        <f t="shared" ref="L8:L22" si="0">IF(AND(C8&lt;&gt;"",E8&lt;&gt;""),TEXT(C8,"000")&amp;"."&amp;E8&amp;" ("&amp;F8&amp;")","")</f>
        <v>002.សម ស៊ីផៃ (SAM SIPHAI)</v>
      </c>
    </row>
    <row r="9" spans="3:12">
      <c r="C9" s="356">
        <v>3</v>
      </c>
      <c r="D9" s="356" t="s">
        <v>2107</v>
      </c>
      <c r="E9" s="357" t="s">
        <v>3459</v>
      </c>
      <c r="F9" s="358" t="s">
        <v>3462</v>
      </c>
      <c r="G9" s="358"/>
      <c r="H9" s="358"/>
      <c r="I9" s="357"/>
      <c r="J9" s="357"/>
      <c r="K9" s="357"/>
      <c r="L9" s="188" t="str">
        <f t="shared" si="0"/>
        <v>003.ប៉ុន ស្រីអូន (PON SREYOUN)</v>
      </c>
    </row>
    <row r="10" spans="3:12" ht="24.95" customHeight="1">
      <c r="C10" s="356"/>
      <c r="D10" s="356"/>
      <c r="E10" s="357"/>
      <c r="F10" s="358"/>
      <c r="G10" s="358"/>
      <c r="H10" s="358"/>
      <c r="I10" s="357"/>
      <c r="J10" s="357"/>
      <c r="K10" s="357"/>
      <c r="L10" s="188" t="str">
        <f t="shared" si="0"/>
        <v/>
      </c>
    </row>
    <row r="11" spans="3:12" ht="24.95" customHeight="1">
      <c r="C11" s="356"/>
      <c r="D11" s="356"/>
      <c r="E11" s="357"/>
      <c r="F11" s="358"/>
      <c r="G11" s="358"/>
      <c r="H11" s="358"/>
      <c r="I11" s="357"/>
      <c r="J11" s="357"/>
      <c r="K11" s="357"/>
      <c r="L11" s="188" t="str">
        <f t="shared" si="0"/>
        <v/>
      </c>
    </row>
    <row r="12" spans="3:12" ht="24.95" customHeight="1">
      <c r="C12" s="356"/>
      <c r="D12" s="356"/>
      <c r="E12" s="357"/>
      <c r="F12" s="358"/>
      <c r="G12" s="358"/>
      <c r="H12" s="358"/>
      <c r="I12" s="357"/>
      <c r="J12" s="357"/>
      <c r="K12" s="357"/>
      <c r="L12" s="188" t="str">
        <f t="shared" si="0"/>
        <v/>
      </c>
    </row>
    <row r="13" spans="3:12">
      <c r="C13" s="356"/>
      <c r="D13" s="356"/>
      <c r="E13" s="357"/>
      <c r="F13" s="358"/>
      <c r="G13" s="358"/>
      <c r="H13" s="358"/>
      <c r="I13" s="357"/>
      <c r="J13" s="357"/>
      <c r="K13" s="357"/>
      <c r="L13" s="188" t="str">
        <f t="shared" si="0"/>
        <v/>
      </c>
    </row>
    <row r="14" spans="3:12">
      <c r="C14" s="356"/>
      <c r="D14" s="356"/>
      <c r="E14" s="357"/>
      <c r="F14" s="358"/>
      <c r="G14" s="358"/>
      <c r="H14" s="358"/>
      <c r="I14" s="357"/>
      <c r="J14" s="357"/>
      <c r="K14" s="357"/>
      <c r="L14" s="188" t="str">
        <f t="shared" si="0"/>
        <v/>
      </c>
    </row>
    <row r="15" spans="3:12">
      <c r="C15" s="356"/>
      <c r="D15" s="356"/>
      <c r="E15" s="357"/>
      <c r="F15" s="358"/>
      <c r="G15" s="359"/>
      <c r="H15" s="358"/>
      <c r="I15" s="357"/>
      <c r="J15" s="357"/>
      <c r="K15" s="357"/>
      <c r="L15" s="188" t="str">
        <f t="shared" si="0"/>
        <v/>
      </c>
    </row>
    <row r="16" spans="3:12">
      <c r="C16" s="356"/>
      <c r="D16" s="356"/>
      <c r="E16" s="357"/>
      <c r="F16" s="358"/>
      <c r="G16" s="359"/>
      <c r="H16" s="358"/>
      <c r="I16" s="357"/>
      <c r="J16" s="357"/>
      <c r="K16" s="357"/>
      <c r="L16" s="188" t="str">
        <f t="shared" si="0"/>
        <v/>
      </c>
    </row>
    <row r="17" spans="3:12">
      <c r="C17" s="356"/>
      <c r="D17" s="356"/>
      <c r="E17" s="357"/>
      <c r="F17" s="358"/>
      <c r="G17" s="359"/>
      <c r="H17" s="358"/>
      <c r="I17" s="357"/>
      <c r="J17" s="357"/>
      <c r="K17" s="357"/>
      <c r="L17" s="188" t="str">
        <f t="shared" si="0"/>
        <v/>
      </c>
    </row>
    <row r="18" spans="3:12">
      <c r="C18" s="356"/>
      <c r="D18" s="356"/>
      <c r="E18" s="357"/>
      <c r="F18" s="358"/>
      <c r="G18" s="359"/>
      <c r="H18" s="358"/>
      <c r="I18" s="357"/>
      <c r="J18" s="357"/>
      <c r="K18" s="357"/>
      <c r="L18" s="188" t="str">
        <f t="shared" si="0"/>
        <v/>
      </c>
    </row>
    <row r="19" spans="3:12">
      <c r="C19" s="356"/>
      <c r="D19" s="356"/>
      <c r="E19" s="357"/>
      <c r="F19" s="358"/>
      <c r="G19" s="359"/>
      <c r="H19" s="358"/>
      <c r="I19" s="357"/>
      <c r="J19" s="357"/>
      <c r="K19" s="357"/>
      <c r="L19" s="188" t="str">
        <f t="shared" si="0"/>
        <v/>
      </c>
    </row>
    <row r="20" spans="3:12">
      <c r="C20" s="356"/>
      <c r="D20" s="356"/>
      <c r="E20" s="357"/>
      <c r="F20" s="358"/>
      <c r="G20" s="359"/>
      <c r="H20" s="358"/>
      <c r="I20" s="357"/>
      <c r="J20" s="357"/>
      <c r="K20" s="357"/>
      <c r="L20" s="188" t="str">
        <f t="shared" si="0"/>
        <v/>
      </c>
    </row>
    <row r="21" spans="3:12">
      <c r="C21" s="356"/>
      <c r="D21" s="356"/>
      <c r="E21" s="357"/>
      <c r="F21" s="358"/>
      <c r="G21" s="359"/>
      <c r="H21" s="358"/>
      <c r="I21" s="357"/>
      <c r="J21" s="357"/>
      <c r="K21" s="357"/>
      <c r="L21" s="188" t="str">
        <f t="shared" si="0"/>
        <v/>
      </c>
    </row>
    <row r="22" spans="3:12">
      <c r="C22" s="356"/>
      <c r="D22" s="356"/>
      <c r="E22" s="357"/>
      <c r="F22" s="358"/>
      <c r="G22" s="359"/>
      <c r="H22" s="358"/>
      <c r="I22" s="357"/>
      <c r="J22" s="357"/>
      <c r="K22" s="357"/>
      <c r="L22" s="188" t="str">
        <f t="shared" si="0"/>
        <v/>
      </c>
    </row>
  </sheetData>
  <mergeCells count="1">
    <mergeCell ref="C3:K3"/>
  </mergeCells>
  <phoneticPr fontId="37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7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F46"/>
  <sheetViews>
    <sheetView showGridLines="0" zoomScale="90" zoomScaleNormal="90" zoomScaleSheetLayoutView="100" workbookViewId="0">
      <selection activeCell="I21" sqref="I21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style="5" customWidth="1"/>
    <col min="4" max="4" width="20.28515625" style="5" customWidth="1"/>
    <col min="5" max="5" width="10" style="2" customWidth="1"/>
    <col min="6" max="6" width="13.28515625" style="264" customWidth="1"/>
    <col min="7" max="7" width="13.85546875" style="1" customWidth="1"/>
    <col min="8" max="8" width="14.85546875" customWidth="1"/>
    <col min="10" max="10" width="13.42578125" style="183" customWidth="1"/>
    <col min="11" max="11" width="14.5703125" customWidth="1"/>
    <col min="12" max="12" width="7.42578125" style="418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style="47" customWidth="1"/>
    <col min="24" max="24" width="4.140625" style="37" customWidth="1"/>
    <col min="25" max="25" width="13.140625" style="37" bestFit="1" customWidth="1"/>
    <col min="26" max="26" width="3.5703125" style="37" customWidth="1"/>
    <col min="29" max="29" width="5.42578125" customWidth="1"/>
    <col min="30" max="30" width="3.5703125" customWidth="1"/>
  </cols>
  <sheetData>
    <row r="1" spans="1:32" ht="29.25">
      <c r="B1" s="2018" t="s">
        <v>97</v>
      </c>
      <c r="C1" s="2018"/>
      <c r="D1" s="2018"/>
      <c r="E1" s="2018"/>
      <c r="F1" s="2018"/>
      <c r="G1" s="2018"/>
      <c r="H1" s="2018"/>
      <c r="J1" s="265"/>
      <c r="K1" s="265"/>
      <c r="Y1" s="47"/>
    </row>
    <row r="2" spans="1:32" ht="41.25" customHeight="1">
      <c r="B2" s="2023" t="s">
        <v>179</v>
      </c>
      <c r="C2" s="2023"/>
      <c r="D2" s="2023"/>
      <c r="E2" s="2023"/>
      <c r="F2" s="2023"/>
      <c r="G2" s="2023"/>
      <c r="H2" s="2023"/>
      <c r="J2" s="266"/>
      <c r="K2" s="266"/>
      <c r="N2" s="1057"/>
      <c r="O2" s="1058" t="str">
        <f>MID(Setting!P14,4,50)</f>
        <v>ឧសភា</v>
      </c>
      <c r="P2" s="1059">
        <f ca="1">TODAY()</f>
        <v>46216</v>
      </c>
      <c r="Q2" s="1060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</row>
    <row r="3" spans="1:32" ht="27.75" customHeight="1">
      <c r="B3" s="1799" t="str">
        <f>"ខែ "&amp;O2&amp;"-2026"</f>
        <v>ខែ ឧសភា-2026</v>
      </c>
      <c r="C3" s="1799"/>
      <c r="D3" s="1799"/>
      <c r="E3" s="1799"/>
      <c r="F3" s="1799"/>
      <c r="G3" s="1799"/>
      <c r="H3" s="1799"/>
      <c r="J3" s="267"/>
      <c r="K3" s="268"/>
      <c r="L3" s="419"/>
      <c r="N3" s="1061"/>
      <c r="O3" s="1062" t="s">
        <v>98</v>
      </c>
      <c r="P3" s="1063" t="s">
        <v>20</v>
      </c>
      <c r="Q3" s="1064" t="str">
        <f>MID(P3,1,2)</f>
        <v>01</v>
      </c>
      <c r="R3" s="186"/>
      <c r="S3" s="186"/>
      <c r="U3" s="184"/>
      <c r="V3" s="184"/>
      <c r="W3" s="184"/>
      <c r="X3" s="184"/>
      <c r="Y3" s="184"/>
      <c r="Z3" s="184"/>
      <c r="AA3" s="184"/>
      <c r="AB3" s="184"/>
      <c r="AC3" s="184"/>
      <c r="AD3" s="184"/>
    </row>
    <row r="4" spans="1:32" s="4" customFormat="1" ht="4.5" customHeight="1">
      <c r="A4"/>
      <c r="C4" s="64"/>
      <c r="D4" s="64"/>
      <c r="E4" s="66"/>
      <c r="F4" s="264"/>
      <c r="G4" s="67"/>
      <c r="J4" s="66"/>
      <c r="K4" s="68"/>
      <c r="L4" s="420"/>
      <c r="N4" s="1065"/>
      <c r="O4" s="1066"/>
      <c r="P4" s="1066"/>
      <c r="Q4" s="1067"/>
      <c r="R4"/>
      <c r="S4"/>
      <c r="T4"/>
      <c r="U4"/>
      <c r="V4"/>
      <c r="W4" s="169"/>
      <c r="X4" s="40"/>
      <c r="Y4" s="40"/>
      <c r="Z4" s="40"/>
    </row>
    <row r="5" spans="1:32" s="3" customFormat="1" ht="27.75" customHeight="1">
      <c r="B5" s="1055" t="s">
        <v>47</v>
      </c>
      <c r="C5" s="2021" t="s">
        <v>263</v>
      </c>
      <c r="D5" s="2022"/>
      <c r="E5" s="1055" t="s">
        <v>152</v>
      </c>
      <c r="F5" s="1055" t="s">
        <v>62</v>
      </c>
      <c r="G5" s="1055" t="str">
        <f>IF(c_invoice_price_type="05","ថ្លៃដើម","តំលៃឯកតា")</f>
        <v>តំលៃឯកតា</v>
      </c>
      <c r="H5" s="1055" t="s">
        <v>99</v>
      </c>
      <c r="J5" s="2025" t="s">
        <v>262</v>
      </c>
      <c r="K5" s="2025"/>
      <c r="L5" s="1069"/>
      <c r="N5" s="2027" t="s">
        <v>100</v>
      </c>
      <c r="O5" s="2028"/>
      <c r="P5" s="2028"/>
      <c r="Q5" s="2029"/>
      <c r="R5"/>
      <c r="S5"/>
      <c r="T5" s="133"/>
      <c r="U5"/>
      <c r="V5" s="121"/>
      <c r="W5" s="13"/>
      <c r="X5" s="13"/>
      <c r="Y5" s="127"/>
      <c r="Z5" s="13"/>
      <c r="AA5" s="13"/>
      <c r="AB5" s="13"/>
      <c r="AC5" s="13"/>
      <c r="AD5" s="13"/>
      <c r="AE5" s="13"/>
    </row>
    <row r="6" spans="1:32" s="126" customFormat="1" ht="20.25" customHeight="1">
      <c r="B6" s="1056" t="s">
        <v>9</v>
      </c>
      <c r="C6" s="2019" t="s">
        <v>264</v>
      </c>
      <c r="D6" s="2020"/>
      <c r="E6" s="1056" t="s">
        <v>76</v>
      </c>
      <c r="F6" s="1056" t="s">
        <v>14</v>
      </c>
      <c r="G6" s="1056" t="s">
        <v>29</v>
      </c>
      <c r="H6" s="1056" t="s">
        <v>94</v>
      </c>
      <c r="J6" s="1068" t="s">
        <v>62</v>
      </c>
      <c r="K6" s="1068" t="s">
        <v>66</v>
      </c>
      <c r="L6" s="1070" t="s">
        <v>1623</v>
      </c>
      <c r="N6" s="2030"/>
      <c r="O6" s="2031"/>
      <c r="P6" s="2031"/>
      <c r="Q6" s="2032"/>
      <c r="U6"/>
      <c r="V6" s="167"/>
      <c r="W6" s="168"/>
      <c r="X6" s="168"/>
      <c r="Y6" s="168"/>
      <c r="Z6" s="168"/>
      <c r="AA6" s="168"/>
      <c r="AB6" s="47"/>
      <c r="AC6"/>
      <c r="AD6"/>
      <c r="AE6"/>
      <c r="AF6"/>
    </row>
    <row r="7" spans="1:32" s="147" customFormat="1" ht="24.75" customHeight="1">
      <c r="B7" s="1054">
        <v>1</v>
      </c>
      <c r="C7" s="2036" t="str">
        <f t="shared" ref="C7:C34" si="0">IFERROR(IF(B7="","",IF(B7=product_name_th,"",MID(N7,4,100))),"")</f>
        <v>01.អំពូលភ្លើង 75W</v>
      </c>
      <c r="D7" s="2037"/>
      <c r="E7" s="571" t="str">
        <f t="shared" ref="E7:E18" si="1">IFERROR(IF(B7&lt;&gt;"",VLOOKUP(B7,inventory_activity_summary_list,8,FALSE),""),"")</f>
        <v/>
      </c>
      <c r="F7" s="551" t="s">
        <v>67</v>
      </c>
      <c r="G7" s="552" t="str">
        <f t="shared" ref="G7:G34" si="2">IFERROR(IF(E7&lt;&gt;"",IF(c_invoice_price_type="01",IF(B7="","",VLOOKUP(MID(N7,1,2),product_list,6,FALSE)),IF(c_invoice_price_type="02",IF(B7="","",VLOOKUP(MID(N7,1,2),product_list,7,FALSE)),IF(c_invoice_price_type="03",IF(B7="","",VLOOKUP(MID(N7,1,2),product_list,8,FALSE)),IF(c_invoice_price_type="04",IF(B7="","",VLOOKUP(MID(N7,1,2),product_list,9,FALSE)),IF(c_invoice_price_type="05",IF(B7="","",VLOOKUP(MID(N7,1,2),product_list,5,FALSE)),"")))) ),""),"")</f>
        <v/>
      </c>
      <c r="H7" s="553" t="str">
        <f t="shared" ref="H7:H34" si="3">IFERROR(E7*G7/K7,"")</f>
        <v/>
      </c>
      <c r="J7" s="555" t="str">
        <f t="shared" ref="J7:J34" si="4">IFERROR(MID(VLOOKUP(MID(N7,1,2),product_list,4,FALSE),4,100),"")</f>
        <v/>
      </c>
      <c r="K7" s="556" t="str">
        <f t="shared" ref="K7:K34" si="5">IFERROR(VLOOKUP(MID(N7,1,2),product_list,11,FALSE),"")</f>
        <v/>
      </c>
      <c r="L7" s="421">
        <v>1</v>
      </c>
      <c r="N7" s="559" t="s">
        <v>1672</v>
      </c>
      <c r="O7" s="560"/>
      <c r="P7" s="560"/>
      <c r="Q7" s="561"/>
      <c r="U7"/>
      <c r="AC7"/>
      <c r="AD7"/>
      <c r="AE7"/>
      <c r="AF7"/>
    </row>
    <row r="8" spans="1:32" s="147" customFormat="1" ht="24.75" customHeight="1">
      <c r="B8" s="550">
        <v>2</v>
      </c>
      <c r="C8" s="2036" t="str">
        <f t="shared" si="0"/>
        <v>02.ឌីសង់តឺ schneder 32A</v>
      </c>
      <c r="D8" s="2037"/>
      <c r="E8" s="571" t="str">
        <f t="shared" si="1"/>
        <v/>
      </c>
      <c r="F8" s="551" t="s">
        <v>67</v>
      </c>
      <c r="G8" s="552" t="str">
        <f t="shared" si="2"/>
        <v/>
      </c>
      <c r="H8" s="553" t="str">
        <f t="shared" si="3"/>
        <v/>
      </c>
      <c r="J8" s="555" t="str">
        <f t="shared" si="4"/>
        <v/>
      </c>
      <c r="K8" s="556" t="str">
        <f t="shared" si="5"/>
        <v/>
      </c>
      <c r="L8" s="421">
        <v>1</v>
      </c>
      <c r="N8" s="2033" t="s">
        <v>1670</v>
      </c>
      <c r="O8" s="2034"/>
      <c r="P8" s="2034"/>
      <c r="Q8" s="2035"/>
      <c r="U8" s="37"/>
      <c r="V8" s="37"/>
      <c r="W8" s="47"/>
      <c r="X8"/>
      <c r="Y8"/>
      <c r="Z8"/>
      <c r="AA8" s="52"/>
      <c r="AB8"/>
      <c r="AC8"/>
      <c r="AD8"/>
      <c r="AE8"/>
      <c r="AF8"/>
    </row>
    <row r="9" spans="1:32" s="147" customFormat="1" ht="24.75" customHeight="1">
      <c r="B9" s="550">
        <v>3</v>
      </c>
      <c r="C9" s="2036" t="str">
        <f t="shared" si="0"/>
        <v>02.ឌីសង់តឺ schneder 32A</v>
      </c>
      <c r="D9" s="2037"/>
      <c r="E9" s="571">
        <f t="shared" si="1"/>
        <v>0</v>
      </c>
      <c r="F9" s="551" t="s">
        <v>68</v>
      </c>
      <c r="G9" s="552" t="str">
        <f t="shared" si="2"/>
        <v/>
      </c>
      <c r="H9" s="553" t="str">
        <f t="shared" si="3"/>
        <v/>
      </c>
      <c r="J9" s="555" t="str">
        <f t="shared" si="4"/>
        <v/>
      </c>
      <c r="K9" s="556" t="str">
        <f t="shared" si="5"/>
        <v/>
      </c>
      <c r="L9" s="421">
        <v>1</v>
      </c>
      <c r="N9" s="2033" t="s">
        <v>1670</v>
      </c>
      <c r="O9" s="2034"/>
      <c r="P9" s="2034"/>
      <c r="Q9" s="2035"/>
      <c r="U9" s="185"/>
      <c r="V9" s="2026"/>
      <c r="W9" s="2026"/>
      <c r="X9" s="36"/>
      <c r="Y9" s="52"/>
      <c r="AA9" s="52"/>
      <c r="AB9" s="52"/>
      <c r="AC9" s="52"/>
      <c r="AD9" s="52"/>
      <c r="AE9" s="52"/>
      <c r="AF9" s="52"/>
    </row>
    <row r="10" spans="1:32" s="147" customFormat="1" ht="24.75" customHeight="1">
      <c r="B10" s="550">
        <v>4</v>
      </c>
      <c r="C10" s="2036" t="str">
        <f t="shared" si="0"/>
        <v>សាប៊ូបោកគក់ 28លីត្រ</v>
      </c>
      <c r="D10" s="2037"/>
      <c r="E10" s="571">
        <f t="shared" si="1"/>
        <v>0</v>
      </c>
      <c r="F10" s="551" t="s">
        <v>68</v>
      </c>
      <c r="G10" s="552" t="str">
        <f t="shared" si="2"/>
        <v/>
      </c>
      <c r="H10" s="553" t="str">
        <f t="shared" si="3"/>
        <v/>
      </c>
      <c r="J10" s="555" t="str">
        <f t="shared" si="4"/>
        <v/>
      </c>
      <c r="K10" s="556" t="str">
        <f t="shared" si="5"/>
        <v/>
      </c>
      <c r="L10" s="421">
        <v>1</v>
      </c>
      <c r="N10" s="2033" t="s">
        <v>233</v>
      </c>
      <c r="O10" s="2034"/>
      <c r="P10" s="2034"/>
      <c r="Q10" s="2035"/>
      <c r="V10" s="172"/>
      <c r="W10" s="173"/>
      <c r="X10" s="171"/>
      <c r="Y10" s="171"/>
      <c r="Z10" s="171"/>
    </row>
    <row r="11" spans="1:32" s="147" customFormat="1" ht="24.75" customHeight="1">
      <c r="B11" s="550">
        <v>5</v>
      </c>
      <c r="C11" s="2036" t="str">
        <f t="shared" si="0"/>
        <v>សាប៊ូលាងចាន 30លីត្រ</v>
      </c>
      <c r="D11" s="2037"/>
      <c r="E11" s="571">
        <f t="shared" si="1"/>
        <v>0</v>
      </c>
      <c r="F11" s="551" t="s">
        <v>68</v>
      </c>
      <c r="G11" s="552" t="str">
        <f t="shared" si="2"/>
        <v/>
      </c>
      <c r="H11" s="553" t="str">
        <f t="shared" si="3"/>
        <v/>
      </c>
      <c r="J11" s="555" t="str">
        <f t="shared" si="4"/>
        <v/>
      </c>
      <c r="K11" s="556" t="str">
        <f t="shared" si="5"/>
        <v/>
      </c>
      <c r="L11" s="421">
        <v>1</v>
      </c>
      <c r="N11" s="2033" t="s">
        <v>236</v>
      </c>
      <c r="O11" s="2034"/>
      <c r="P11" s="2034"/>
      <c r="Q11" s="2035"/>
      <c r="V11" s="172"/>
      <c r="W11" s="173"/>
      <c r="X11" s="171"/>
      <c r="Y11" s="171"/>
      <c r="Z11" s="171"/>
    </row>
    <row r="12" spans="1:32" s="147" customFormat="1" ht="24.75" customHeight="1">
      <c r="B12" s="550">
        <v>6</v>
      </c>
      <c r="C12" s="2036" t="str">
        <f t="shared" si="0"/>
        <v>សាប៊ូបោកគក់ 30លីត្រ</v>
      </c>
      <c r="D12" s="2037"/>
      <c r="E12" s="571">
        <f t="shared" si="1"/>
        <v>0</v>
      </c>
      <c r="F12" s="551" t="s">
        <v>68</v>
      </c>
      <c r="G12" s="552" t="str">
        <f t="shared" si="2"/>
        <v/>
      </c>
      <c r="H12" s="553" t="str">
        <f t="shared" si="3"/>
        <v/>
      </c>
      <c r="J12" s="555" t="str">
        <f t="shared" si="4"/>
        <v/>
      </c>
      <c r="K12" s="556" t="str">
        <f t="shared" si="5"/>
        <v/>
      </c>
      <c r="L12" s="421">
        <v>1</v>
      </c>
      <c r="N12" s="2033" t="s">
        <v>234</v>
      </c>
      <c r="O12" s="2034"/>
      <c r="P12" s="2034"/>
      <c r="Q12" s="2035"/>
      <c r="X12" s="171"/>
      <c r="Y12" s="171"/>
      <c r="Z12" s="171"/>
    </row>
    <row r="13" spans="1:32" s="147" customFormat="1" ht="24.75" customHeight="1">
      <c r="B13" s="550">
        <v>7</v>
      </c>
      <c r="C13" s="2036" t="str">
        <f t="shared" si="0"/>
        <v>ទឹកសម្អាតការ៉ូ 4លីត្រ</v>
      </c>
      <c r="D13" s="2037"/>
      <c r="E13" s="571">
        <f t="shared" si="1"/>
        <v>0</v>
      </c>
      <c r="F13" s="551" t="s">
        <v>67</v>
      </c>
      <c r="G13" s="552" t="str">
        <f t="shared" si="2"/>
        <v/>
      </c>
      <c r="H13" s="553" t="str">
        <f t="shared" si="3"/>
        <v/>
      </c>
      <c r="J13" s="555" t="str">
        <f t="shared" si="4"/>
        <v/>
      </c>
      <c r="K13" s="556" t="str">
        <f t="shared" si="5"/>
        <v/>
      </c>
      <c r="L13" s="421">
        <v>1</v>
      </c>
      <c r="N13" s="2033" t="s">
        <v>230</v>
      </c>
      <c r="O13" s="2034"/>
      <c r="P13" s="2034"/>
      <c r="Q13" s="2035"/>
      <c r="X13" s="171"/>
      <c r="Y13" s="171"/>
      <c r="Z13" s="171"/>
    </row>
    <row r="14" spans="1:32" s="147" customFormat="1" ht="24.75" customHeight="1">
      <c r="B14" s="550">
        <v>8</v>
      </c>
      <c r="C14" s="2036" t="str">
        <f t="shared" si="0"/>
        <v>ទឹកសម្អាតការ៉ូ 28លីត្រ</v>
      </c>
      <c r="D14" s="2037"/>
      <c r="E14" s="571">
        <f t="shared" si="1"/>
        <v>0</v>
      </c>
      <c r="F14" s="551" t="s">
        <v>68</v>
      </c>
      <c r="G14" s="552" t="str">
        <f t="shared" si="2"/>
        <v/>
      </c>
      <c r="H14" s="553" t="str">
        <f t="shared" si="3"/>
        <v/>
      </c>
      <c r="J14" s="555" t="str">
        <f t="shared" si="4"/>
        <v/>
      </c>
      <c r="K14" s="556" t="str">
        <f t="shared" si="5"/>
        <v/>
      </c>
      <c r="L14" s="421">
        <v>1</v>
      </c>
      <c r="N14" s="2033" t="s">
        <v>231</v>
      </c>
      <c r="O14" s="2034"/>
      <c r="P14" s="2034"/>
      <c r="Q14" s="2035"/>
      <c r="X14" s="171"/>
      <c r="Y14" s="171"/>
      <c r="Z14" s="171"/>
    </row>
    <row r="15" spans="1:32" s="147" customFormat="1" ht="24.75" customHeight="1">
      <c r="B15" s="550">
        <v>9</v>
      </c>
      <c r="C15" s="2036" t="str">
        <f t="shared" si="0"/>
        <v>ទឹកសម្អាតការ៉ូ 30លីត្រ</v>
      </c>
      <c r="D15" s="2037"/>
      <c r="E15" s="571">
        <f t="shared" si="1"/>
        <v>0</v>
      </c>
      <c r="F15" s="551" t="s">
        <v>68</v>
      </c>
      <c r="G15" s="552" t="str">
        <f t="shared" si="2"/>
        <v/>
      </c>
      <c r="H15" s="553" t="str">
        <f t="shared" si="3"/>
        <v/>
      </c>
      <c r="J15" s="555" t="str">
        <f t="shared" si="4"/>
        <v/>
      </c>
      <c r="K15" s="556" t="str">
        <f t="shared" si="5"/>
        <v/>
      </c>
      <c r="L15" s="421">
        <v>1</v>
      </c>
      <c r="N15" s="2033" t="s">
        <v>232</v>
      </c>
      <c r="O15" s="2034"/>
      <c r="P15" s="2034"/>
      <c r="Q15" s="2035"/>
      <c r="X15" s="171"/>
      <c r="Y15" s="171"/>
      <c r="Z15" s="171"/>
    </row>
    <row r="16" spans="1:32" s="34" customFormat="1" ht="24.75" customHeight="1">
      <c r="B16" s="550">
        <v>10</v>
      </c>
      <c r="C16" s="2036" t="str">
        <f t="shared" si="0"/>
        <v>សាប៊ូលាងម៉ូតូ ឡាន 4លីត្រ</v>
      </c>
      <c r="D16" s="2037"/>
      <c r="E16" s="571">
        <f t="shared" si="1"/>
        <v>0</v>
      </c>
      <c r="F16" s="551" t="s">
        <v>67</v>
      </c>
      <c r="G16" s="552" t="str">
        <f t="shared" si="2"/>
        <v/>
      </c>
      <c r="H16" s="553" t="str">
        <f t="shared" si="3"/>
        <v/>
      </c>
      <c r="J16" s="555" t="str">
        <f t="shared" si="4"/>
        <v/>
      </c>
      <c r="K16" s="556" t="str">
        <f t="shared" si="5"/>
        <v/>
      </c>
      <c r="L16" s="421">
        <v>1</v>
      </c>
      <c r="M16" s="147"/>
      <c r="N16" s="2033" t="s">
        <v>1620</v>
      </c>
      <c r="O16" s="2034"/>
      <c r="P16" s="2034"/>
      <c r="Q16" s="2035"/>
      <c r="R16" s="147"/>
      <c r="X16" s="42"/>
      <c r="Y16" s="42"/>
      <c r="Z16" s="42"/>
    </row>
    <row r="17" spans="2:23" ht="24.75" customHeight="1">
      <c r="B17" s="550">
        <v>11</v>
      </c>
      <c r="C17" s="2036" t="str">
        <f t="shared" si="0"/>
        <v>សាប៊ូលាងម៉ូតូ ឡាន 28លីត្រ</v>
      </c>
      <c r="D17" s="2037"/>
      <c r="E17" s="571">
        <f t="shared" si="1"/>
        <v>0</v>
      </c>
      <c r="F17" s="551" t="s">
        <v>68</v>
      </c>
      <c r="G17" s="552" t="str">
        <f t="shared" si="2"/>
        <v/>
      </c>
      <c r="H17" s="553" t="str">
        <f>IFERROR(E17*G17/K17,"")</f>
        <v/>
      </c>
      <c r="J17" s="555" t="str">
        <f t="shared" si="4"/>
        <v/>
      </c>
      <c r="K17" s="556" t="str">
        <f t="shared" si="5"/>
        <v/>
      </c>
      <c r="L17" s="421">
        <v>1</v>
      </c>
      <c r="M17" s="147"/>
      <c r="N17" s="2033" t="s">
        <v>1621</v>
      </c>
      <c r="O17" s="2034"/>
      <c r="P17" s="2034"/>
      <c r="Q17" s="2035"/>
      <c r="R17" s="147"/>
    </row>
    <row r="18" spans="2:23" ht="24.75" customHeight="1">
      <c r="B18" s="550">
        <v>12</v>
      </c>
      <c r="C18" s="2036" t="str">
        <f t="shared" si="0"/>
        <v>សាប៊ូលាងម៉ូតូ ឡាន 30លីត្រ</v>
      </c>
      <c r="D18" s="2037"/>
      <c r="E18" s="571">
        <f t="shared" si="1"/>
        <v>0</v>
      </c>
      <c r="F18" s="551" t="s">
        <v>68</v>
      </c>
      <c r="G18" s="552" t="str">
        <f t="shared" si="2"/>
        <v/>
      </c>
      <c r="H18" s="553" t="str">
        <f t="shared" si="3"/>
        <v/>
      </c>
      <c r="J18" s="555" t="str">
        <f t="shared" si="4"/>
        <v/>
      </c>
      <c r="K18" s="556" t="str">
        <f t="shared" si="5"/>
        <v/>
      </c>
      <c r="L18" s="421">
        <v>1</v>
      </c>
      <c r="M18" s="147"/>
      <c r="N18" s="2033" t="s">
        <v>1622</v>
      </c>
      <c r="O18" s="2034"/>
      <c r="P18" s="2034"/>
      <c r="Q18" s="2035"/>
      <c r="R18" s="147"/>
    </row>
    <row r="19" spans="2:23" ht="24.75" customHeight="1">
      <c r="B19" s="550">
        <v>13</v>
      </c>
      <c r="C19" s="2036" t="str">
        <f t="shared" ref="C19:C27" si="6">IFERROR(IF(B19="","",IF(B19=product_name_th,"",MID(N19,4,100))),"")</f>
        <v>អាស៊ីតខ្លាញ់ (ទឹកខ្មៅ)</v>
      </c>
      <c r="D19" s="2037"/>
      <c r="E19" s="427"/>
      <c r="F19" s="551" t="s">
        <v>70</v>
      </c>
      <c r="G19" s="552" t="str">
        <f t="shared" si="2"/>
        <v/>
      </c>
      <c r="H19" s="553" t="str">
        <f t="shared" si="3"/>
        <v/>
      </c>
      <c r="J19" s="555" t="str">
        <f t="shared" si="4"/>
        <v/>
      </c>
      <c r="K19" s="556" t="str">
        <f t="shared" ref="K19:K24" si="7">IFERROR(VLOOKUP(MID(N22,1,2),product_list,11,FALSE),"")</f>
        <v/>
      </c>
      <c r="L19" s="421">
        <v>2</v>
      </c>
      <c r="M19" s="147"/>
      <c r="N19" s="562" t="s">
        <v>317</v>
      </c>
      <c r="O19" s="158"/>
      <c r="P19" s="158"/>
      <c r="Q19" s="563"/>
      <c r="R19" s="147"/>
    </row>
    <row r="20" spans="2:23" ht="24.75" customHeight="1">
      <c r="B20" s="550">
        <v>14</v>
      </c>
      <c r="C20" s="2036" t="str">
        <f t="shared" si="6"/>
        <v>អ៊ីដ្រុកស៊ីអេទីលសែលលុយឡូស (ពពុះសាប៊ូ)</v>
      </c>
      <c r="D20" s="2037"/>
      <c r="E20" s="427"/>
      <c r="F20" s="551" t="s">
        <v>69</v>
      </c>
      <c r="G20" s="552" t="str">
        <f t="shared" si="2"/>
        <v/>
      </c>
      <c r="H20" s="553" t="str">
        <f t="shared" si="3"/>
        <v/>
      </c>
      <c r="J20" s="555" t="str">
        <f t="shared" si="4"/>
        <v/>
      </c>
      <c r="K20" s="556" t="str">
        <f t="shared" si="7"/>
        <v/>
      </c>
      <c r="L20" s="421">
        <v>2</v>
      </c>
      <c r="M20" s="147"/>
      <c r="N20" s="559" t="s">
        <v>313</v>
      </c>
      <c r="O20" s="560"/>
      <c r="P20" s="560"/>
      <c r="Q20" s="561"/>
      <c r="R20" s="147"/>
    </row>
    <row r="21" spans="2:23" ht="24.75" customHeight="1">
      <c r="B21" s="550">
        <v>15</v>
      </c>
      <c r="C21" s="2036" t="str">
        <f t="shared" si="6"/>
        <v>សូដ្យូមអាល់គីលបង់សែនស៊ុលផូណាត (ម្សៅខាប់)</v>
      </c>
      <c r="D21" s="2037"/>
      <c r="E21" s="427"/>
      <c r="F21" s="551" t="s">
        <v>69</v>
      </c>
      <c r="G21" s="552" t="str">
        <f t="shared" si="2"/>
        <v/>
      </c>
      <c r="H21" s="553" t="str">
        <f t="shared" si="3"/>
        <v/>
      </c>
      <c r="J21" s="555" t="str">
        <f t="shared" si="4"/>
        <v/>
      </c>
      <c r="K21" s="556" t="str">
        <f t="shared" si="7"/>
        <v/>
      </c>
      <c r="L21" s="421">
        <v>2</v>
      </c>
      <c r="M21" s="147"/>
      <c r="N21" s="559" t="s">
        <v>314</v>
      </c>
      <c r="O21" s="560"/>
      <c r="P21" s="560"/>
      <c r="Q21" s="561"/>
      <c r="R21" s="147"/>
      <c r="V21" s="47"/>
    </row>
    <row r="22" spans="2:23" ht="24.75" customHeight="1">
      <c r="B22" s="550">
        <v>16</v>
      </c>
      <c r="C22" s="2036" t="str">
        <f t="shared" si="6"/>
        <v>សូដ្យូមអ៊ីដ្រុកស៊ីត (កូស្ទិច)</v>
      </c>
      <c r="D22" s="2037"/>
      <c r="E22" s="427"/>
      <c r="F22" s="551" t="s">
        <v>69</v>
      </c>
      <c r="G22" s="552" t="str">
        <f t="shared" si="2"/>
        <v/>
      </c>
      <c r="H22" s="553" t="str">
        <f t="shared" si="3"/>
        <v/>
      </c>
      <c r="J22" s="555" t="str">
        <f t="shared" si="4"/>
        <v/>
      </c>
      <c r="K22" s="556" t="str">
        <f t="shared" si="7"/>
        <v/>
      </c>
      <c r="L22" s="421">
        <v>2</v>
      </c>
      <c r="M22" s="147"/>
      <c r="N22" s="559" t="s">
        <v>315</v>
      </c>
      <c r="O22" s="560"/>
      <c r="P22" s="560"/>
      <c r="Q22" s="561"/>
      <c r="R22" s="147"/>
    </row>
    <row r="23" spans="2:23" ht="24.75" customHeight="1">
      <c r="B23" s="550">
        <v>17</v>
      </c>
      <c r="C23" s="2036" t="str">
        <f t="shared" si="6"/>
        <v>សូដ្យូមស៊ុលផាត (អំបិល)</v>
      </c>
      <c r="D23" s="2037"/>
      <c r="E23" s="427"/>
      <c r="F23" s="551" t="s">
        <v>69</v>
      </c>
      <c r="G23" s="552" t="str">
        <f t="shared" si="2"/>
        <v/>
      </c>
      <c r="H23" s="553" t="str">
        <f t="shared" si="3"/>
        <v/>
      </c>
      <c r="J23" s="555" t="str">
        <f t="shared" si="4"/>
        <v/>
      </c>
      <c r="K23" s="556" t="str">
        <f t="shared" si="7"/>
        <v/>
      </c>
      <c r="L23" s="421">
        <v>2</v>
      </c>
      <c r="M23" s="147"/>
      <c r="N23" s="559" t="s">
        <v>316</v>
      </c>
      <c r="O23" s="560"/>
      <c r="P23" s="560"/>
      <c r="Q23" s="561"/>
      <c r="R23" s="147"/>
      <c r="W23"/>
    </row>
    <row r="24" spans="2:23" ht="24.75" customHeight="1">
      <c r="B24" s="550">
        <v>18</v>
      </c>
      <c r="C24" s="2036" t="str">
        <f t="shared" si="6"/>
        <v>ក្លឹន សាន់លីត្រ</v>
      </c>
      <c r="D24" s="2037"/>
      <c r="E24" s="427"/>
      <c r="F24" s="551" t="s">
        <v>70</v>
      </c>
      <c r="G24" s="552" t="str">
        <f t="shared" si="2"/>
        <v/>
      </c>
      <c r="H24" s="553" t="str">
        <f t="shared" si="3"/>
        <v/>
      </c>
      <c r="J24" s="555" t="str">
        <f t="shared" si="4"/>
        <v/>
      </c>
      <c r="K24" s="556" t="str">
        <f t="shared" si="7"/>
        <v/>
      </c>
      <c r="L24" s="421">
        <v>2</v>
      </c>
      <c r="M24" s="147"/>
      <c r="N24" s="559" t="s">
        <v>72</v>
      </c>
      <c r="O24" s="560"/>
      <c r="P24" s="560"/>
      <c r="Q24" s="561"/>
      <c r="R24" s="147"/>
    </row>
    <row r="25" spans="2:23" ht="21.95" customHeight="1">
      <c r="B25" s="550">
        <v>19</v>
      </c>
      <c r="C25" s="2036" t="str">
        <f t="shared" si="6"/>
        <v>ក្លិន ហ្រ្វេសរ៉ូមែនស៍</v>
      </c>
      <c r="D25" s="2037"/>
      <c r="E25" s="427"/>
      <c r="F25" s="551" t="s">
        <v>70</v>
      </c>
      <c r="G25" s="552" t="str">
        <f t="shared" si="2"/>
        <v/>
      </c>
      <c r="H25" s="553" t="str">
        <f t="shared" si="3"/>
        <v/>
      </c>
      <c r="J25" s="555" t="str">
        <f t="shared" si="4"/>
        <v/>
      </c>
      <c r="K25" s="556">
        <v>1</v>
      </c>
      <c r="L25" s="421">
        <v>2</v>
      </c>
      <c r="M25" s="147"/>
      <c r="N25" s="559" t="s">
        <v>318</v>
      </c>
      <c r="O25" s="560"/>
      <c r="P25" s="560"/>
      <c r="Q25" s="561"/>
      <c r="R25" s="147"/>
    </row>
    <row r="26" spans="2:23" ht="21.95" customHeight="1">
      <c r="B26" s="550">
        <v>20</v>
      </c>
      <c r="C26" s="2036" t="str">
        <f t="shared" si="6"/>
        <v>ក្លិន​ ហ្រ្វេសរ៉ូសម៉ារី</v>
      </c>
      <c r="D26" s="2037"/>
      <c r="E26" s="427"/>
      <c r="F26" s="551" t="s">
        <v>70</v>
      </c>
      <c r="G26" s="552" t="str">
        <f t="shared" si="2"/>
        <v/>
      </c>
      <c r="H26" s="553" t="str">
        <f t="shared" si="3"/>
        <v/>
      </c>
      <c r="J26" s="555" t="str">
        <f t="shared" si="4"/>
        <v/>
      </c>
      <c r="K26" s="556">
        <v>1</v>
      </c>
      <c r="L26" s="421">
        <v>2</v>
      </c>
      <c r="M26" s="147"/>
      <c r="N26" s="559" t="s">
        <v>319</v>
      </c>
      <c r="O26" s="560"/>
      <c r="P26" s="560"/>
      <c r="Q26" s="561"/>
      <c r="R26" s="147"/>
    </row>
    <row r="27" spans="2:23" ht="21.95" customHeight="1">
      <c r="B27" s="550">
        <v>21</v>
      </c>
      <c r="C27" s="2036" t="str">
        <f t="shared" si="6"/>
        <v>ទឹកជំនួយពពុះ</v>
      </c>
      <c r="D27" s="2037"/>
      <c r="E27" s="427"/>
      <c r="F27" s="551" t="s">
        <v>70</v>
      </c>
      <c r="G27" s="552" t="str">
        <f t="shared" si="2"/>
        <v/>
      </c>
      <c r="H27" s="553" t="str">
        <f t="shared" si="3"/>
        <v/>
      </c>
      <c r="J27" s="555" t="str">
        <f t="shared" si="4"/>
        <v/>
      </c>
      <c r="K27" s="556">
        <v>1</v>
      </c>
      <c r="L27" s="421">
        <v>2</v>
      </c>
      <c r="M27" s="147"/>
      <c r="N27" s="559" t="s">
        <v>73</v>
      </c>
      <c r="O27" s="560"/>
      <c r="P27" s="560"/>
      <c r="Q27" s="561"/>
      <c r="R27" s="147"/>
    </row>
    <row r="28" spans="2:23" ht="21.95" hidden="1" customHeight="1">
      <c r="B28" s="550"/>
      <c r="C28" s="2036" t="str">
        <f t="shared" si="0"/>
        <v/>
      </c>
      <c r="D28" s="2037"/>
      <c r="E28" s="427"/>
      <c r="F28" s="551"/>
      <c r="G28" s="552" t="str">
        <f t="shared" si="2"/>
        <v/>
      </c>
      <c r="H28" s="553" t="str">
        <f t="shared" si="3"/>
        <v/>
      </c>
      <c r="J28" s="555" t="str">
        <f t="shared" si="4"/>
        <v/>
      </c>
      <c r="K28" s="556" t="str">
        <f t="shared" si="5"/>
        <v/>
      </c>
      <c r="L28" s="418">
        <v>0</v>
      </c>
      <c r="M28" s="147"/>
      <c r="N28" s="559"/>
      <c r="O28" s="560"/>
      <c r="P28" s="560"/>
      <c r="Q28" s="561"/>
      <c r="R28" s="147"/>
    </row>
    <row r="29" spans="2:23" ht="21.95" hidden="1" customHeight="1">
      <c r="B29" s="550"/>
      <c r="C29" s="2036" t="str">
        <f t="shared" si="0"/>
        <v/>
      </c>
      <c r="D29" s="2037"/>
      <c r="E29" s="427"/>
      <c r="F29" s="551"/>
      <c r="G29" s="552" t="str">
        <f t="shared" si="2"/>
        <v/>
      </c>
      <c r="H29" s="553" t="str">
        <f t="shared" si="3"/>
        <v/>
      </c>
      <c r="J29" s="555" t="str">
        <f t="shared" si="4"/>
        <v/>
      </c>
      <c r="K29" s="556" t="str">
        <f t="shared" si="5"/>
        <v/>
      </c>
      <c r="L29" s="418">
        <v>0</v>
      </c>
      <c r="M29" s="147"/>
      <c r="N29" s="559"/>
      <c r="O29" s="560"/>
      <c r="P29" s="560"/>
      <c r="Q29" s="561"/>
      <c r="R29" s="147"/>
    </row>
    <row r="30" spans="2:23" ht="21.95" hidden="1" customHeight="1">
      <c r="B30" s="550"/>
      <c r="C30" s="2036" t="str">
        <f t="shared" si="0"/>
        <v/>
      </c>
      <c r="D30" s="2037"/>
      <c r="E30" s="427"/>
      <c r="F30" s="551"/>
      <c r="G30" s="552" t="str">
        <f t="shared" si="2"/>
        <v/>
      </c>
      <c r="H30" s="553" t="str">
        <f t="shared" si="3"/>
        <v/>
      </c>
      <c r="J30" s="555" t="str">
        <f t="shared" si="4"/>
        <v/>
      </c>
      <c r="K30" s="556" t="str">
        <f t="shared" si="5"/>
        <v/>
      </c>
      <c r="L30" s="418">
        <v>0</v>
      </c>
      <c r="M30" s="147"/>
      <c r="N30" s="559"/>
      <c r="O30" s="560"/>
      <c r="P30" s="560"/>
      <c r="Q30" s="561"/>
      <c r="R30" s="147"/>
    </row>
    <row r="31" spans="2:23" ht="21.95" hidden="1" customHeight="1">
      <c r="B31" s="550"/>
      <c r="C31" s="2036" t="str">
        <f t="shared" si="0"/>
        <v/>
      </c>
      <c r="D31" s="2037"/>
      <c r="E31" s="427"/>
      <c r="F31" s="551"/>
      <c r="G31" s="552" t="str">
        <f t="shared" si="2"/>
        <v/>
      </c>
      <c r="H31" s="553" t="str">
        <f t="shared" si="3"/>
        <v/>
      </c>
      <c r="J31" s="555" t="str">
        <f t="shared" si="4"/>
        <v/>
      </c>
      <c r="K31" s="556" t="str">
        <f t="shared" si="5"/>
        <v/>
      </c>
      <c r="L31" s="418">
        <v>0</v>
      </c>
      <c r="M31" s="147"/>
      <c r="N31" s="559"/>
      <c r="O31" s="560"/>
      <c r="P31" s="560"/>
      <c r="Q31" s="561"/>
      <c r="R31" s="147"/>
    </row>
    <row r="32" spans="2:23" ht="21.95" hidden="1" customHeight="1">
      <c r="B32" s="550"/>
      <c r="C32" s="2036" t="str">
        <f t="shared" si="0"/>
        <v/>
      </c>
      <c r="D32" s="2037"/>
      <c r="E32" s="427"/>
      <c r="F32" s="551"/>
      <c r="G32" s="552" t="str">
        <f t="shared" si="2"/>
        <v/>
      </c>
      <c r="H32" s="553" t="str">
        <f t="shared" si="3"/>
        <v/>
      </c>
      <c r="J32" s="555" t="str">
        <f t="shared" si="4"/>
        <v/>
      </c>
      <c r="K32" s="556" t="str">
        <f t="shared" si="5"/>
        <v/>
      </c>
      <c r="L32" s="418">
        <v>0</v>
      </c>
      <c r="M32" s="147"/>
      <c r="N32" s="559"/>
      <c r="O32" s="560"/>
      <c r="P32" s="560"/>
      <c r="Q32" s="561"/>
      <c r="R32" s="147"/>
    </row>
    <row r="33" spans="2:18" ht="21.95" hidden="1" customHeight="1">
      <c r="B33" s="550"/>
      <c r="C33" s="2036" t="str">
        <f t="shared" si="0"/>
        <v/>
      </c>
      <c r="D33" s="2037"/>
      <c r="E33" s="427"/>
      <c r="F33" s="551"/>
      <c r="G33" s="552" t="str">
        <f t="shared" si="2"/>
        <v/>
      </c>
      <c r="H33" s="553" t="str">
        <f t="shared" si="3"/>
        <v/>
      </c>
      <c r="J33" s="555" t="str">
        <f t="shared" si="4"/>
        <v/>
      </c>
      <c r="K33" s="556" t="str">
        <f t="shared" si="5"/>
        <v/>
      </c>
      <c r="L33" s="418">
        <v>0</v>
      </c>
      <c r="M33" s="147"/>
      <c r="N33" s="559"/>
      <c r="O33" s="560"/>
      <c r="P33" s="560"/>
      <c r="Q33" s="561"/>
      <c r="R33" s="147"/>
    </row>
    <row r="34" spans="2:18" ht="21.95" hidden="1" customHeight="1">
      <c r="B34" s="550"/>
      <c r="C34" s="2036" t="str">
        <f t="shared" si="0"/>
        <v/>
      </c>
      <c r="D34" s="2037"/>
      <c r="E34" s="427"/>
      <c r="F34" s="551"/>
      <c r="G34" s="552" t="str">
        <f t="shared" si="2"/>
        <v/>
      </c>
      <c r="H34" s="553" t="str">
        <f t="shared" si="3"/>
        <v/>
      </c>
      <c r="J34" s="555" t="str">
        <f t="shared" si="4"/>
        <v/>
      </c>
      <c r="K34" s="556" t="str">
        <f t="shared" si="5"/>
        <v/>
      </c>
      <c r="L34" s="418">
        <v>0</v>
      </c>
      <c r="M34" s="147"/>
      <c r="N34" s="559"/>
      <c r="O34" s="560"/>
      <c r="P34" s="560"/>
      <c r="Q34" s="561"/>
      <c r="R34" s="147"/>
    </row>
    <row r="35" spans="2:18" ht="26.25" customHeight="1">
      <c r="B35" s="2024" t="s">
        <v>101</v>
      </c>
      <c r="C35" s="2024"/>
      <c r="D35" s="2024"/>
      <c r="E35" s="2024"/>
      <c r="F35" s="2024"/>
      <c r="G35" s="2024"/>
      <c r="H35" s="554">
        <f>IFERROR(ROUND(SUM(H7:H34)/100,0)*100,"")</f>
        <v>0</v>
      </c>
      <c r="J35" s="557"/>
      <c r="K35" s="558"/>
      <c r="L35" s="422"/>
      <c r="N35" s="564"/>
      <c r="O35" s="565"/>
      <c r="P35" s="565"/>
      <c r="Q35" s="566"/>
    </row>
    <row r="36" spans="2:18" ht="21.95" customHeight="1">
      <c r="B36" s="5"/>
      <c r="E36" s="8"/>
      <c r="G36" s="6"/>
      <c r="H36" s="5"/>
      <c r="K36" s="5"/>
      <c r="L36" s="422"/>
    </row>
    <row r="37" spans="2:18" ht="21.95" customHeight="1">
      <c r="B37" s="5"/>
      <c r="E37" s="8"/>
      <c r="G37" s="6"/>
      <c r="H37" s="5"/>
      <c r="K37" s="5"/>
      <c r="L37" s="422"/>
    </row>
    <row r="38" spans="2:18" ht="21.95" customHeight="1">
      <c r="B38" s="5"/>
      <c r="E38" s="8"/>
      <c r="G38" s="6"/>
      <c r="H38" s="5"/>
      <c r="K38" s="5"/>
      <c r="L38" s="422"/>
    </row>
    <row r="39" spans="2:18" ht="21.95" customHeight="1">
      <c r="B39" s="5"/>
      <c r="E39" s="8"/>
      <c r="G39" s="6"/>
      <c r="H39" s="5"/>
      <c r="K39" s="5"/>
      <c r="L39" s="422"/>
    </row>
    <row r="40" spans="2:18" ht="21.95" customHeight="1">
      <c r="B40" s="5"/>
      <c r="E40" s="8"/>
      <c r="G40" s="6"/>
      <c r="H40" s="5"/>
      <c r="K40" s="5"/>
      <c r="L40" s="422"/>
    </row>
    <row r="41" spans="2:18" ht="21.95" customHeight="1">
      <c r="B41" s="5"/>
      <c r="E41" s="8"/>
      <c r="G41" s="6"/>
      <c r="H41" s="5"/>
      <c r="K41" s="5"/>
      <c r="L41" s="422"/>
    </row>
    <row r="42" spans="2:18" ht="21.95" customHeight="1">
      <c r="B42" s="5"/>
      <c r="E42" s="8"/>
      <c r="G42" s="6"/>
      <c r="H42" s="5"/>
      <c r="K42" s="5"/>
      <c r="L42" s="422"/>
    </row>
    <row r="43" spans="2:18" ht="21.95" customHeight="1">
      <c r="B43" s="5"/>
      <c r="E43" s="8"/>
      <c r="G43" s="6"/>
      <c r="H43" s="5"/>
      <c r="K43" s="5"/>
      <c r="L43" s="422"/>
    </row>
    <row r="44" spans="2:18" ht="21.95" customHeight="1">
      <c r="B44" s="5"/>
      <c r="E44" s="8"/>
      <c r="G44" s="6"/>
      <c r="H44" s="5"/>
      <c r="K44" s="5"/>
      <c r="L44" s="422"/>
    </row>
    <row r="45" spans="2:18" ht="20.100000000000001" customHeight="1">
      <c r="B45" s="5"/>
      <c r="E45" s="8"/>
      <c r="G45" s="6"/>
      <c r="H45" s="5"/>
      <c r="K45" s="5"/>
      <c r="L45" s="422"/>
    </row>
    <row r="46" spans="2:18" ht="20.100000000000001" customHeight="1">
      <c r="B46" s="5"/>
      <c r="E46" s="8"/>
      <c r="G46" s="6"/>
      <c r="H46" s="5"/>
      <c r="K46" s="5"/>
      <c r="L46" s="422"/>
    </row>
  </sheetData>
  <mergeCells count="48">
    <mergeCell ref="C33:D33"/>
    <mergeCell ref="C34:D34"/>
    <mergeCell ref="C27:D27"/>
    <mergeCell ref="C28:D28"/>
    <mergeCell ref="C29:D29"/>
    <mergeCell ref="C30:D30"/>
    <mergeCell ref="C31:D31"/>
    <mergeCell ref="C23:D23"/>
    <mergeCell ref="C24:D24"/>
    <mergeCell ref="C25:D25"/>
    <mergeCell ref="C26:D26"/>
    <mergeCell ref="C32:D32"/>
    <mergeCell ref="C18:D18"/>
    <mergeCell ref="C19:D19"/>
    <mergeCell ref="C20:D20"/>
    <mergeCell ref="C21:D21"/>
    <mergeCell ref="C22:D22"/>
    <mergeCell ref="C13:D13"/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B35:G35"/>
    <mergeCell ref="J5:K5"/>
    <mergeCell ref="V9:W9"/>
    <mergeCell ref="N5:Q6"/>
    <mergeCell ref="N8:Q8"/>
    <mergeCell ref="N9:Q9"/>
    <mergeCell ref="N16:Q16"/>
    <mergeCell ref="N17:Q17"/>
    <mergeCell ref="N18:Q18"/>
    <mergeCell ref="N10:Q10"/>
    <mergeCell ref="N11:Q11"/>
    <mergeCell ref="N12:Q12"/>
    <mergeCell ref="N13:Q13"/>
    <mergeCell ref="N14:Q14"/>
    <mergeCell ref="N15:Q15"/>
    <mergeCell ref="C7:D7"/>
    <mergeCell ref="B1:H1"/>
    <mergeCell ref="B3:H3"/>
    <mergeCell ref="C6:D6"/>
    <mergeCell ref="C5:D5"/>
    <mergeCell ref="B2:H2"/>
  </mergeCells>
  <dataValidations count="4">
    <dataValidation type="list" allowBlank="1" showInputMessage="1" showErrorMessage="1" sqref="P3" xr:uid="{00000000-0002-0000-0900-000000000000}">
      <formula1>price_type_option</formula1>
    </dataValidation>
    <dataValidation type="list" allowBlank="1" showInputMessage="1" showErrorMessage="1" sqref="N2" xr:uid="{00000000-0002-0000-0900-000002000000}">
      <formula1>week_option</formula1>
    </dataValidation>
    <dataValidation type="list" allowBlank="1" showInputMessage="1" showErrorMessage="1" sqref="F7:F27 G7:G34" xr:uid="{13F524DE-1820-40A6-936F-D21C4A28D6D2}">
      <formula1>uom_option</formula1>
    </dataValidation>
    <dataValidation type="list" allowBlank="1" showInputMessage="1" showErrorMessage="1" sqref="N7:N35" xr:uid="{00000000-0002-0000-0900-000001000000}">
      <formula1>product_name_option</formula1>
    </dataValidation>
  </dataValidations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W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L24" sqref="L24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255" bestFit="1" customWidth="1"/>
    <col min="30" max="30" width="2.85546875" customWidth="1"/>
    <col min="31" max="45" width="5.7109375" customWidth="1"/>
    <col min="46" max="46" width="21" bestFit="1" customWidth="1"/>
  </cols>
  <sheetData>
    <row r="1" spans="3:49" ht="10.5" hidden="1" customHeight="1"/>
    <row r="2" spans="3:49" ht="5.25" customHeight="1"/>
    <row r="3" spans="3:49" s="352" customFormat="1" ht="60.75">
      <c r="C3" s="2038" t="s">
        <v>424</v>
      </c>
      <c r="D3" s="2038"/>
      <c r="E3" s="2038"/>
      <c r="F3" s="2038"/>
      <c r="G3" s="2038"/>
      <c r="H3" s="2038"/>
      <c r="I3" s="2038"/>
      <c r="J3" s="2038"/>
      <c r="K3" s="2038"/>
      <c r="L3" s="2038"/>
      <c r="M3" s="2038"/>
      <c r="N3" s="2038"/>
      <c r="O3" s="2038"/>
      <c r="P3" s="2038"/>
      <c r="Q3" s="2038"/>
      <c r="R3" s="2038"/>
      <c r="S3" s="2038"/>
      <c r="T3" s="2038"/>
      <c r="U3" s="2038"/>
      <c r="V3" s="2038"/>
      <c r="AC3" s="684"/>
    </row>
    <row r="4" spans="3:49" ht="3" customHeight="1"/>
    <row r="5" spans="3:49" ht="24.95" hidden="1" customHeight="1"/>
    <row r="6" spans="3:49" ht="36.75">
      <c r="C6" s="2047" t="s">
        <v>1602</v>
      </c>
      <c r="D6" s="2048"/>
      <c r="E6" s="2048"/>
      <c r="F6" s="2048"/>
      <c r="G6" s="2048"/>
      <c r="H6" s="2049"/>
      <c r="K6" s="126"/>
      <c r="L6" s="1050" t="s">
        <v>178</v>
      </c>
      <c r="M6" s="1051"/>
      <c r="N6" s="2040" t="s">
        <v>81</v>
      </c>
      <c r="O6" s="2041"/>
      <c r="P6" s="2041"/>
      <c r="Q6" s="2041"/>
      <c r="R6" s="2042"/>
      <c r="S6"/>
      <c r="T6" s="2040" t="s">
        <v>776</v>
      </c>
      <c r="U6" s="2041"/>
      <c r="V6" s="2042"/>
    </row>
    <row r="7" spans="3:49" ht="24.95" customHeight="1">
      <c r="C7" s="983" t="s">
        <v>47</v>
      </c>
      <c r="D7" s="983" t="s">
        <v>753</v>
      </c>
      <c r="E7" s="983" t="s">
        <v>309</v>
      </c>
      <c r="F7" s="983" t="s">
        <v>754</v>
      </c>
      <c r="G7" s="983" t="s">
        <v>755</v>
      </c>
      <c r="H7" s="983" t="s">
        <v>756</v>
      </c>
      <c r="I7" s="127"/>
      <c r="J7" s="127"/>
      <c r="K7" s="211"/>
      <c r="L7" s="1036" t="s">
        <v>1687</v>
      </c>
      <c r="M7"/>
      <c r="N7" s="1036" t="s">
        <v>1659</v>
      </c>
      <c r="O7" s="1036" t="s">
        <v>1683</v>
      </c>
      <c r="P7" s="1036" t="s">
        <v>1688</v>
      </c>
      <c r="Q7" s="1036" t="s">
        <v>1689</v>
      </c>
      <c r="R7" s="1036"/>
      <c r="S7" s="129"/>
      <c r="T7" s="1202" t="s">
        <v>1659</v>
      </c>
      <c r="U7" s="1202" t="s">
        <v>1683</v>
      </c>
      <c r="V7" s="1202" t="s">
        <v>1686</v>
      </c>
      <c r="AC7" s="255" t="s">
        <v>1961</v>
      </c>
      <c r="AE7" s="883" t="str">
        <f>D9</f>
        <v>គោកស្នួល ខនស្រ្តាក់សិន មេធៀរៀល</v>
      </c>
      <c r="AF7" s="1048"/>
      <c r="AG7" s="1049"/>
      <c r="AH7" s="1049"/>
      <c r="AI7" s="1049"/>
      <c r="AJ7" s="1049"/>
      <c r="AK7" s="1049"/>
      <c r="AL7" s="1049"/>
      <c r="AM7" s="1049"/>
      <c r="AN7" s="1049"/>
      <c r="AO7" s="13"/>
      <c r="AP7" s="13"/>
      <c r="AQ7" s="13"/>
      <c r="AR7" s="13"/>
    </row>
    <row r="8" spans="3:49" ht="24.95" customHeight="1">
      <c r="C8" s="901" t="s">
        <v>10</v>
      </c>
      <c r="D8" s="901" t="s">
        <v>12</v>
      </c>
      <c r="E8" s="901" t="s">
        <v>750</v>
      </c>
      <c r="F8" s="901" t="s">
        <v>751</v>
      </c>
      <c r="G8" s="901" t="s">
        <v>1908</v>
      </c>
      <c r="H8" s="901" t="s">
        <v>752</v>
      </c>
      <c r="I8" s="121"/>
      <c r="J8" s="121"/>
      <c r="K8" s="211"/>
      <c r="L8" s="274" t="s">
        <v>15</v>
      </c>
      <c r="M8"/>
      <c r="N8" s="273">
        <v>1</v>
      </c>
      <c r="O8" s="274" t="s">
        <v>226</v>
      </c>
      <c r="P8" s="389" t="str">
        <f ca="1">R14</f>
        <v>01/05/2026</v>
      </c>
      <c r="Q8" s="389">
        <f ca="1">P8+6</f>
        <v>46149</v>
      </c>
      <c r="R8" s="382" t="str">
        <f>N8&amp;"."&amp;O8</f>
        <v>1.សប្តាហ៍ទី1</v>
      </c>
      <c r="S8"/>
      <c r="T8" s="843">
        <v>1</v>
      </c>
      <c r="U8" s="1203" t="s">
        <v>20</v>
      </c>
      <c r="V8" s="870" t="s">
        <v>2793</v>
      </c>
      <c r="AC8" s="255" t="s">
        <v>1962</v>
      </c>
      <c r="AE8" s="883" t="str">
        <f>E9</f>
        <v>KORK SNUOL CONSTRUCTION MATERIAL</v>
      </c>
      <c r="AF8" s="1048"/>
      <c r="AG8" s="1049"/>
      <c r="AH8" s="1049"/>
      <c r="AI8" s="1049"/>
      <c r="AJ8" s="1049"/>
      <c r="AK8" s="1049"/>
      <c r="AL8" s="1049"/>
      <c r="AM8" s="1049"/>
      <c r="AN8" s="1049"/>
      <c r="AO8" s="13"/>
      <c r="AP8" s="13"/>
      <c r="AQ8" s="13"/>
      <c r="AR8" s="13"/>
    </row>
    <row r="9" spans="3:49" ht="29.25" customHeight="1" thickBot="1">
      <c r="C9" s="271">
        <v>1</v>
      </c>
      <c r="D9" s="414" t="s">
        <v>1674</v>
      </c>
      <c r="E9" s="660" t="s">
        <v>1675</v>
      </c>
      <c r="F9" s="271">
        <v>1</v>
      </c>
      <c r="G9" s="271" t="s">
        <v>1909</v>
      </c>
      <c r="H9" s="271">
        <v>1</v>
      </c>
      <c r="I9"/>
      <c r="K9" s="211"/>
      <c r="L9" s="274" t="s">
        <v>18</v>
      </c>
      <c r="M9"/>
      <c r="N9" s="273">
        <v>2</v>
      </c>
      <c r="O9" s="274" t="s">
        <v>227</v>
      </c>
      <c r="P9" s="389">
        <f ca="1">Q8+1</f>
        <v>46150</v>
      </c>
      <c r="Q9" s="389">
        <f ca="1">P9+6</f>
        <v>46156</v>
      </c>
      <c r="R9" s="382" t="str">
        <f>N9&amp;"."&amp;O9</f>
        <v>2.សប្តាហ៍ទី2</v>
      </c>
      <c r="S9"/>
      <c r="T9" s="843">
        <v>2</v>
      </c>
      <c r="U9" s="1203" t="s">
        <v>22</v>
      </c>
      <c r="V9" s="870" t="s">
        <v>1588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3:49" ht="24.95" customHeight="1" thickBot="1">
      <c r="I10"/>
      <c r="J10" s="130"/>
      <c r="K10" s="211"/>
      <c r="L10" s="274" t="s">
        <v>21</v>
      </c>
      <c r="M10" s="130"/>
      <c r="N10" s="273">
        <v>3</v>
      </c>
      <c r="O10" s="274" t="s">
        <v>228</v>
      </c>
      <c r="P10" s="389">
        <f ca="1">Q9+1</f>
        <v>46157</v>
      </c>
      <c r="Q10" s="389">
        <f ca="1">P10+6</f>
        <v>46163</v>
      </c>
      <c r="R10" s="382" t="str">
        <f>N10&amp;"."&amp;O10</f>
        <v>3.សប្តាហ៍ទី3</v>
      </c>
      <c r="S10"/>
      <c r="T10" s="843">
        <v>3</v>
      </c>
      <c r="U10" s="1203" t="s">
        <v>2790</v>
      </c>
      <c r="V10" s="870" t="s">
        <v>2794</v>
      </c>
      <c r="AC10" s="317" t="s">
        <v>1963</v>
      </c>
      <c r="AD10" s="3"/>
      <c r="AE10" s="1296" t="s">
        <v>125</v>
      </c>
      <c r="AF10" s="1296">
        <v>1</v>
      </c>
      <c r="AG10" s="1296">
        <v>1</v>
      </c>
      <c r="AH10" s="1296">
        <v>6</v>
      </c>
      <c r="AI10" s="1297" t="s">
        <v>126</v>
      </c>
      <c r="AJ10" s="1296">
        <v>2</v>
      </c>
      <c r="AK10" s="1296">
        <v>6</v>
      </c>
      <c r="AL10" s="1296">
        <v>0</v>
      </c>
      <c r="AM10" s="1296">
        <v>0</v>
      </c>
      <c r="AN10" s="1296">
        <v>0</v>
      </c>
      <c r="AO10" s="1296">
        <v>0</v>
      </c>
      <c r="AP10" s="1296">
        <v>1</v>
      </c>
      <c r="AQ10" s="1296">
        <v>2</v>
      </c>
      <c r="AR10" s="1296">
        <v>7</v>
      </c>
      <c r="AS10" s="1296">
        <v>1</v>
      </c>
      <c r="AU10" s="685"/>
      <c r="AV10" s="3"/>
      <c r="AW10" s="3"/>
    </row>
    <row r="11" spans="3:49" ht="24.95" customHeight="1">
      <c r="I11"/>
      <c r="J11" s="130"/>
      <c r="K11" s="211"/>
      <c r="L11" s="274" t="s">
        <v>24</v>
      </c>
      <c r="M11" s="130"/>
      <c r="N11" s="273">
        <v>4</v>
      </c>
      <c r="O11" s="274" t="s">
        <v>229</v>
      </c>
      <c r="P11" s="389">
        <f ca="1">Q10+1</f>
        <v>46164</v>
      </c>
      <c r="Q11" s="389">
        <f ca="1">EOMONTH(R14,0)</f>
        <v>46173</v>
      </c>
      <c r="R11" s="382" t="str">
        <f>N11&amp;"."&amp;O11</f>
        <v>4.សប្តាហ៍ទី4</v>
      </c>
      <c r="S11"/>
      <c r="T11" s="843">
        <v>4</v>
      </c>
      <c r="U11" s="1203" t="s">
        <v>2791</v>
      </c>
      <c r="V11" s="870" t="s">
        <v>2792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3:49" ht="24.95" customHeight="1">
      <c r="E12"/>
      <c r="F12"/>
      <c r="G12"/>
      <c r="H12"/>
      <c r="I12"/>
      <c r="K12" s="211"/>
      <c r="L12" s="274" t="s">
        <v>26</v>
      </c>
      <c r="N12" s="273">
        <v>5</v>
      </c>
      <c r="O12" s="390" t="str">
        <f>MID(P14,4,100)</f>
        <v>ឧសភា</v>
      </c>
      <c r="P12" s="389" t="str">
        <f ca="1">R14</f>
        <v>01/05/2026</v>
      </c>
      <c r="Q12" s="389">
        <f ca="1">EOMONTH(R14,0)</f>
        <v>46173</v>
      </c>
      <c r="R12" s="382" t="str">
        <f>N12&amp;"."&amp;O12</f>
        <v>5.ឧសភា</v>
      </c>
      <c r="S12"/>
      <c r="T12" s="843">
        <v>5</v>
      </c>
      <c r="U12" s="1203" t="s">
        <v>1616</v>
      </c>
      <c r="V12" s="870" t="s">
        <v>29</v>
      </c>
      <c r="AE12" s="2050"/>
      <c r="AF12" s="2050"/>
      <c r="AG12" s="2050"/>
      <c r="AH12" s="2050"/>
      <c r="AI12" s="2050"/>
      <c r="AJ12" s="2050"/>
      <c r="AK12" s="2050"/>
      <c r="AL12" s="2050"/>
      <c r="AM12" s="2050"/>
      <c r="AN12" s="2050"/>
      <c r="AO12" s="2050"/>
      <c r="AP12" s="2050"/>
      <c r="AQ12" s="2050"/>
      <c r="AR12" s="2050"/>
      <c r="AS12" s="2050"/>
      <c r="AT12" s="2050"/>
      <c r="AU12" s="2050"/>
    </row>
    <row r="13" spans="3:49" ht="24.95" customHeight="1">
      <c r="E13"/>
      <c r="F13"/>
      <c r="G13"/>
      <c r="H13"/>
      <c r="I13"/>
      <c r="J13" s="130"/>
      <c r="K13" s="211"/>
      <c r="L13" s="274" t="s">
        <v>28</v>
      </c>
      <c r="M13" s="3"/>
      <c r="N13" s="126"/>
      <c r="O13" s="137"/>
      <c r="P13" s="136"/>
      <c r="Q13" s="136"/>
      <c r="R13"/>
      <c r="S13"/>
      <c r="T13" s="20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</row>
    <row r="14" spans="3:49" ht="24.95" customHeight="1">
      <c r="E14"/>
      <c r="F14"/>
      <c r="G14"/>
      <c r="H14"/>
      <c r="I14"/>
      <c r="K14" s="211"/>
      <c r="L14" s="274" t="s">
        <v>30</v>
      </c>
      <c r="M14"/>
      <c r="N14" s="254" t="s">
        <v>37</v>
      </c>
      <c r="O14" s="138"/>
      <c r="P14" s="253" t="s">
        <v>26</v>
      </c>
      <c r="Q14" s="193">
        <f ca="1">TODAY()</f>
        <v>46216</v>
      </c>
      <c r="R14" s="652" t="str">
        <f ca="1">"01/"&amp;MID(P14,1,2)&amp;"/"&amp;YEAR(Q14)</f>
        <v>01/05/2026</v>
      </c>
      <c r="S14"/>
      <c r="T14" s="20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</row>
    <row r="15" spans="3:49" ht="24.95" customHeight="1">
      <c r="E15"/>
      <c r="F15"/>
      <c r="G15"/>
      <c r="H15"/>
      <c r="I15"/>
      <c r="J15" s="131"/>
      <c r="K15" s="211"/>
      <c r="L15" s="274" t="s">
        <v>31</v>
      </c>
      <c r="M15"/>
      <c r="N15" s="133"/>
      <c r="O15" s="138"/>
      <c r="P15" s="136"/>
      <c r="Q15" s="136"/>
      <c r="R15"/>
      <c r="S15"/>
      <c r="T15" s="20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</row>
    <row r="16" spans="3:49" ht="24.95" customHeight="1">
      <c r="E16"/>
      <c r="F16"/>
      <c r="G16"/>
      <c r="H16"/>
      <c r="I16"/>
      <c r="J16" s="131"/>
      <c r="K16" s="211"/>
      <c r="L16" s="274" t="s">
        <v>33</v>
      </c>
      <c r="M16"/>
      <c r="N16" s="133"/>
      <c r="O16" s="138"/>
      <c r="P16" s="136"/>
      <c r="Q16" s="136"/>
      <c r="R16"/>
      <c r="S16"/>
      <c r="T16" s="204"/>
    </row>
    <row r="17" spans="3:29" ht="24.95" customHeight="1">
      <c r="E17"/>
      <c r="F17"/>
      <c r="G17"/>
      <c r="H17"/>
      <c r="I17"/>
      <c r="J17" s="132"/>
      <c r="K17" s="211"/>
      <c r="L17" s="274" t="s">
        <v>34</v>
      </c>
      <c r="M17"/>
      <c r="N17" s="133"/>
      <c r="O17" s="138"/>
      <c r="P17" s="136"/>
      <c r="Q17" s="136"/>
      <c r="R17"/>
      <c r="S17"/>
      <c r="T17" s="204"/>
    </row>
    <row r="18" spans="3:29" ht="24.95" customHeight="1">
      <c r="I18" s="142"/>
      <c r="K18" s="211"/>
      <c r="L18" s="274" t="s">
        <v>35</v>
      </c>
      <c r="M18"/>
      <c r="N18" s="133"/>
      <c r="O18" s="138"/>
      <c r="P18" s="136"/>
      <c r="Q18" s="136"/>
      <c r="R18"/>
      <c r="S18"/>
      <c r="T18" s="204"/>
    </row>
    <row r="19" spans="3:29" ht="24.95" customHeight="1">
      <c r="G19" s="193"/>
      <c r="H19" s="193"/>
      <c r="I19" s="193"/>
      <c r="J19" s="193"/>
      <c r="K19" s="134"/>
      <c r="L19" s="274" t="s">
        <v>180</v>
      </c>
      <c r="M19"/>
      <c r="N19" s="133"/>
      <c r="O19" s="138"/>
      <c r="P19" s="136"/>
      <c r="Q19" s="136"/>
      <c r="R19"/>
      <c r="S19"/>
      <c r="T19" s="204"/>
    </row>
    <row r="20" spans="3:29" ht="33" customHeight="1">
      <c r="C20" s="2016" t="s">
        <v>46</v>
      </c>
      <c r="D20" s="2016"/>
      <c r="E20" s="2016"/>
      <c r="G20" s="2016" t="s">
        <v>775</v>
      </c>
      <c r="H20" s="2016"/>
      <c r="I20" s="2016"/>
      <c r="J20" s="2016"/>
      <c r="N20" s="2044" t="s">
        <v>291</v>
      </c>
      <c r="O20" s="2044"/>
      <c r="P20" s="2044"/>
      <c r="Q20" s="1041"/>
      <c r="R20" s="2044" t="s">
        <v>1677</v>
      </c>
      <c r="S20" s="2044"/>
      <c r="T20" s="2044"/>
      <c r="W20" s="2051" t="s">
        <v>1682</v>
      </c>
      <c r="X20" s="2051"/>
      <c r="Y20" s="2051"/>
    </row>
    <row r="21" spans="3:29" s="13" customFormat="1" ht="20.25" customHeight="1">
      <c r="C21" s="2045" t="s">
        <v>1690</v>
      </c>
      <c r="D21" s="2045"/>
      <c r="E21" s="2045"/>
      <c r="G21" s="2046" t="s">
        <v>1693</v>
      </c>
      <c r="H21" s="2046"/>
      <c r="I21" s="2046"/>
      <c r="J21" s="2046"/>
      <c r="K21" s="141"/>
      <c r="L21" s="135"/>
      <c r="N21" s="2046" t="s">
        <v>1678</v>
      </c>
      <c r="O21" s="2046"/>
      <c r="P21" s="2046"/>
      <c r="Q21" s="1042"/>
      <c r="R21" s="2046" t="s">
        <v>1676</v>
      </c>
      <c r="S21" s="2046"/>
      <c r="T21" s="2046"/>
      <c r="W21" s="2046" t="s">
        <v>1692</v>
      </c>
      <c r="X21" s="2046"/>
      <c r="Y21" s="2046"/>
      <c r="AC21" s="204"/>
    </row>
    <row r="22" spans="3:29" ht="5.25" customHeight="1">
      <c r="C22" s="2039"/>
      <c r="D22" s="2039"/>
      <c r="E22" s="2039"/>
      <c r="F22" s="135"/>
      <c r="G22" s="2043"/>
      <c r="H22" s="2043"/>
      <c r="I22" s="2043"/>
      <c r="J22" s="2043"/>
      <c r="K22"/>
      <c r="L22"/>
      <c r="M22"/>
      <c r="O22" s="659"/>
      <c r="P22" s="659"/>
      <c r="Q22" s="13"/>
      <c r="S22" s="636"/>
      <c r="T22" s="636"/>
    </row>
    <row r="23" spans="3:29" ht="24.95" customHeight="1">
      <c r="C23" s="1038" t="s">
        <v>1659</v>
      </c>
      <c r="D23" s="1038" t="s">
        <v>1685</v>
      </c>
      <c r="E23" s="1036" t="s">
        <v>1690</v>
      </c>
      <c r="F23" s="135"/>
      <c r="G23" s="1039" t="s">
        <v>1659</v>
      </c>
      <c r="H23" s="1037" t="s">
        <v>1683</v>
      </c>
      <c r="I23" s="1037" t="s">
        <v>1685</v>
      </c>
      <c r="J23" s="1037"/>
      <c r="K23"/>
      <c r="L23"/>
      <c r="M23"/>
      <c r="N23" s="1039" t="s">
        <v>1659</v>
      </c>
      <c r="O23" s="1037" t="s">
        <v>1683</v>
      </c>
      <c r="P23" s="1037"/>
      <c r="Q23" s="13"/>
      <c r="R23" s="1040" t="s">
        <v>1659</v>
      </c>
      <c r="S23" s="1040" t="s">
        <v>1683</v>
      </c>
      <c r="T23" s="1040" t="s">
        <v>1684</v>
      </c>
      <c r="W23" s="1043" t="s">
        <v>1659</v>
      </c>
      <c r="X23" s="1043" t="s">
        <v>1683</v>
      </c>
      <c r="Y23" s="1043" t="s">
        <v>1694</v>
      </c>
      <c r="Z23" s="607"/>
    </row>
    <row r="24" spans="3:29" ht="24.95" customHeight="1">
      <c r="C24" s="383" t="s">
        <v>49</v>
      </c>
      <c r="D24" s="383" t="s">
        <v>50</v>
      </c>
      <c r="E24" s="274" t="s">
        <v>51</v>
      </c>
      <c r="F24" s="127"/>
      <c r="G24" s="273">
        <v>1</v>
      </c>
      <c r="H24" s="274" t="s">
        <v>1617</v>
      </c>
      <c r="I24" s="272">
        <v>0</v>
      </c>
      <c r="J24" s="274" t="str">
        <f>IF(AND(G24&lt;&gt;"",H24&lt;&gt;""),TEXT(G24,"00")&amp;"."&amp;H24,"")</f>
        <v>01.អាករ ០%</v>
      </c>
      <c r="K24"/>
      <c r="L24"/>
      <c r="M24"/>
      <c r="N24" s="304">
        <v>1</v>
      </c>
      <c r="O24" s="274" t="s">
        <v>292</v>
      </c>
      <c r="P24" s="274" t="str">
        <f>N24&amp;"."&amp;O24</f>
        <v>1.បញ្ចូលស្តុកថ្មី</v>
      </c>
      <c r="Q24" s="13"/>
      <c r="R24" s="618">
        <v>1</v>
      </c>
      <c r="S24" s="617" t="s">
        <v>1660</v>
      </c>
      <c r="T24" s="618">
        <v>0</v>
      </c>
      <c r="U24" s="255" t="str">
        <f>IF(AND(R24&lt;&gt;"",S24&lt;&gt;""),TEXT(R24,"00")&amp;"."&amp;S24,"")</f>
        <v>01.COD</v>
      </c>
      <c r="W24" s="637">
        <v>1</v>
      </c>
      <c r="X24" s="637" t="s">
        <v>1691</v>
      </c>
      <c r="Y24" s="637" t="s">
        <v>2815</v>
      </c>
      <c r="Z24" s="654" t="str">
        <f>IF(AND(W24&lt;&gt;"",X24&lt;&gt;""),W24&amp;"."&amp;X24,"")</f>
        <v>1.Commercial Invoice</v>
      </c>
    </row>
    <row r="25" spans="3:29" ht="24.95" customHeight="1">
      <c r="C25" s="383" t="s">
        <v>52</v>
      </c>
      <c r="D25" s="383">
        <v>5</v>
      </c>
      <c r="E25" s="274" t="s">
        <v>53</v>
      </c>
      <c r="F25" s="127"/>
      <c r="G25" s="273">
        <v>2</v>
      </c>
      <c r="H25" s="274" t="s">
        <v>748</v>
      </c>
      <c r="I25" s="272" t="s">
        <v>54</v>
      </c>
      <c r="J25" s="274" t="str">
        <f t="shared" ref="J25:J35" si="0">IF(AND(G25&lt;&gt;"",H25&lt;&gt;""),TEXT(G25,"00")&amp;"."&amp;H25,"")</f>
        <v>02.អាករ ៣%</v>
      </c>
      <c r="K25"/>
      <c r="L25"/>
      <c r="M25"/>
      <c r="N25" s="304">
        <v>2</v>
      </c>
      <c r="O25" s="274" t="s">
        <v>218</v>
      </c>
      <c r="P25" s="274" t="str">
        <f>N25&amp;"."&amp;O25</f>
        <v>2.តំរឹមស្តុក</v>
      </c>
      <c r="Q25" s="13"/>
      <c r="R25" s="618">
        <v>2</v>
      </c>
      <c r="S25" s="617" t="s">
        <v>1661</v>
      </c>
      <c r="T25" s="618">
        <v>90</v>
      </c>
      <c r="U25" s="255" t="str">
        <f t="shared" ref="U25:U29" si="1">IF(AND(R25&lt;&gt;"",S25&lt;&gt;""),TEXT(R25,"00")&amp;"."&amp;S25,"")</f>
        <v>02.Three Month</v>
      </c>
      <c r="W25" s="637">
        <v>2</v>
      </c>
      <c r="X25" s="637" t="s">
        <v>1695</v>
      </c>
      <c r="Y25" s="637" t="s">
        <v>1696</v>
      </c>
      <c r="Z25" s="654" t="str">
        <f>IF(AND(W25&lt;&gt;"",X25&lt;&gt;""),W25&amp;"."&amp;X25,"")</f>
        <v>2.Invoice Normal</v>
      </c>
    </row>
    <row r="26" spans="3:29" ht="24.95" customHeight="1">
      <c r="C26" s="383" t="s">
        <v>54</v>
      </c>
      <c r="D26" s="383">
        <v>10</v>
      </c>
      <c r="E26" s="274"/>
      <c r="F26" s="127"/>
      <c r="G26" s="273">
        <v>3</v>
      </c>
      <c r="H26" s="274" t="s">
        <v>749</v>
      </c>
      <c r="I26" s="272" t="s">
        <v>57</v>
      </c>
      <c r="J26" s="274" t="str">
        <f t="shared" si="0"/>
        <v>03.អាករ ៥%</v>
      </c>
      <c r="N26" s="384"/>
      <c r="O26" s="385"/>
      <c r="P26" s="386"/>
      <c r="Q26" s="13"/>
      <c r="R26" s="618">
        <v>3</v>
      </c>
      <c r="S26" s="617" t="s">
        <v>1662</v>
      </c>
      <c r="T26" s="618">
        <v>180</v>
      </c>
      <c r="U26" s="255" t="str">
        <f t="shared" si="1"/>
        <v>03.Six Month</v>
      </c>
      <c r="W26" s="445"/>
      <c r="X26" s="445"/>
      <c r="Y26" s="445"/>
    </row>
    <row r="27" spans="3:29" ht="24.95" customHeight="1">
      <c r="C27" s="383" t="s">
        <v>56</v>
      </c>
      <c r="D27" s="383">
        <v>15</v>
      </c>
      <c r="E27" s="274"/>
      <c r="F27" s="127"/>
      <c r="G27" s="273">
        <v>4</v>
      </c>
      <c r="H27" s="274" t="s">
        <v>744</v>
      </c>
      <c r="I27" s="272" t="s">
        <v>25</v>
      </c>
      <c r="J27" s="274" t="str">
        <f t="shared" si="0"/>
        <v>04.អាករ ១០%</v>
      </c>
      <c r="N27" s="384"/>
      <c r="O27" s="385"/>
      <c r="P27" s="386"/>
      <c r="Q27" s="13"/>
      <c r="R27" s="618">
        <v>4</v>
      </c>
      <c r="S27" s="617" t="s">
        <v>1663</v>
      </c>
      <c r="T27" s="618">
        <v>210</v>
      </c>
      <c r="U27" s="255" t="str">
        <f t="shared" si="1"/>
        <v>04.Eight Month</v>
      </c>
      <c r="W27" s="445"/>
      <c r="X27" s="445"/>
      <c r="Y27" s="445"/>
    </row>
    <row r="28" spans="3:29" ht="24.95" customHeight="1">
      <c r="C28" s="383" t="s">
        <v>57</v>
      </c>
      <c r="D28" s="383">
        <v>20</v>
      </c>
      <c r="E28" s="274"/>
      <c r="F28" s="127"/>
      <c r="G28" s="273">
        <v>5</v>
      </c>
      <c r="H28" s="274" t="s">
        <v>745</v>
      </c>
      <c r="I28" s="272" t="s">
        <v>40</v>
      </c>
      <c r="J28" s="274" t="str">
        <f t="shared" si="0"/>
        <v>05.អាករ ១៥%</v>
      </c>
      <c r="N28" s="384"/>
      <c r="O28" s="385"/>
      <c r="P28" s="386"/>
      <c r="Q28" s="13"/>
      <c r="R28" s="618">
        <v>5</v>
      </c>
      <c r="S28" s="617" t="s">
        <v>1664</v>
      </c>
      <c r="T28" s="618">
        <v>300</v>
      </c>
      <c r="U28" s="255" t="str">
        <f t="shared" si="1"/>
        <v>05.Ten Month</v>
      </c>
      <c r="W28" s="445"/>
      <c r="X28" s="445"/>
      <c r="Y28" s="445"/>
    </row>
    <row r="29" spans="3:29" ht="24.95" customHeight="1">
      <c r="C29" s="383" t="s">
        <v>58</v>
      </c>
      <c r="D29" s="383">
        <v>25</v>
      </c>
      <c r="E29" s="274"/>
      <c r="F29" s="127"/>
      <c r="G29" s="273">
        <v>6</v>
      </c>
      <c r="H29" s="274" t="s">
        <v>746</v>
      </c>
      <c r="I29" s="272" t="s">
        <v>45</v>
      </c>
      <c r="J29" s="274" t="str">
        <f t="shared" si="0"/>
        <v>06.អាករ ២០%</v>
      </c>
      <c r="N29" s="384"/>
      <c r="O29" s="385"/>
      <c r="P29" s="386"/>
      <c r="Q29" s="13"/>
      <c r="R29" s="618">
        <v>6</v>
      </c>
      <c r="S29" s="617" t="s">
        <v>1665</v>
      </c>
      <c r="T29" s="618">
        <v>365</v>
      </c>
      <c r="U29" s="255" t="str">
        <f t="shared" si="1"/>
        <v>06.Twelve Month</v>
      </c>
      <c r="W29" s="445"/>
      <c r="X29" s="445"/>
      <c r="Y29" s="445"/>
    </row>
    <row r="30" spans="3:29" ht="24.95" customHeight="1">
      <c r="C30" s="383" t="s">
        <v>1613</v>
      </c>
      <c r="D30" s="383">
        <v>30</v>
      </c>
      <c r="E30" s="274"/>
      <c r="F30" s="135"/>
      <c r="G30" s="273">
        <v>7</v>
      </c>
      <c r="H30" s="274" t="s">
        <v>747</v>
      </c>
      <c r="I30" s="272" t="s">
        <v>55</v>
      </c>
      <c r="J30" s="274" t="str">
        <f t="shared" si="0"/>
        <v>07.អាករ ២៥%</v>
      </c>
      <c r="N30" s="384"/>
      <c r="O30" s="385"/>
      <c r="P30" s="386"/>
      <c r="Q30" s="13"/>
      <c r="R30" s="653"/>
      <c r="S30" s="616"/>
      <c r="T30" s="13"/>
      <c r="U30" s="255" t="str">
        <f t="shared" ref="U30:U43" si="2">IF(AND(R30&lt;&gt;"",S30&lt;&gt;""),R30&amp;"."&amp;S30,"")</f>
        <v/>
      </c>
    </row>
    <row r="31" spans="3:29" ht="24.95" customHeight="1">
      <c r="C31" s="383" t="s">
        <v>1614</v>
      </c>
      <c r="D31" s="383">
        <v>35</v>
      </c>
      <c r="E31" s="274"/>
      <c r="G31" s="273"/>
      <c r="H31" s="274"/>
      <c r="I31" s="272"/>
      <c r="J31" s="274" t="str">
        <f t="shared" si="0"/>
        <v/>
      </c>
      <c r="N31" s="141"/>
      <c r="O31" s="135"/>
      <c r="P31" s="13"/>
      <c r="Q31" s="13"/>
      <c r="R31" s="653"/>
      <c r="S31" s="616"/>
      <c r="T31" s="13"/>
      <c r="U31" s="255" t="str">
        <f t="shared" si="2"/>
        <v/>
      </c>
    </row>
    <row r="32" spans="3:29" ht="24.95" customHeight="1">
      <c r="C32" s="383" t="s">
        <v>1615</v>
      </c>
      <c r="D32" s="383">
        <v>40</v>
      </c>
      <c r="E32" s="274"/>
      <c r="G32" s="273"/>
      <c r="H32" s="274"/>
      <c r="I32" s="272"/>
      <c r="J32" s="274" t="str">
        <f t="shared" si="0"/>
        <v/>
      </c>
      <c r="N32" s="141"/>
      <c r="O32" s="135"/>
      <c r="P32" s="13"/>
      <c r="Q32" s="13"/>
      <c r="R32" s="653"/>
      <c r="S32" s="616"/>
      <c r="T32" s="13"/>
      <c r="U32" s="255" t="str">
        <f t="shared" si="2"/>
        <v/>
      </c>
    </row>
    <row r="33" spans="3:21" ht="24.95" customHeight="1">
      <c r="C33" s="383" t="s">
        <v>25</v>
      </c>
      <c r="D33" s="383">
        <v>45</v>
      </c>
      <c r="E33" s="274"/>
      <c r="G33" s="273"/>
      <c r="H33" s="274"/>
      <c r="I33" s="272"/>
      <c r="J33" s="274" t="str">
        <f t="shared" si="0"/>
        <v/>
      </c>
      <c r="N33" s="141"/>
      <c r="O33" s="135"/>
      <c r="P33" s="13"/>
      <c r="Q33" s="13"/>
      <c r="R33" s="653"/>
      <c r="S33" s="616"/>
      <c r="T33" s="13"/>
      <c r="U33" s="255" t="str">
        <f t="shared" si="2"/>
        <v/>
      </c>
    </row>
    <row r="34" spans="3:21" ht="24.95" customHeight="1">
      <c r="C34" s="383" t="s">
        <v>27</v>
      </c>
      <c r="D34" s="383">
        <v>50</v>
      </c>
      <c r="E34" s="274"/>
      <c r="G34" s="273"/>
      <c r="H34" s="274"/>
      <c r="I34" s="272"/>
      <c r="J34" s="274" t="str">
        <f t="shared" si="0"/>
        <v/>
      </c>
      <c r="N34" s="141"/>
      <c r="O34" s="135"/>
      <c r="P34" s="13"/>
      <c r="Q34" s="13"/>
      <c r="R34" s="653"/>
      <c r="S34" s="616"/>
      <c r="T34" s="13"/>
      <c r="U34" s="255" t="str">
        <f t="shared" si="2"/>
        <v/>
      </c>
    </row>
    <row r="35" spans="3:21" ht="24.95" customHeight="1">
      <c r="C35" s="383" t="s">
        <v>36</v>
      </c>
      <c r="D35" s="383">
        <v>55</v>
      </c>
      <c r="E35" s="274"/>
      <c r="G35" s="273"/>
      <c r="H35" s="274"/>
      <c r="I35" s="272"/>
      <c r="J35" s="274" t="str">
        <f t="shared" si="0"/>
        <v/>
      </c>
      <c r="O35" s="13"/>
      <c r="P35" s="13"/>
      <c r="Q35" s="13"/>
      <c r="R35" s="653"/>
      <c r="S35" s="616"/>
      <c r="T35" s="13"/>
      <c r="U35" s="255" t="str">
        <f t="shared" si="2"/>
        <v/>
      </c>
    </row>
    <row r="36" spans="3:21" ht="24.95" customHeight="1">
      <c r="C36" s="383" t="s">
        <v>38</v>
      </c>
      <c r="D36" s="383">
        <v>60</v>
      </c>
      <c r="E36" s="274"/>
      <c r="G36" s="273"/>
      <c r="H36" s="387"/>
      <c r="I36" s="388"/>
      <c r="J36" s="392"/>
      <c r="O36" s="13"/>
      <c r="P36" s="13"/>
      <c r="Q36" s="13"/>
      <c r="R36" s="653"/>
      <c r="S36" s="616"/>
      <c r="T36" s="13"/>
      <c r="U36" s="255" t="str">
        <f t="shared" si="2"/>
        <v/>
      </c>
    </row>
    <row r="37" spans="3:21" ht="24.95" customHeight="1">
      <c r="C37" s="383" t="s">
        <v>39</v>
      </c>
      <c r="D37" s="383">
        <v>65</v>
      </c>
      <c r="E37" s="274"/>
      <c r="G37" s="273"/>
      <c r="H37" s="387"/>
      <c r="I37" s="388"/>
      <c r="J37" s="392"/>
      <c r="R37" s="653"/>
      <c r="S37" s="616"/>
      <c r="T37" s="13"/>
      <c r="U37" s="255" t="str">
        <f t="shared" si="2"/>
        <v/>
      </c>
    </row>
    <row r="38" spans="3:21" ht="24.95" customHeight="1">
      <c r="C38" s="383" t="s">
        <v>40</v>
      </c>
      <c r="D38" s="383">
        <v>70</v>
      </c>
      <c r="E38" s="274"/>
      <c r="G38" s="273"/>
      <c r="H38" s="387"/>
      <c r="I38" s="388"/>
      <c r="J38" s="392"/>
      <c r="R38" s="653"/>
      <c r="S38" s="616"/>
      <c r="T38" s="13"/>
      <c r="U38" s="255" t="str">
        <f t="shared" si="2"/>
        <v/>
      </c>
    </row>
    <row r="39" spans="3:21" ht="24.95" customHeight="1">
      <c r="C39" s="383" t="s">
        <v>41</v>
      </c>
      <c r="D39" s="383">
        <v>75</v>
      </c>
      <c r="E39" s="274"/>
      <c r="G39" s="126"/>
      <c r="H39" s="138"/>
      <c r="I39" s="136"/>
      <c r="J39" s="136"/>
      <c r="R39" s="653"/>
      <c r="S39" s="616"/>
      <c r="T39" s="13"/>
      <c r="U39" s="255" t="str">
        <f t="shared" si="2"/>
        <v/>
      </c>
    </row>
    <row r="40" spans="3:21" ht="24.95" customHeight="1">
      <c r="C40" s="383" t="s">
        <v>42</v>
      </c>
      <c r="D40" s="383">
        <v>80</v>
      </c>
      <c r="E40" s="274"/>
      <c r="G40" s="133"/>
      <c r="H40" s="138"/>
      <c r="I40" s="136"/>
      <c r="J40" s="136"/>
      <c r="R40" s="653"/>
      <c r="S40" s="616"/>
      <c r="T40" s="13"/>
      <c r="U40" s="255" t="str">
        <f t="shared" si="2"/>
        <v/>
      </c>
    </row>
    <row r="41" spans="3:21" ht="24.95" customHeight="1">
      <c r="C41" s="383" t="s">
        <v>43</v>
      </c>
      <c r="D41" s="383">
        <v>85</v>
      </c>
      <c r="E41" s="274"/>
      <c r="G41" s="133"/>
      <c r="H41" s="138"/>
      <c r="I41" s="136"/>
      <c r="J41" s="136"/>
      <c r="R41" s="653"/>
      <c r="S41" s="616"/>
      <c r="T41" s="13"/>
      <c r="U41" s="255" t="str">
        <f t="shared" si="2"/>
        <v/>
      </c>
    </row>
    <row r="42" spans="3:21" ht="24.95" customHeight="1">
      <c r="C42" s="383" t="s">
        <v>44</v>
      </c>
      <c r="D42" s="383">
        <v>90</v>
      </c>
      <c r="E42" s="274"/>
      <c r="G42" s="133"/>
      <c r="H42" s="138"/>
      <c r="I42" s="136"/>
      <c r="J42" s="136"/>
      <c r="R42" s="653"/>
      <c r="S42" s="616"/>
      <c r="T42" s="13"/>
      <c r="U42" s="255" t="str">
        <f t="shared" si="2"/>
        <v/>
      </c>
    </row>
    <row r="43" spans="3:21" ht="24.95" customHeight="1">
      <c r="C43" s="383" t="s">
        <v>45</v>
      </c>
      <c r="D43" s="383">
        <v>100</v>
      </c>
      <c r="E43" s="274"/>
      <c r="G43" s="133"/>
      <c r="H43" s="138"/>
      <c r="I43" s="136"/>
      <c r="J43" s="136"/>
      <c r="R43" s="653"/>
      <c r="S43" s="616"/>
      <c r="T43" s="13"/>
      <c r="U43" s="255" t="str">
        <f t="shared" si="2"/>
        <v/>
      </c>
    </row>
    <row r="44" spans="3:21" ht="24.95" customHeight="1">
      <c r="G44" s="133"/>
      <c r="H44" s="138"/>
      <c r="I44" s="136"/>
      <c r="J44" s="136"/>
      <c r="R44" s="653"/>
      <c r="S44" s="616"/>
      <c r="T44" s="13"/>
    </row>
    <row r="45" spans="3:21" ht="24.95" customHeight="1">
      <c r="G45" s="133"/>
      <c r="H45" s="138"/>
      <c r="I45" s="136"/>
      <c r="J45" s="136"/>
      <c r="R45" s="653"/>
      <c r="S45" s="616"/>
      <c r="T45" s="13"/>
    </row>
    <row r="46" spans="3:21" ht="24.95" customHeight="1">
      <c r="G46" s="133"/>
      <c r="H46" s="138"/>
      <c r="I46" s="136"/>
      <c r="J46" s="136"/>
      <c r="R46" s="653"/>
      <c r="S46" s="616"/>
      <c r="T46" s="13"/>
    </row>
    <row r="47" spans="3:21" ht="24.95" customHeight="1">
      <c r="G47" s="133"/>
      <c r="H47" s="138"/>
      <c r="I47" s="136"/>
      <c r="J47" s="136"/>
      <c r="R47" s="653"/>
      <c r="S47" s="616"/>
      <c r="T47" s="13"/>
    </row>
    <row r="48" spans="3:21" ht="24.95" customHeight="1">
      <c r="R48" s="653"/>
      <c r="S48" s="616"/>
      <c r="T48" s="13"/>
    </row>
    <row r="49" spans="3:20" ht="24.95" customHeight="1">
      <c r="R49" s="653"/>
      <c r="S49" s="616"/>
      <c r="T49" s="13"/>
    </row>
    <row r="51" spans="3:20" ht="24.95" customHeight="1">
      <c r="H51" s="1045" t="s">
        <v>2244</v>
      </c>
      <c r="I51" s="1044"/>
      <c r="J51" s="849"/>
    </row>
    <row r="53" spans="3:20" ht="24.95" customHeight="1">
      <c r="C53" s="1046" t="s">
        <v>47</v>
      </c>
      <c r="D53" s="1046" t="s">
        <v>237</v>
      </c>
      <c r="E53" s="1046" t="s">
        <v>237</v>
      </c>
      <c r="H53" s="1046" t="s">
        <v>47</v>
      </c>
      <c r="I53" s="1046" t="s">
        <v>308</v>
      </c>
      <c r="J53" s="1046" t="s">
        <v>309</v>
      </c>
    </row>
    <row r="54" spans="3:20" ht="24.95" customHeight="1">
      <c r="C54" s="1047" t="s">
        <v>268</v>
      </c>
      <c r="D54" s="1047" t="s">
        <v>116</v>
      </c>
      <c r="E54" s="1047" t="s">
        <v>17</v>
      </c>
      <c r="H54" s="1047" t="s">
        <v>1659</v>
      </c>
      <c r="I54" s="1047" t="s">
        <v>2238</v>
      </c>
      <c r="J54" s="1047" t="s">
        <v>750</v>
      </c>
    </row>
    <row r="55" spans="3:20" ht="24.95" customHeight="1">
      <c r="C55" s="814">
        <v>1</v>
      </c>
      <c r="D55" s="815" t="s">
        <v>2044</v>
      </c>
      <c r="E55" s="815" t="s">
        <v>2039</v>
      </c>
      <c r="F55" s="256" t="str">
        <f>IF(D55="","",TEXT(C55,"000")&amp;"."&amp;D55)</f>
        <v>001.គណនេយ្យករ</v>
      </c>
      <c r="H55" s="204">
        <v>1</v>
      </c>
      <c r="I55" s="360" t="s">
        <v>2243</v>
      </c>
      <c r="J55" s="251" t="s">
        <v>2232</v>
      </c>
      <c r="K55" s="864" t="str">
        <f>IF(I55="","",TEXT(H55,"00")&amp;"."&amp;I55)</f>
        <v>01.ចំនួនរាប់</v>
      </c>
    </row>
    <row r="56" spans="3:20" ht="24.95" customHeight="1">
      <c r="C56" s="813">
        <f>C55+1</f>
        <v>2</v>
      </c>
      <c r="D56" s="816" t="s">
        <v>2045</v>
      </c>
      <c r="E56" s="816" t="s">
        <v>2040</v>
      </c>
      <c r="F56" s="256" t="str">
        <f t="shared" ref="F56:F69" si="3">IF(D56="","",TEXT(C56,"000")&amp;"."&amp;D56)</f>
        <v>002.រដ្ឋបាល</v>
      </c>
      <c r="H56" s="204">
        <v>2</v>
      </c>
      <c r="I56" s="360" t="s">
        <v>2239</v>
      </c>
      <c r="J56" s="251" t="s">
        <v>2233</v>
      </c>
      <c r="K56" s="864" t="str">
        <f t="shared" ref="K56:K60" si="4">IF(I56="","",TEXT(H56,"00")&amp;"."&amp;I56)</f>
        <v>02.ទម្ងន់</v>
      </c>
    </row>
    <row r="57" spans="3:20" ht="24.95" customHeight="1">
      <c r="C57" s="813">
        <f t="shared" ref="C57:C84" si="5">C56+1</f>
        <v>3</v>
      </c>
      <c r="D57" s="816" t="s">
        <v>2046</v>
      </c>
      <c r="E57" s="816" t="s">
        <v>2041</v>
      </c>
      <c r="F57" s="256" t="str">
        <f t="shared" si="3"/>
        <v>003.អ្នកគ្រប់គ្រង់ទូទៅ</v>
      </c>
      <c r="H57" s="204">
        <v>3</v>
      </c>
      <c r="I57" s="360" t="s">
        <v>2240</v>
      </c>
      <c r="J57" s="251" t="s">
        <v>2234</v>
      </c>
      <c r="K57" s="864" t="str">
        <f t="shared" si="4"/>
        <v>03.ប្រវែង</v>
      </c>
    </row>
    <row r="58" spans="3:20" ht="24.95" customHeight="1">
      <c r="C58" s="813">
        <f t="shared" si="5"/>
        <v>4</v>
      </c>
      <c r="D58" s="816" t="s">
        <v>2047</v>
      </c>
      <c r="E58" s="816" t="s">
        <v>2042</v>
      </c>
      <c r="F58" s="256" t="str">
        <f t="shared" si="3"/>
        <v>004.អ្នកគ្រប់គ្រង់ការទិញទូទៅ</v>
      </c>
      <c r="H58" s="204">
        <v>4</v>
      </c>
      <c r="I58" s="360" t="s">
        <v>2241</v>
      </c>
      <c r="J58" s="251" t="s">
        <v>2235</v>
      </c>
      <c r="K58" s="864" t="str">
        <f t="shared" si="4"/>
        <v>04.ផ្ទៃក្រឡា</v>
      </c>
    </row>
    <row r="59" spans="3:20" ht="24.95" customHeight="1">
      <c r="C59" s="813">
        <f t="shared" si="5"/>
        <v>5</v>
      </c>
      <c r="D59" s="816" t="s">
        <v>2048</v>
      </c>
      <c r="E59" s="816" t="s">
        <v>2043</v>
      </c>
      <c r="F59" s="256" t="str">
        <f t="shared" si="3"/>
        <v>005.អ្នកគ្រប់គ្រងស្តុក</v>
      </c>
      <c r="H59" s="204">
        <v>5</v>
      </c>
      <c r="I59" s="360" t="s">
        <v>2250</v>
      </c>
      <c r="J59" s="251" t="s">
        <v>2236</v>
      </c>
      <c r="K59" s="864" t="str">
        <f t="shared" si="4"/>
        <v>05.មាឌ</v>
      </c>
    </row>
    <row r="60" spans="3:20" ht="24.95" customHeight="1">
      <c r="C60" s="813">
        <f t="shared" si="5"/>
        <v>6</v>
      </c>
      <c r="D60" s="816" t="s">
        <v>906</v>
      </c>
      <c r="E60" s="816" t="s">
        <v>3546</v>
      </c>
      <c r="F60" s="256" t="str">
        <f t="shared" si="3"/>
        <v>006.អ្នកលក់</v>
      </c>
      <c r="H60" s="204">
        <v>6</v>
      </c>
      <c r="I60" s="360" t="s">
        <v>2242</v>
      </c>
      <c r="J60" s="251" t="s">
        <v>2237</v>
      </c>
      <c r="K60" s="864" t="str">
        <f t="shared" si="4"/>
        <v>06.ពេលវេលា</v>
      </c>
    </row>
    <row r="61" spans="3:20" ht="24.95" customHeight="1">
      <c r="C61" s="813">
        <f t="shared" si="5"/>
        <v>7</v>
      </c>
      <c r="D61" s="816"/>
      <c r="E61" s="816"/>
      <c r="F61" s="256" t="str">
        <f t="shared" si="3"/>
        <v/>
      </c>
      <c r="I61" s="281"/>
      <c r="K61" s="864"/>
    </row>
    <row r="62" spans="3:20" ht="24.95" customHeight="1">
      <c r="C62" s="813">
        <f t="shared" si="5"/>
        <v>8</v>
      </c>
      <c r="D62" s="816"/>
      <c r="E62" s="816"/>
      <c r="F62" s="256" t="str">
        <f t="shared" si="3"/>
        <v/>
      </c>
      <c r="I62" s="281"/>
      <c r="K62" s="864"/>
    </row>
    <row r="63" spans="3:20" ht="24.95" customHeight="1">
      <c r="C63" s="813">
        <f t="shared" si="5"/>
        <v>9</v>
      </c>
      <c r="D63" s="816"/>
      <c r="E63" s="816"/>
      <c r="F63" s="256" t="str">
        <f t="shared" si="3"/>
        <v/>
      </c>
      <c r="I63" s="281"/>
      <c r="K63" s="864"/>
    </row>
    <row r="64" spans="3:20" ht="24.95" customHeight="1">
      <c r="C64" s="813">
        <f t="shared" si="5"/>
        <v>10</v>
      </c>
      <c r="D64" s="816"/>
      <c r="E64" s="816"/>
      <c r="F64" s="256" t="str">
        <f t="shared" si="3"/>
        <v/>
      </c>
      <c r="I64" s="281"/>
      <c r="K64" s="864"/>
    </row>
    <row r="65" spans="3:11" ht="24.95" customHeight="1">
      <c r="C65" s="813">
        <f t="shared" si="5"/>
        <v>11</v>
      </c>
      <c r="D65" s="816"/>
      <c r="E65" s="816"/>
      <c r="F65" s="256" t="str">
        <f t="shared" si="3"/>
        <v/>
      </c>
      <c r="I65" s="281"/>
      <c r="K65" s="864"/>
    </row>
    <row r="66" spans="3:11" ht="24.95" customHeight="1">
      <c r="C66" s="813">
        <f t="shared" si="5"/>
        <v>12</v>
      </c>
      <c r="D66" s="816"/>
      <c r="E66" s="816"/>
      <c r="F66" s="256" t="str">
        <f t="shared" si="3"/>
        <v/>
      </c>
      <c r="I66" s="281"/>
      <c r="K66" s="864"/>
    </row>
    <row r="67" spans="3:11" ht="24.95" customHeight="1">
      <c r="C67" s="813">
        <f t="shared" si="5"/>
        <v>13</v>
      </c>
      <c r="D67" s="816"/>
      <c r="E67" s="816"/>
      <c r="F67" s="256" t="str">
        <f t="shared" si="3"/>
        <v/>
      </c>
      <c r="I67" s="281"/>
      <c r="K67" s="864"/>
    </row>
    <row r="68" spans="3:11" ht="24.95" customHeight="1">
      <c r="C68" s="813">
        <f t="shared" si="5"/>
        <v>14</v>
      </c>
      <c r="D68" s="816"/>
      <c r="E68" s="816"/>
      <c r="F68" s="256" t="str">
        <f t="shared" si="3"/>
        <v/>
      </c>
      <c r="I68" s="281"/>
      <c r="K68" s="864"/>
    </row>
    <row r="69" spans="3:11" ht="24.95" customHeight="1">
      <c r="C69" s="813">
        <f t="shared" si="5"/>
        <v>15</v>
      </c>
      <c r="D69" s="816"/>
      <c r="E69" s="816"/>
      <c r="F69" s="256" t="str">
        <f t="shared" si="3"/>
        <v/>
      </c>
      <c r="I69" s="281"/>
      <c r="K69" s="864"/>
    </row>
    <row r="70" spans="3:11" ht="24.95" customHeight="1">
      <c r="C70" s="813">
        <f t="shared" si="5"/>
        <v>16</v>
      </c>
    </row>
    <row r="71" spans="3:11" ht="24.95" customHeight="1">
      <c r="C71" s="813">
        <f t="shared" si="5"/>
        <v>17</v>
      </c>
    </row>
    <row r="72" spans="3:11" ht="24.95" customHeight="1">
      <c r="C72" s="813">
        <f t="shared" si="5"/>
        <v>18</v>
      </c>
    </row>
    <row r="73" spans="3:11" ht="24.95" customHeight="1">
      <c r="C73" s="813">
        <f t="shared" si="5"/>
        <v>19</v>
      </c>
    </row>
    <row r="74" spans="3:11" ht="24.95" customHeight="1">
      <c r="C74" s="813">
        <f t="shared" si="5"/>
        <v>20</v>
      </c>
    </row>
    <row r="75" spans="3:11" ht="24.95" customHeight="1">
      <c r="C75" s="813">
        <f t="shared" si="5"/>
        <v>21</v>
      </c>
    </row>
    <row r="76" spans="3:11" ht="24.95" customHeight="1">
      <c r="C76" s="813">
        <f t="shared" si="5"/>
        <v>22</v>
      </c>
    </row>
    <row r="77" spans="3:11" ht="24.95" customHeight="1">
      <c r="C77" s="813">
        <f t="shared" si="5"/>
        <v>23</v>
      </c>
    </row>
    <row r="78" spans="3:11" ht="24.95" customHeight="1">
      <c r="C78" s="813">
        <f t="shared" si="5"/>
        <v>24</v>
      </c>
    </row>
    <row r="79" spans="3:11" ht="24.95" customHeight="1">
      <c r="C79" s="813">
        <f t="shared" si="5"/>
        <v>25</v>
      </c>
    </row>
    <row r="80" spans="3:11" ht="24.95" customHeight="1">
      <c r="C80" s="813">
        <f t="shared" si="5"/>
        <v>26</v>
      </c>
    </row>
    <row r="81" spans="3:3" ht="24.95" customHeight="1">
      <c r="C81" s="813">
        <f t="shared" si="5"/>
        <v>27</v>
      </c>
    </row>
    <row r="82" spans="3:3" ht="24.95" customHeight="1">
      <c r="C82" s="813">
        <f t="shared" si="5"/>
        <v>28</v>
      </c>
    </row>
    <row r="83" spans="3:3" ht="24.95" customHeight="1">
      <c r="C83" s="813">
        <f t="shared" si="5"/>
        <v>29</v>
      </c>
    </row>
    <row r="84" spans="3:3" ht="24.95" customHeight="1">
      <c r="C84" s="813">
        <f t="shared" si="5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7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I16" sqref="I16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1006" t="s">
        <v>47</v>
      </c>
      <c r="D6" s="1006" t="s">
        <v>885</v>
      </c>
      <c r="E6" s="1006" t="s">
        <v>1747</v>
      </c>
      <c r="F6" s="1006" t="s">
        <v>1736</v>
      </c>
      <c r="G6" s="1006" t="s">
        <v>83</v>
      </c>
      <c r="H6" s="1006" t="s">
        <v>1748</v>
      </c>
      <c r="I6" s="1006" t="s">
        <v>1749</v>
      </c>
      <c r="J6" s="1006" t="s">
        <v>1750</v>
      </c>
      <c r="K6" s="1006" t="s">
        <v>224</v>
      </c>
    </row>
    <row r="7" spans="3:12">
      <c r="C7" s="901" t="s">
        <v>9</v>
      </c>
      <c r="D7" s="901" t="s">
        <v>1744</v>
      </c>
      <c r="E7" s="1071" t="s">
        <v>115</v>
      </c>
      <c r="F7" s="1071" t="s">
        <v>1737</v>
      </c>
      <c r="G7" s="1071" t="s">
        <v>86</v>
      </c>
      <c r="H7" s="1071" t="s">
        <v>274</v>
      </c>
      <c r="I7" s="1071" t="s">
        <v>1745</v>
      </c>
      <c r="J7" s="1071" t="s">
        <v>1746</v>
      </c>
      <c r="K7" s="1071" t="s">
        <v>1743</v>
      </c>
    </row>
    <row r="8" spans="3:12">
      <c r="C8" s="273">
        <v>1</v>
      </c>
      <c r="D8" s="273" t="s">
        <v>52</v>
      </c>
      <c r="E8" s="273" t="s">
        <v>3542</v>
      </c>
      <c r="F8" s="622" t="s">
        <v>1759</v>
      </c>
      <c r="G8" s="385"/>
      <c r="H8" s="273"/>
      <c r="I8" s="273">
        <v>1</v>
      </c>
      <c r="J8" s="273">
        <v>1</v>
      </c>
      <c r="K8" s="273">
        <v>1</v>
      </c>
      <c r="L8" s="129" t="str">
        <f>IF(AND(C8&lt;&gt;"",F8&lt;&gt;""),TEXT(C8,"000")&amp;"."&amp;F8,"")</f>
        <v>001.គោកស្នួល</v>
      </c>
    </row>
    <row r="9" spans="3:12">
      <c r="C9" s="273"/>
      <c r="D9" s="273"/>
      <c r="E9" s="273"/>
      <c r="F9" s="622"/>
      <c r="G9" s="385"/>
      <c r="H9" s="273"/>
      <c r="I9" s="273"/>
      <c r="J9" s="273"/>
      <c r="K9" s="273"/>
      <c r="L9" s="129" t="str">
        <f t="shared" ref="L9:L19" si="0">IF(AND(C9&lt;&gt;"",F9&lt;&gt;""),TEXT(C9,"000")&amp;"."&amp;F9,"")</f>
        <v/>
      </c>
    </row>
    <row r="10" spans="3:12">
      <c r="C10" s="273"/>
      <c r="D10" s="273"/>
      <c r="E10" s="273"/>
      <c r="F10" s="622"/>
      <c r="G10" s="385"/>
      <c r="H10" s="273"/>
      <c r="I10" s="273"/>
      <c r="J10" s="273"/>
      <c r="K10" s="273"/>
      <c r="L10" s="129" t="str">
        <f t="shared" si="0"/>
        <v/>
      </c>
    </row>
    <row r="11" spans="3:12">
      <c r="C11" s="273"/>
      <c r="D11" s="273"/>
      <c r="E11" s="273"/>
      <c r="F11" s="833"/>
      <c r="G11" s="385"/>
      <c r="H11" s="273"/>
      <c r="I11" s="273"/>
      <c r="J11" s="273"/>
      <c r="K11" s="273"/>
      <c r="L11" s="129" t="str">
        <f t="shared" si="0"/>
        <v/>
      </c>
    </row>
    <row r="12" spans="3:12">
      <c r="C12" s="273"/>
      <c r="D12" s="273"/>
      <c r="E12" s="273"/>
      <c r="F12" s="833"/>
      <c r="G12" s="385"/>
      <c r="H12" s="273"/>
      <c r="I12" s="273"/>
      <c r="J12" s="273"/>
      <c r="K12" s="273"/>
      <c r="L12" s="129" t="str">
        <f t="shared" si="0"/>
        <v/>
      </c>
    </row>
    <row r="13" spans="3:12">
      <c r="C13" s="273"/>
      <c r="D13" s="273"/>
      <c r="E13" s="273"/>
      <c r="F13" s="833"/>
      <c r="G13" s="385"/>
      <c r="H13" s="273"/>
      <c r="I13" s="273"/>
      <c r="J13" s="273"/>
      <c r="K13" s="273"/>
      <c r="L13" s="129" t="str">
        <f t="shared" si="0"/>
        <v/>
      </c>
    </row>
    <row r="14" spans="3:12">
      <c r="C14" s="273"/>
      <c r="D14" s="273"/>
      <c r="E14" s="273"/>
      <c r="F14" s="833"/>
      <c r="G14" s="385"/>
      <c r="H14" s="273"/>
      <c r="I14" s="273"/>
      <c r="J14" s="273"/>
      <c r="K14" s="273"/>
      <c r="L14" s="129" t="str">
        <f t="shared" si="0"/>
        <v/>
      </c>
    </row>
    <row r="15" spans="3:12">
      <c r="C15" s="273"/>
      <c r="D15" s="273"/>
      <c r="E15" s="273"/>
      <c r="F15" s="833"/>
      <c r="G15" s="385"/>
      <c r="H15" s="273"/>
      <c r="I15" s="273"/>
      <c r="J15" s="273"/>
      <c r="K15" s="273"/>
      <c r="L15" s="129" t="str">
        <f t="shared" si="0"/>
        <v/>
      </c>
    </row>
    <row r="16" spans="3:12">
      <c r="C16" s="273"/>
      <c r="D16" s="273"/>
      <c r="E16" s="273"/>
      <c r="F16" s="833"/>
      <c r="G16" s="385"/>
      <c r="H16" s="273"/>
      <c r="I16" s="273"/>
      <c r="J16" s="273"/>
      <c r="K16" s="273"/>
      <c r="L16" s="129" t="str">
        <f t="shared" si="0"/>
        <v/>
      </c>
    </row>
    <row r="17" spans="3:12">
      <c r="C17" s="273"/>
      <c r="D17" s="273"/>
      <c r="E17" s="273"/>
      <c r="F17" s="833"/>
      <c r="G17" s="385"/>
      <c r="H17" s="273"/>
      <c r="I17" s="273"/>
      <c r="J17" s="273"/>
      <c r="K17" s="273"/>
      <c r="L17" s="129" t="str">
        <f t="shared" si="0"/>
        <v/>
      </c>
    </row>
    <row r="18" spans="3:12">
      <c r="C18" s="273"/>
      <c r="D18" s="273"/>
      <c r="E18" s="273"/>
      <c r="F18" s="833"/>
      <c r="G18" s="385"/>
      <c r="H18" s="273"/>
      <c r="I18" s="273"/>
      <c r="J18" s="273"/>
      <c r="K18" s="273"/>
      <c r="L18" s="129" t="str">
        <f t="shared" si="0"/>
        <v/>
      </c>
    </row>
    <row r="19" spans="3:12">
      <c r="C19" s="273"/>
      <c r="D19" s="273"/>
      <c r="E19" s="273"/>
      <c r="F19" s="833"/>
      <c r="G19" s="385"/>
      <c r="H19" s="273"/>
      <c r="I19" s="273"/>
      <c r="J19" s="273"/>
      <c r="K19" s="273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E13" sqref="E13"/>
    </sheetView>
  </sheetViews>
  <sheetFormatPr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376" bestFit="1" customWidth="1"/>
    <col min="6" max="6" width="21" style="641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650"/>
      <c r="D4" s="650"/>
      <c r="E4" s="643"/>
      <c r="F4" s="643"/>
    </row>
    <row r="5" spans="3:15" ht="3.75" customHeight="1"/>
    <row r="6" spans="3:15">
      <c r="C6" s="1006" t="s">
        <v>47</v>
      </c>
      <c r="D6" s="1006" t="s">
        <v>269</v>
      </c>
      <c r="E6" s="1072" t="s">
        <v>1736</v>
      </c>
      <c r="F6" s="1072" t="s">
        <v>1587</v>
      </c>
      <c r="G6" s="1006" t="s">
        <v>1751</v>
      </c>
      <c r="H6" s="1006" t="s">
        <v>1752</v>
      </c>
      <c r="I6" s="1006" t="s">
        <v>1756</v>
      </c>
      <c r="J6" s="1006" t="s">
        <v>1755</v>
      </c>
      <c r="K6" s="1006" t="s">
        <v>1757</v>
      </c>
      <c r="L6" s="1006" t="s">
        <v>1753</v>
      </c>
      <c r="M6" s="1006" t="s">
        <v>1754</v>
      </c>
      <c r="N6" s="1006" t="s">
        <v>224</v>
      </c>
    </row>
    <row r="7" spans="3:15" ht="20.25" customHeight="1">
      <c r="C7" s="1073" t="s">
        <v>9</v>
      </c>
      <c r="D7" s="1073" t="s">
        <v>1735</v>
      </c>
      <c r="E7" s="1074" t="s">
        <v>1737</v>
      </c>
      <c r="F7" s="1074" t="s">
        <v>59</v>
      </c>
      <c r="G7" s="1073" t="s">
        <v>1738</v>
      </c>
      <c r="H7" s="1073" t="s">
        <v>1739</v>
      </c>
      <c r="I7" s="1073" t="s">
        <v>1740</v>
      </c>
      <c r="J7" s="1073" t="s">
        <v>1741</v>
      </c>
      <c r="K7" s="1073" t="s">
        <v>1742</v>
      </c>
      <c r="L7" s="1073" t="s">
        <v>586</v>
      </c>
      <c r="M7" s="1073" t="s">
        <v>1758</v>
      </c>
      <c r="N7" s="1071" t="s">
        <v>1743</v>
      </c>
    </row>
    <row r="8" spans="3:15">
      <c r="C8" s="273">
        <v>1</v>
      </c>
      <c r="D8" s="273">
        <v>1</v>
      </c>
      <c r="E8" s="830" t="s">
        <v>2067</v>
      </c>
      <c r="F8" s="391" t="s">
        <v>1759</v>
      </c>
      <c r="G8" s="273"/>
      <c r="H8" s="399"/>
      <c r="I8" s="399"/>
      <c r="J8" s="399"/>
      <c r="K8" s="399"/>
      <c r="L8" s="399"/>
      <c r="M8" s="399"/>
      <c r="N8" s="273">
        <v>1</v>
      </c>
      <c r="O8" s="129" t="str">
        <f>IF(AND(C8&lt;&gt;"",F8&lt;&gt;""),TEXT(C8,"000")&amp;"."&amp;F8,"")</f>
        <v>001.គោកស្នួល</v>
      </c>
    </row>
    <row r="9" spans="3:15">
      <c r="C9" s="273"/>
      <c r="D9" s="273"/>
      <c r="E9" s="830"/>
      <c r="F9" s="391"/>
      <c r="G9" s="273"/>
      <c r="H9" s="399"/>
      <c r="I9" s="399"/>
      <c r="J9" s="399"/>
      <c r="K9" s="399"/>
      <c r="L9" s="399"/>
      <c r="M9" s="399"/>
      <c r="N9" s="273"/>
    </row>
    <row r="10" spans="3:15">
      <c r="C10" s="273"/>
      <c r="D10" s="273"/>
      <c r="E10" s="831"/>
      <c r="F10" s="391"/>
      <c r="G10" s="273"/>
      <c r="H10" s="399"/>
      <c r="I10" s="399"/>
      <c r="J10" s="399"/>
      <c r="K10" s="399"/>
      <c r="L10" s="399"/>
      <c r="M10" s="399"/>
      <c r="N10" s="273"/>
      <c r="O10" s="129" t="str">
        <f t="shared" ref="O10:O22" si="0">IF(AND(C10&lt;&gt;"",F10&lt;&gt;""),TEXT(C10,"000")&amp;"."&amp;F10,"")</f>
        <v/>
      </c>
    </row>
    <row r="11" spans="3:15">
      <c r="C11" s="273"/>
      <c r="D11" s="273"/>
      <c r="E11" s="832"/>
      <c r="F11" s="391"/>
      <c r="G11" s="273"/>
      <c r="H11" s="399"/>
      <c r="I11" s="399"/>
      <c r="J11" s="399"/>
      <c r="K11" s="399"/>
      <c r="L11" s="399"/>
      <c r="M11" s="399"/>
      <c r="N11" s="273"/>
      <c r="O11" s="129" t="str">
        <f t="shared" si="0"/>
        <v/>
      </c>
    </row>
    <row r="12" spans="3:15">
      <c r="C12" s="273"/>
      <c r="D12" s="273"/>
      <c r="E12" s="832"/>
      <c r="F12" s="391"/>
      <c r="G12" s="273"/>
      <c r="H12" s="399"/>
      <c r="I12" s="399"/>
      <c r="J12" s="399"/>
      <c r="K12" s="399"/>
      <c r="L12" s="399"/>
      <c r="M12" s="399"/>
      <c r="N12" s="273"/>
      <c r="O12" s="129" t="str">
        <f t="shared" si="0"/>
        <v/>
      </c>
    </row>
    <row r="13" spans="3:15">
      <c r="C13" s="273"/>
      <c r="D13" s="273"/>
      <c r="E13" s="832"/>
      <c r="F13" s="391"/>
      <c r="G13" s="273"/>
      <c r="H13" s="399"/>
      <c r="I13" s="399"/>
      <c r="J13" s="399"/>
      <c r="K13" s="399"/>
      <c r="L13" s="399"/>
      <c r="M13" s="399"/>
      <c r="N13" s="273"/>
      <c r="O13" s="129" t="str">
        <f t="shared" si="0"/>
        <v/>
      </c>
    </row>
    <row r="14" spans="3:15">
      <c r="C14" s="273"/>
      <c r="D14" s="273"/>
      <c r="E14" s="832"/>
      <c r="F14" s="391"/>
      <c r="G14" s="273"/>
      <c r="H14" s="399"/>
      <c r="I14" s="399"/>
      <c r="J14" s="399"/>
      <c r="K14" s="399"/>
      <c r="L14" s="399"/>
      <c r="M14" s="399"/>
      <c r="N14" s="273"/>
      <c r="O14" s="129" t="str">
        <f t="shared" si="0"/>
        <v/>
      </c>
    </row>
    <row r="15" spans="3:15">
      <c r="C15" s="273"/>
      <c r="D15" s="273"/>
      <c r="E15" s="832"/>
      <c r="F15" s="642"/>
      <c r="G15" s="273"/>
      <c r="H15" s="399"/>
      <c r="I15" s="399"/>
      <c r="J15" s="399"/>
      <c r="K15" s="399"/>
      <c r="L15" s="399"/>
      <c r="M15" s="399"/>
      <c r="N15" s="273"/>
      <c r="O15" s="129" t="str">
        <f t="shared" si="0"/>
        <v/>
      </c>
    </row>
    <row r="16" spans="3:15">
      <c r="C16" s="273"/>
      <c r="D16" s="273"/>
      <c r="E16" s="832"/>
      <c r="F16" s="642"/>
      <c r="G16" s="273"/>
      <c r="H16" s="399"/>
      <c r="I16" s="399"/>
      <c r="J16" s="399"/>
      <c r="K16" s="399"/>
      <c r="L16" s="399"/>
      <c r="M16" s="399"/>
      <c r="N16" s="273"/>
      <c r="O16" s="129" t="str">
        <f t="shared" si="0"/>
        <v/>
      </c>
    </row>
    <row r="17" spans="3:15">
      <c r="C17" s="273"/>
      <c r="D17" s="273"/>
      <c r="E17" s="832"/>
      <c r="F17" s="642"/>
      <c r="G17" s="273"/>
      <c r="H17" s="399"/>
      <c r="I17" s="399"/>
      <c r="J17" s="399"/>
      <c r="K17" s="399"/>
      <c r="L17" s="399"/>
      <c r="M17" s="399"/>
      <c r="N17" s="273"/>
      <c r="O17" s="129" t="str">
        <f t="shared" si="0"/>
        <v/>
      </c>
    </row>
    <row r="18" spans="3:15">
      <c r="C18" s="273"/>
      <c r="D18" s="273"/>
      <c r="E18" s="832"/>
      <c r="F18" s="642"/>
      <c r="G18" s="273"/>
      <c r="H18" s="399"/>
      <c r="I18" s="399"/>
      <c r="J18" s="399"/>
      <c r="K18" s="399"/>
      <c r="L18" s="399"/>
      <c r="M18" s="399"/>
      <c r="N18" s="273"/>
      <c r="O18" s="129" t="str">
        <f t="shared" si="0"/>
        <v/>
      </c>
    </row>
    <row r="19" spans="3:15">
      <c r="C19" s="273"/>
      <c r="D19" s="273"/>
      <c r="E19" s="832"/>
      <c r="F19" s="642"/>
      <c r="G19" s="273"/>
      <c r="H19" s="399"/>
      <c r="I19" s="399"/>
      <c r="J19" s="399"/>
      <c r="K19" s="399"/>
      <c r="L19" s="399"/>
      <c r="M19" s="399"/>
      <c r="N19" s="273"/>
      <c r="O19" s="129" t="str">
        <f t="shared" si="0"/>
        <v/>
      </c>
    </row>
    <row r="20" spans="3:15">
      <c r="C20" s="273"/>
      <c r="D20" s="273"/>
      <c r="E20" s="832"/>
      <c r="F20" s="642"/>
      <c r="G20" s="273"/>
      <c r="H20" s="399"/>
      <c r="I20" s="399"/>
      <c r="J20" s="399"/>
      <c r="K20" s="399"/>
      <c r="L20" s="399"/>
      <c r="M20" s="399"/>
      <c r="N20" s="273"/>
      <c r="O20" s="129" t="str">
        <f t="shared" si="0"/>
        <v/>
      </c>
    </row>
    <row r="21" spans="3:15">
      <c r="C21" s="273"/>
      <c r="D21" s="273"/>
      <c r="E21" s="832"/>
      <c r="F21" s="642"/>
      <c r="G21" s="273"/>
      <c r="H21" s="399"/>
      <c r="I21" s="399"/>
      <c r="J21" s="399"/>
      <c r="K21" s="399"/>
      <c r="L21" s="399"/>
      <c r="M21" s="399"/>
      <c r="N21" s="273"/>
      <c r="O21" s="129" t="str">
        <f t="shared" si="0"/>
        <v/>
      </c>
    </row>
    <row r="22" spans="3:15">
      <c r="C22" s="273"/>
      <c r="D22" s="273"/>
      <c r="E22" s="832"/>
      <c r="F22" s="642"/>
      <c r="G22" s="273"/>
      <c r="H22" s="399"/>
      <c r="I22" s="399"/>
      <c r="J22" s="399"/>
      <c r="K22" s="399"/>
      <c r="L22" s="399"/>
      <c r="M22" s="399"/>
      <c r="N22" s="273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7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L11" sqref="L11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023" t="s">
        <v>801</v>
      </c>
      <c r="D3" s="2023"/>
      <c r="E3" s="2023"/>
      <c r="F3" s="2023"/>
    </row>
    <row r="4" spans="3:6" ht="9" customHeight="1"/>
    <row r="5" spans="3:6" ht="23.25">
      <c r="C5" s="1006" t="s">
        <v>47</v>
      </c>
      <c r="D5" s="1006" t="s">
        <v>801</v>
      </c>
      <c r="E5" s="1075" t="s">
        <v>802</v>
      </c>
      <c r="F5" s="1075"/>
    </row>
    <row r="6" spans="3:6">
      <c r="C6" s="974" t="s">
        <v>9</v>
      </c>
      <c r="D6" s="974" t="s">
        <v>804</v>
      </c>
      <c r="E6" s="1076" t="s">
        <v>800</v>
      </c>
      <c r="F6" s="1076" t="s">
        <v>803</v>
      </c>
    </row>
    <row r="7" spans="3:6" ht="23.1" customHeight="1">
      <c r="C7" s="273">
        <v>1</v>
      </c>
      <c r="D7" s="275" t="s">
        <v>777</v>
      </c>
      <c r="E7" s="273" t="s">
        <v>778</v>
      </c>
      <c r="F7" s="275" t="str">
        <f>IF(AND(C7&lt;&gt;"",D7&lt;&gt;""),TEXT(C7,"00")&amp;"."&amp;D7,"")</f>
        <v>01.USD - US Dollar</v>
      </c>
    </row>
    <row r="8" spans="3:6" ht="23.1" customHeight="1">
      <c r="C8" s="273">
        <v>2</v>
      </c>
      <c r="D8" s="275" t="s">
        <v>779</v>
      </c>
      <c r="E8" s="385" t="s">
        <v>780</v>
      </c>
      <c r="F8" s="275" t="str">
        <f t="shared" ref="F8:F19" si="0">IF(AND(C8&lt;&gt;"",D8&lt;&gt;""),TEXT(C8,"00")&amp;"."&amp;D8,"")</f>
        <v>02.KHR - Cambodia Riel</v>
      </c>
    </row>
    <row r="9" spans="3:6" ht="23.1" customHeight="1">
      <c r="C9" s="273">
        <v>3</v>
      </c>
      <c r="D9" s="275" t="s">
        <v>781</v>
      </c>
      <c r="E9" s="273" t="s">
        <v>782</v>
      </c>
      <c r="F9" s="275" t="str">
        <f t="shared" si="0"/>
        <v>03.THB - Thai Baht</v>
      </c>
    </row>
    <row r="10" spans="3:6" ht="23.1" customHeight="1">
      <c r="C10" s="273">
        <v>4</v>
      </c>
      <c r="D10" s="275" t="s">
        <v>783</v>
      </c>
      <c r="E10" s="273" t="s">
        <v>784</v>
      </c>
      <c r="F10" s="275" t="str">
        <f t="shared" si="0"/>
        <v>04.VND - Viet Nam Dong</v>
      </c>
    </row>
    <row r="11" spans="3:6" ht="23.1" customHeight="1">
      <c r="C11" s="273">
        <v>5</v>
      </c>
      <c r="D11" s="275" t="s">
        <v>785</v>
      </c>
      <c r="E11" s="273" t="s">
        <v>786</v>
      </c>
      <c r="F11" s="275" t="str">
        <f t="shared" si="0"/>
        <v>05.MYR - Malaysia Ringgit</v>
      </c>
    </row>
    <row r="12" spans="3:6" ht="23.1" customHeight="1">
      <c r="C12" s="273">
        <v>6</v>
      </c>
      <c r="D12" s="275" t="s">
        <v>787</v>
      </c>
      <c r="E12" s="273" t="s">
        <v>788</v>
      </c>
      <c r="F12" s="275" t="str">
        <f t="shared" si="0"/>
        <v>06.LAK - Laos Kip</v>
      </c>
    </row>
    <row r="13" spans="3:6" ht="23.1" customHeight="1">
      <c r="C13" s="273">
        <v>7</v>
      </c>
      <c r="D13" s="275" t="s">
        <v>789</v>
      </c>
      <c r="E13" s="273" t="s">
        <v>778</v>
      </c>
      <c r="F13" s="275" t="str">
        <f t="shared" si="0"/>
        <v>07.SGD - Singapore Dollar</v>
      </c>
    </row>
    <row r="14" spans="3:6" ht="23.1" customHeight="1">
      <c r="C14" s="273">
        <v>8</v>
      </c>
      <c r="D14" s="275" t="s">
        <v>790</v>
      </c>
      <c r="E14" s="273" t="s">
        <v>791</v>
      </c>
      <c r="F14" s="275" t="str">
        <f t="shared" si="0"/>
        <v>08.PHP - Philippines Peso</v>
      </c>
    </row>
    <row r="15" spans="3:6" ht="23.1" customHeight="1">
      <c r="C15" s="273">
        <v>9</v>
      </c>
      <c r="D15" s="275" t="s">
        <v>792</v>
      </c>
      <c r="E15" s="273" t="s">
        <v>793</v>
      </c>
      <c r="F15" s="275" t="str">
        <f t="shared" si="0"/>
        <v>09.IDR - Indonesia Rupiah</v>
      </c>
    </row>
    <row r="16" spans="3:6" ht="23.1" customHeight="1">
      <c r="C16" s="273">
        <v>10</v>
      </c>
      <c r="D16" s="275" t="s">
        <v>794</v>
      </c>
      <c r="E16" s="273" t="s">
        <v>778</v>
      </c>
      <c r="F16" s="275" t="str">
        <f t="shared" si="0"/>
        <v>10.BND - Brunei Darussalam Dollar</v>
      </c>
    </row>
    <row r="17" spans="3:6" ht="23.1" customHeight="1">
      <c r="C17" s="273">
        <v>11</v>
      </c>
      <c r="D17" s="275" t="s">
        <v>795</v>
      </c>
      <c r="E17" s="273" t="s">
        <v>796</v>
      </c>
      <c r="F17" s="275" t="str">
        <f t="shared" si="0"/>
        <v>11.CNY - China Yuan Renminbi</v>
      </c>
    </row>
    <row r="18" spans="3:6" ht="23.1" customHeight="1">
      <c r="C18" s="273">
        <v>12</v>
      </c>
      <c r="D18" s="275" t="s">
        <v>797</v>
      </c>
      <c r="E18" s="273" t="s">
        <v>796</v>
      </c>
      <c r="F18" s="275" t="str">
        <f t="shared" si="0"/>
        <v>12.JPY - Japan Yen</v>
      </c>
    </row>
    <row r="19" spans="3:6" ht="23.1" customHeight="1">
      <c r="C19" s="273">
        <v>13</v>
      </c>
      <c r="D19" s="275" t="s">
        <v>798</v>
      </c>
      <c r="E19" s="273" t="s">
        <v>799</v>
      </c>
      <c r="F19" s="275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7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90" zoomScaleNormal="90" workbookViewId="0">
      <pane ySplit="7" topLeftCell="A8" activePane="bottomLeft" state="frozen"/>
      <selection activeCell="B1" sqref="B1"/>
      <selection pane="bottomLeft" activeCell="L11" sqref="L11"/>
    </sheetView>
  </sheetViews>
  <sheetFormatPr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676" customWidth="1"/>
    <col min="5" max="5" width="21.140625" style="676" customWidth="1"/>
    <col min="6" max="6" width="21.7109375" style="676" customWidth="1"/>
    <col min="7" max="8" width="20.7109375" style="161" customWidth="1"/>
    <col min="9" max="9" width="11.5703125" style="126" customWidth="1"/>
    <col min="10" max="10" width="28" style="264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405"/>
      <c r="H1" s="405"/>
    </row>
    <row r="2" spans="3:14" ht="6" customHeight="1">
      <c r="D2" s="133"/>
      <c r="G2" s="405"/>
      <c r="H2" s="405"/>
    </row>
    <row r="3" spans="3:14" ht="6" customHeight="1">
      <c r="D3" s="133"/>
      <c r="G3" s="405"/>
      <c r="H3" s="405"/>
    </row>
    <row r="4" spans="3:14" ht="39" customHeight="1">
      <c r="C4" s="985" t="s">
        <v>2138</v>
      </c>
      <c r="D4" s="985"/>
      <c r="E4" s="985"/>
      <c r="F4" s="985"/>
      <c r="G4" s="985"/>
      <c r="H4" s="985"/>
      <c r="I4" s="865"/>
      <c r="J4" s="865"/>
      <c r="M4" s="353"/>
    </row>
    <row r="5" spans="3:14" ht="6" customHeight="1">
      <c r="D5" s="133"/>
      <c r="G5" s="405"/>
      <c r="H5" s="405"/>
    </row>
    <row r="6" spans="3:14" ht="25.5">
      <c r="C6" s="990" t="s">
        <v>47</v>
      </c>
      <c r="D6" s="990" t="s">
        <v>1652</v>
      </c>
      <c r="E6" s="990" t="s">
        <v>1611</v>
      </c>
      <c r="F6" s="990" t="s">
        <v>309</v>
      </c>
      <c r="G6" s="990" t="s">
        <v>1586</v>
      </c>
      <c r="H6" s="990" t="s">
        <v>84</v>
      </c>
      <c r="I6" s="990" t="s">
        <v>224</v>
      </c>
      <c r="J6" s="990" t="s">
        <v>2280</v>
      </c>
      <c r="K6" s="990" t="s">
        <v>1652</v>
      </c>
    </row>
    <row r="7" spans="3:14" ht="19.5" customHeight="1">
      <c r="C7" s="991" t="s">
        <v>10</v>
      </c>
      <c r="D7" s="991" t="s">
        <v>718</v>
      </c>
      <c r="E7" s="991" t="s">
        <v>12</v>
      </c>
      <c r="F7" s="991" t="s">
        <v>2766</v>
      </c>
      <c r="G7" s="991" t="s">
        <v>16</v>
      </c>
      <c r="H7" s="991" t="s">
        <v>89</v>
      </c>
      <c r="I7" s="991" t="s">
        <v>427</v>
      </c>
      <c r="J7" s="991" t="s">
        <v>2279</v>
      </c>
      <c r="K7" s="991" t="s">
        <v>718</v>
      </c>
      <c r="L7" s="68" t="s">
        <v>3224</v>
      </c>
    </row>
    <row r="8" spans="3:14" ht="25.5">
      <c r="C8" s="986">
        <v>1</v>
      </c>
      <c r="D8" s="987" t="str">
        <f t="shared" ref="D8:D61" si="0">MID(K8,4,100)</f>
        <v>ចំនួនរាប់</v>
      </c>
      <c r="E8" s="988" t="s">
        <v>151</v>
      </c>
      <c r="F8" s="989" t="s">
        <v>19</v>
      </c>
      <c r="G8" s="989" t="s">
        <v>19</v>
      </c>
      <c r="H8" s="988" t="s">
        <v>2774</v>
      </c>
      <c r="I8" s="986" t="s">
        <v>49</v>
      </c>
      <c r="J8" s="251" t="str">
        <f>IF(AND(C8&lt;&gt;"",G8&lt;&gt;""),TEXT(C8,"000")&amp;"."&amp;G8,"")</f>
        <v>001.Unit</v>
      </c>
      <c r="K8" s="256" t="s">
        <v>2245</v>
      </c>
    </row>
    <row r="9" spans="3:14" ht="25.5">
      <c r="C9" s="986">
        <v>2</v>
      </c>
      <c r="D9" s="987" t="str">
        <f t="shared" si="0"/>
        <v>ចំនួនរាប់</v>
      </c>
      <c r="E9" s="871" t="s">
        <v>2228</v>
      </c>
      <c r="F9" s="869" t="s">
        <v>2277</v>
      </c>
      <c r="G9" s="869" t="s">
        <v>2307</v>
      </c>
      <c r="H9" s="871" t="s">
        <v>2774</v>
      </c>
      <c r="I9" s="843" t="s">
        <v>49</v>
      </c>
      <c r="J9" s="251" t="str">
        <f t="shared" ref="J9:J61" si="1">IF(AND(C9&lt;&gt;"",G9&lt;&gt;""),TEXT(C9,"000")&amp;"."&amp;G9,"")</f>
        <v>002.pcs</v>
      </c>
      <c r="K9" s="256" t="s">
        <v>2245</v>
      </c>
    </row>
    <row r="10" spans="3:14" ht="25.5">
      <c r="C10" s="986">
        <v>3</v>
      </c>
      <c r="D10" s="987" t="str">
        <f t="shared" si="0"/>
        <v>ចំនួនរាប់</v>
      </c>
      <c r="E10" s="871" t="s">
        <v>2227</v>
      </c>
      <c r="F10" s="869" t="s">
        <v>2257</v>
      </c>
      <c r="G10" s="869" t="s">
        <v>2275</v>
      </c>
      <c r="H10" s="871" t="s">
        <v>2774</v>
      </c>
      <c r="I10" s="843" t="s">
        <v>49</v>
      </c>
      <c r="J10" s="251" t="str">
        <f t="shared" si="1"/>
        <v>003.Pack</v>
      </c>
      <c r="K10" s="256" t="s">
        <v>2245</v>
      </c>
      <c r="N10" s="569"/>
    </row>
    <row r="11" spans="3:14" ht="25.5">
      <c r="C11" s="986">
        <v>4</v>
      </c>
      <c r="D11" s="987" t="str">
        <f t="shared" si="0"/>
        <v>ចំនួនរាប់</v>
      </c>
      <c r="E11" s="871" t="s">
        <v>2246</v>
      </c>
      <c r="F11" s="869" t="s">
        <v>2753</v>
      </c>
      <c r="G11" s="869" t="s">
        <v>2258</v>
      </c>
      <c r="H11" s="871" t="s">
        <v>2775</v>
      </c>
      <c r="I11" s="843" t="s">
        <v>49</v>
      </c>
      <c r="J11" s="251" t="str">
        <f t="shared" si="1"/>
        <v>004.Case</v>
      </c>
      <c r="K11" s="256" t="s">
        <v>2245</v>
      </c>
      <c r="N11" s="569"/>
    </row>
    <row r="12" spans="3:14" ht="25.5">
      <c r="C12" s="986">
        <v>5</v>
      </c>
      <c r="D12" s="987" t="str">
        <f t="shared" si="0"/>
        <v>ចំនួនរាប់</v>
      </c>
      <c r="E12" s="871" t="s">
        <v>2231</v>
      </c>
      <c r="F12" s="873" t="s">
        <v>1906</v>
      </c>
      <c r="G12" s="869" t="s">
        <v>1906</v>
      </c>
      <c r="H12" s="871" t="s">
        <v>2774</v>
      </c>
      <c r="I12" s="843" t="s">
        <v>49</v>
      </c>
      <c r="J12" s="251" t="str">
        <f t="shared" si="1"/>
        <v>005.Box</v>
      </c>
      <c r="K12" s="256" t="s">
        <v>2245</v>
      </c>
    </row>
    <row r="13" spans="3:14" ht="25.5">
      <c r="C13" s="986">
        <v>6</v>
      </c>
      <c r="D13" s="987" t="str">
        <f t="shared" si="0"/>
        <v>ចំនួនរាប់</v>
      </c>
      <c r="E13" s="871" t="s">
        <v>2273</v>
      </c>
      <c r="F13" s="873" t="s">
        <v>2278</v>
      </c>
      <c r="G13" s="869" t="s">
        <v>2274</v>
      </c>
      <c r="H13" s="871" t="s">
        <v>2774</v>
      </c>
      <c r="I13" s="843" t="s">
        <v>49</v>
      </c>
      <c r="J13" s="251" t="str">
        <f t="shared" si="1"/>
        <v>006.Ctn</v>
      </c>
      <c r="K13" s="256" t="s">
        <v>2245</v>
      </c>
    </row>
    <row r="14" spans="3:14" ht="25.5">
      <c r="C14" s="986">
        <v>7</v>
      </c>
      <c r="D14" s="987" t="str">
        <f t="shared" si="0"/>
        <v>ចំនួនរាប់</v>
      </c>
      <c r="E14" s="871" t="s">
        <v>2750</v>
      </c>
      <c r="F14" s="873" t="s">
        <v>2260</v>
      </c>
      <c r="G14" s="869" t="s">
        <v>2260</v>
      </c>
      <c r="H14" s="871" t="s">
        <v>2774</v>
      </c>
      <c r="I14" s="843">
        <v>1</v>
      </c>
      <c r="J14" s="251" t="str">
        <f t="shared" si="1"/>
        <v>007.Lots</v>
      </c>
      <c r="K14" s="256" t="s">
        <v>2245</v>
      </c>
    </row>
    <row r="15" spans="3:14" ht="25.5">
      <c r="C15" s="986">
        <v>8</v>
      </c>
      <c r="D15" s="987" t="str">
        <f t="shared" si="0"/>
        <v>ចំនួនរាប់</v>
      </c>
      <c r="E15" s="871" t="s">
        <v>2256</v>
      </c>
      <c r="F15" s="873" t="s">
        <v>2259</v>
      </c>
      <c r="G15" s="869" t="s">
        <v>2259</v>
      </c>
      <c r="H15" s="871" t="s">
        <v>2774</v>
      </c>
      <c r="I15" s="843" t="s">
        <v>49</v>
      </c>
      <c r="J15" s="251" t="str">
        <f t="shared" si="1"/>
        <v>008.Pair</v>
      </c>
      <c r="K15" s="256" t="s">
        <v>2245</v>
      </c>
      <c r="N15" s="569"/>
    </row>
    <row r="16" spans="3:14" ht="25.5">
      <c r="C16" s="986">
        <v>9</v>
      </c>
      <c r="D16" s="987" t="str">
        <f t="shared" si="0"/>
        <v>ចំនួនរាប់</v>
      </c>
      <c r="E16" s="871" t="s">
        <v>2765</v>
      </c>
      <c r="F16" s="873" t="s">
        <v>2272</v>
      </c>
      <c r="G16" s="869" t="s">
        <v>2272</v>
      </c>
      <c r="H16" s="871" t="s">
        <v>2774</v>
      </c>
      <c r="I16" s="843" t="s">
        <v>49</v>
      </c>
      <c r="J16" s="251" t="str">
        <f t="shared" si="1"/>
        <v>009.Can</v>
      </c>
      <c r="K16" s="256" t="s">
        <v>2245</v>
      </c>
    </row>
    <row r="17" spans="3:15" ht="25.5">
      <c r="C17" s="986">
        <v>10</v>
      </c>
      <c r="D17" s="987" t="str">
        <f t="shared" si="0"/>
        <v>ចំនួនរាប់</v>
      </c>
      <c r="E17" s="871" t="s">
        <v>2270</v>
      </c>
      <c r="F17" s="873" t="s">
        <v>2276</v>
      </c>
      <c r="G17" s="869" t="s">
        <v>2271</v>
      </c>
      <c r="H17" s="871" t="s">
        <v>2774</v>
      </c>
      <c r="I17" s="843" t="s">
        <v>49</v>
      </c>
      <c r="J17" s="251" t="str">
        <f t="shared" si="1"/>
        <v>010.Btl</v>
      </c>
      <c r="K17" s="256" t="s">
        <v>2245</v>
      </c>
    </row>
    <row r="18" spans="3:15" ht="25.5">
      <c r="C18" s="986">
        <v>11</v>
      </c>
      <c r="D18" s="987" t="str">
        <f t="shared" si="0"/>
        <v>ទម្ងន់</v>
      </c>
      <c r="E18" s="871" t="s">
        <v>2286</v>
      </c>
      <c r="F18" s="873" t="s">
        <v>2825</v>
      </c>
      <c r="G18" s="869" t="s">
        <v>2287</v>
      </c>
      <c r="H18" s="871" t="s">
        <v>2770</v>
      </c>
      <c r="I18" s="843" t="s">
        <v>49</v>
      </c>
      <c r="J18" s="251" t="str">
        <f t="shared" si="1"/>
        <v>011.g</v>
      </c>
      <c r="K18" s="256" t="s">
        <v>2248</v>
      </c>
    </row>
    <row r="19" spans="3:15" ht="25.5">
      <c r="C19" s="986">
        <v>12</v>
      </c>
      <c r="D19" s="987" t="str">
        <f t="shared" si="0"/>
        <v>ទម្ងន់</v>
      </c>
      <c r="E19" s="871" t="s">
        <v>2290</v>
      </c>
      <c r="F19" s="873" t="s">
        <v>2826</v>
      </c>
      <c r="G19" s="869" t="s">
        <v>2834</v>
      </c>
      <c r="H19" s="871" t="s">
        <v>2770</v>
      </c>
      <c r="I19" s="843" t="s">
        <v>49</v>
      </c>
      <c r="J19" s="251" t="str">
        <f t="shared" si="1"/>
        <v>012.kg</v>
      </c>
      <c r="K19" s="256" t="s">
        <v>2248</v>
      </c>
    </row>
    <row r="20" spans="3:15" ht="25.5">
      <c r="C20" s="986">
        <v>13</v>
      </c>
      <c r="D20" s="987" t="str">
        <f t="shared" si="0"/>
        <v>ទម្ងន់</v>
      </c>
      <c r="E20" s="871" t="s">
        <v>2819</v>
      </c>
      <c r="F20" s="873" t="s">
        <v>2820</v>
      </c>
      <c r="G20" s="869" t="s">
        <v>2835</v>
      </c>
      <c r="H20" s="871" t="s">
        <v>2775</v>
      </c>
      <c r="I20" s="843" t="s">
        <v>49</v>
      </c>
      <c r="J20" s="251" t="str">
        <f t="shared" si="1"/>
        <v>013.ton</v>
      </c>
      <c r="K20" s="256" t="s">
        <v>2248</v>
      </c>
    </row>
    <row r="21" spans="3:15" ht="25.5">
      <c r="C21" s="986">
        <v>14</v>
      </c>
      <c r="D21" s="987" t="str">
        <f t="shared" si="0"/>
        <v>ប្រវែង</v>
      </c>
      <c r="E21" s="871" t="s">
        <v>2822</v>
      </c>
      <c r="F21" s="873" t="s">
        <v>2821</v>
      </c>
      <c r="G21" s="869" t="s">
        <v>2836</v>
      </c>
      <c r="H21" s="871" t="s">
        <v>2838</v>
      </c>
      <c r="I21" s="843" t="s">
        <v>49</v>
      </c>
      <c r="J21" s="251" t="str">
        <f t="shared" si="1"/>
        <v>014.lee</v>
      </c>
      <c r="K21" s="256" t="s">
        <v>2249</v>
      </c>
    </row>
    <row r="22" spans="3:15" ht="25.5">
      <c r="C22" s="986">
        <v>15</v>
      </c>
      <c r="D22" s="987" t="str">
        <f t="shared" si="0"/>
        <v>ប្រវែង</v>
      </c>
      <c r="E22" s="871" t="s">
        <v>2823</v>
      </c>
      <c r="F22" s="873" t="s">
        <v>2824</v>
      </c>
      <c r="G22" s="869" t="s">
        <v>2837</v>
      </c>
      <c r="H22" s="871" t="s">
        <v>2838</v>
      </c>
      <c r="I22" s="843" t="s">
        <v>49</v>
      </c>
      <c r="J22" s="251" t="str">
        <f t="shared" si="1"/>
        <v>015.fun</v>
      </c>
      <c r="K22" s="256" t="s">
        <v>2249</v>
      </c>
    </row>
    <row r="23" spans="3:15" ht="25.5">
      <c r="C23" s="986">
        <v>16</v>
      </c>
      <c r="D23" s="987" t="str">
        <f t="shared" si="0"/>
        <v>ប្រវែង</v>
      </c>
      <c r="E23" s="871" t="s">
        <v>2229</v>
      </c>
      <c r="F23" s="873" t="s">
        <v>2827</v>
      </c>
      <c r="G23" s="869" t="s">
        <v>2261</v>
      </c>
      <c r="H23" s="871" t="s">
        <v>2770</v>
      </c>
      <c r="I23" s="843" t="s">
        <v>49</v>
      </c>
      <c r="J23" s="251" t="str">
        <f t="shared" si="1"/>
        <v>016.m</v>
      </c>
      <c r="K23" s="256" t="s">
        <v>2249</v>
      </c>
    </row>
    <row r="24" spans="3:15" ht="25.5">
      <c r="C24" s="986">
        <v>17</v>
      </c>
      <c r="D24" s="987" t="str">
        <f t="shared" si="0"/>
        <v>ប្រវែង</v>
      </c>
      <c r="E24" s="871" t="s">
        <v>2772</v>
      </c>
      <c r="F24" s="873" t="s">
        <v>2828</v>
      </c>
      <c r="G24" s="869" t="s">
        <v>1907</v>
      </c>
      <c r="H24" s="871" t="s">
        <v>2770</v>
      </c>
      <c r="I24" s="843" t="s">
        <v>49</v>
      </c>
      <c r="J24" s="251" t="str">
        <f t="shared" si="1"/>
        <v>017.mm</v>
      </c>
      <c r="K24" s="256" t="s">
        <v>2249</v>
      </c>
      <c r="N24" s="569"/>
    </row>
    <row r="25" spans="3:15" ht="25.5">
      <c r="C25" s="986">
        <v>18</v>
      </c>
      <c r="D25" s="987" t="str">
        <f t="shared" si="0"/>
        <v>ប្រវែង</v>
      </c>
      <c r="E25" s="871" t="s">
        <v>2773</v>
      </c>
      <c r="F25" s="873" t="s">
        <v>2829</v>
      </c>
      <c r="G25" s="869" t="s">
        <v>2262</v>
      </c>
      <c r="H25" s="871" t="s">
        <v>2770</v>
      </c>
      <c r="I25" s="843" t="s">
        <v>49</v>
      </c>
      <c r="J25" s="251" t="str">
        <f t="shared" si="1"/>
        <v>018.cm</v>
      </c>
      <c r="K25" s="256" t="s">
        <v>2249</v>
      </c>
      <c r="N25" s="569"/>
    </row>
    <row r="26" spans="3:15" ht="25.5">
      <c r="C26" s="986">
        <v>19</v>
      </c>
      <c r="D26" s="987" t="str">
        <f t="shared" si="0"/>
        <v>ផ្ទៃក្រឡា</v>
      </c>
      <c r="E26" s="871" t="s">
        <v>2247</v>
      </c>
      <c r="F26" s="873" t="s">
        <v>2830</v>
      </c>
      <c r="G26" s="873" t="s">
        <v>2776</v>
      </c>
      <c r="H26" s="871" t="s">
        <v>2770</v>
      </c>
      <c r="I26" s="843" t="s">
        <v>49</v>
      </c>
      <c r="J26" s="251" t="str">
        <f t="shared" si="1"/>
        <v>019.m2</v>
      </c>
      <c r="K26" s="256" t="s">
        <v>2866</v>
      </c>
    </row>
    <row r="27" spans="3:15" ht="25.5">
      <c r="C27" s="986">
        <v>20</v>
      </c>
      <c r="D27" s="987" t="str">
        <f t="shared" si="0"/>
        <v>មាឌ</v>
      </c>
      <c r="E27" s="871" t="s">
        <v>2832</v>
      </c>
      <c r="F27" s="873" t="s">
        <v>2831</v>
      </c>
      <c r="G27" s="873" t="s">
        <v>2777</v>
      </c>
      <c r="H27" s="871" t="s">
        <v>2770</v>
      </c>
      <c r="I27" s="843" t="s">
        <v>49</v>
      </c>
      <c r="J27" s="251" t="str">
        <f t="shared" si="1"/>
        <v>020.m3</v>
      </c>
      <c r="K27" s="256" t="s">
        <v>2251</v>
      </c>
    </row>
    <row r="28" spans="3:15" ht="25.5">
      <c r="C28" s="986">
        <v>21</v>
      </c>
      <c r="D28" s="987" t="str">
        <f t="shared" si="0"/>
        <v>មាឌ</v>
      </c>
      <c r="E28" s="871" t="s">
        <v>2230</v>
      </c>
      <c r="F28" s="873" t="s">
        <v>2833</v>
      </c>
      <c r="G28" s="873" t="s">
        <v>2263</v>
      </c>
      <c r="H28" s="871" t="s">
        <v>2770</v>
      </c>
      <c r="I28" s="843" t="s">
        <v>49</v>
      </c>
      <c r="J28" s="251" t="str">
        <f t="shared" si="1"/>
        <v>021.L</v>
      </c>
      <c r="K28" s="256" t="s">
        <v>2251</v>
      </c>
    </row>
    <row r="29" spans="3:15" ht="25.5">
      <c r="C29" s="986">
        <v>22</v>
      </c>
      <c r="D29" s="987" t="str">
        <f t="shared" si="0"/>
        <v>ចំនួនរាប់</v>
      </c>
      <c r="E29" s="871" t="s">
        <v>2754</v>
      </c>
      <c r="F29" s="873" t="s">
        <v>2768</v>
      </c>
      <c r="G29" s="869" t="s">
        <v>2755</v>
      </c>
      <c r="H29" s="871" t="s">
        <v>2771</v>
      </c>
      <c r="I29" s="843" t="s">
        <v>49</v>
      </c>
      <c r="J29" s="251" t="str">
        <f t="shared" si="1"/>
        <v>022.Be</v>
      </c>
      <c r="K29" s="256" t="s">
        <v>2245</v>
      </c>
    </row>
    <row r="30" spans="3:15" ht="25.5">
      <c r="C30" s="986">
        <v>23</v>
      </c>
      <c r="D30" s="987" t="str">
        <f t="shared" si="0"/>
        <v>មាឌ</v>
      </c>
      <c r="E30" s="871" t="s">
        <v>2767</v>
      </c>
      <c r="F30" s="873" t="s">
        <v>2282</v>
      </c>
      <c r="G30" s="873" t="s">
        <v>2289</v>
      </c>
      <c r="H30" s="872" t="s">
        <v>2771</v>
      </c>
      <c r="I30" s="843" t="s">
        <v>49</v>
      </c>
      <c r="J30" s="251" t="str">
        <f t="shared" si="1"/>
        <v>023.bbl</v>
      </c>
      <c r="K30" s="256" t="s">
        <v>2251</v>
      </c>
    </row>
    <row r="31" spans="3:15" ht="25.5">
      <c r="C31" s="986">
        <v>24</v>
      </c>
      <c r="D31" s="987" t="str">
        <f t="shared" si="0"/>
        <v>ចំនួនរាប់</v>
      </c>
      <c r="E31" s="871" t="s">
        <v>2769</v>
      </c>
      <c r="F31" s="873" t="s">
        <v>2281</v>
      </c>
      <c r="G31" s="873" t="s">
        <v>2281</v>
      </c>
      <c r="H31" s="872" t="s">
        <v>2771</v>
      </c>
      <c r="I31" s="843" t="s">
        <v>49</v>
      </c>
      <c r="J31" s="251" t="str">
        <f t="shared" si="1"/>
        <v>024.Bidon</v>
      </c>
      <c r="K31" s="256" t="s">
        <v>2245</v>
      </c>
      <c r="N31" s="569"/>
    </row>
    <row r="32" spans="3:15" s="140" customFormat="1" ht="25.5">
      <c r="C32" s="986">
        <v>25</v>
      </c>
      <c r="D32" s="987" t="str">
        <f t="shared" si="0"/>
        <v>ចំនួនរាប់</v>
      </c>
      <c r="E32" s="868" t="s">
        <v>2253</v>
      </c>
      <c r="F32" s="870" t="s">
        <v>2265</v>
      </c>
      <c r="G32" s="870" t="s">
        <v>2292</v>
      </c>
      <c r="H32" s="872" t="s">
        <v>2774</v>
      </c>
      <c r="I32" s="843" t="s">
        <v>49</v>
      </c>
      <c r="J32" s="251" t="str">
        <f t="shared" si="1"/>
        <v>025.Box/6pcs</v>
      </c>
      <c r="K32" s="256" t="s">
        <v>2245</v>
      </c>
      <c r="L32" s="130"/>
      <c r="O32" s="133"/>
    </row>
    <row r="33" spans="3:15" s="140" customFormat="1" ht="25.5">
      <c r="C33" s="986">
        <v>26</v>
      </c>
      <c r="D33" s="987" t="str">
        <f t="shared" si="0"/>
        <v>ចំនួនរាប់</v>
      </c>
      <c r="E33" s="868" t="s">
        <v>2252</v>
      </c>
      <c r="F33" s="870" t="s">
        <v>2264</v>
      </c>
      <c r="G33" s="870" t="s">
        <v>2291</v>
      </c>
      <c r="H33" s="872" t="s">
        <v>2774</v>
      </c>
      <c r="I33" s="843" t="s">
        <v>49</v>
      </c>
      <c r="J33" s="251" t="str">
        <f t="shared" si="1"/>
        <v>026.Box/12pcs</v>
      </c>
      <c r="K33" s="256" t="s">
        <v>2245</v>
      </c>
      <c r="L33" s="130"/>
      <c r="O33" s="133"/>
    </row>
    <row r="34" spans="3:15" s="140" customFormat="1" ht="25.5">
      <c r="C34" s="986">
        <v>27</v>
      </c>
      <c r="D34" s="987" t="str">
        <f t="shared" si="0"/>
        <v>ចំនួនរាប់</v>
      </c>
      <c r="E34" s="868" t="s">
        <v>2867</v>
      </c>
      <c r="F34" s="869" t="s">
        <v>2839</v>
      </c>
      <c r="G34" s="870" t="s">
        <v>2852</v>
      </c>
      <c r="H34" s="871" t="s">
        <v>2774</v>
      </c>
      <c r="I34" s="843" t="s">
        <v>49</v>
      </c>
      <c r="J34" s="251" t="str">
        <f t="shared" si="1"/>
        <v>027.Can/17l</v>
      </c>
      <c r="K34" s="256" t="s">
        <v>2245</v>
      </c>
      <c r="L34" s="130"/>
      <c r="O34" s="133"/>
    </row>
    <row r="35" spans="3:15" s="140" customFormat="1" ht="25.5">
      <c r="C35" s="986">
        <v>28</v>
      </c>
      <c r="D35" s="987" t="str">
        <f t="shared" si="0"/>
        <v>ចំនួនរាប់</v>
      </c>
      <c r="E35" s="868" t="s">
        <v>2868</v>
      </c>
      <c r="F35" s="869" t="s">
        <v>2840</v>
      </c>
      <c r="G35" s="870" t="s">
        <v>2853</v>
      </c>
      <c r="H35" s="871" t="s">
        <v>2774</v>
      </c>
      <c r="I35" s="843" t="s">
        <v>49</v>
      </c>
      <c r="J35" s="251" t="str">
        <f t="shared" si="1"/>
        <v>028.Can/18l</v>
      </c>
      <c r="K35" s="256" t="s">
        <v>2245</v>
      </c>
      <c r="L35" s="130"/>
      <c r="O35" s="133"/>
    </row>
    <row r="36" spans="3:15" s="140" customFormat="1" ht="25.5">
      <c r="C36" s="986">
        <v>29</v>
      </c>
      <c r="D36" s="987" t="str">
        <f t="shared" si="0"/>
        <v>ចំនួនរាប់</v>
      </c>
      <c r="E36" s="868" t="s">
        <v>2254</v>
      </c>
      <c r="F36" s="869" t="s">
        <v>2267</v>
      </c>
      <c r="G36" s="870" t="s">
        <v>2294</v>
      </c>
      <c r="H36" s="871" t="s">
        <v>2775</v>
      </c>
      <c r="I36" s="843" t="s">
        <v>49</v>
      </c>
      <c r="J36" s="251" t="str">
        <f t="shared" si="1"/>
        <v>029.Case/4pcs</v>
      </c>
      <c r="K36" s="256" t="s">
        <v>2245</v>
      </c>
      <c r="L36" s="130"/>
      <c r="O36" s="569"/>
    </row>
    <row r="37" spans="3:15" s="140" customFormat="1" ht="25.5">
      <c r="C37" s="986">
        <v>30</v>
      </c>
      <c r="D37" s="987" t="str">
        <f t="shared" si="0"/>
        <v>ចំនួនរាប់</v>
      </c>
      <c r="E37" s="868" t="s">
        <v>2255</v>
      </c>
      <c r="F37" s="869" t="s">
        <v>2268</v>
      </c>
      <c r="G37" s="870" t="s">
        <v>2295</v>
      </c>
      <c r="H37" s="871" t="s">
        <v>2775</v>
      </c>
      <c r="I37" s="843" t="s">
        <v>49</v>
      </c>
      <c r="J37" s="251" t="str">
        <f t="shared" si="1"/>
        <v>030.Case/12pcs</v>
      </c>
      <c r="K37" s="256" t="s">
        <v>2245</v>
      </c>
      <c r="L37" s="130"/>
      <c r="O37" s="569"/>
    </row>
    <row r="38" spans="3:15" s="140" customFormat="1" ht="25.5">
      <c r="C38" s="986">
        <v>31</v>
      </c>
      <c r="D38" s="987" t="str">
        <f t="shared" si="0"/>
        <v>ចំនួនរាប់</v>
      </c>
      <c r="E38" s="868" t="s">
        <v>2872</v>
      </c>
      <c r="F38" s="869" t="s">
        <v>2844</v>
      </c>
      <c r="G38" s="870" t="s">
        <v>2854</v>
      </c>
      <c r="H38" s="871" t="s">
        <v>2775</v>
      </c>
      <c r="I38" s="843" t="s">
        <v>49</v>
      </c>
      <c r="J38" s="251" t="str">
        <f t="shared" si="1"/>
        <v>031.Case/20pcs</v>
      </c>
      <c r="K38" s="256" t="s">
        <v>2245</v>
      </c>
      <c r="L38" s="130"/>
      <c r="O38" s="569"/>
    </row>
    <row r="39" spans="3:15" s="140" customFormat="1" ht="25.5">
      <c r="C39" s="986">
        <v>32</v>
      </c>
      <c r="D39" s="987" t="str">
        <f t="shared" si="0"/>
        <v>ចំនួនរាប់</v>
      </c>
      <c r="E39" s="868" t="s">
        <v>2738</v>
      </c>
      <c r="F39" s="869" t="s">
        <v>2722</v>
      </c>
      <c r="G39" s="870" t="s">
        <v>2732</v>
      </c>
      <c r="H39" s="871" t="s">
        <v>2775</v>
      </c>
      <c r="I39" s="843" t="s">
        <v>49</v>
      </c>
      <c r="J39" s="251" t="str">
        <f t="shared" si="1"/>
        <v>032.Case/24pcs</v>
      </c>
      <c r="K39" s="256" t="s">
        <v>2245</v>
      </c>
      <c r="L39" s="130"/>
    </row>
    <row r="40" spans="3:15" s="140" customFormat="1" ht="25.5">
      <c r="C40" s="986">
        <v>33</v>
      </c>
      <c r="D40" s="987" t="str">
        <f t="shared" si="0"/>
        <v>ចំនួនរាប់</v>
      </c>
      <c r="E40" s="868" t="s">
        <v>2739</v>
      </c>
      <c r="F40" s="869" t="s">
        <v>2723</v>
      </c>
      <c r="G40" s="870" t="s">
        <v>2733</v>
      </c>
      <c r="H40" s="871" t="s">
        <v>2775</v>
      </c>
      <c r="I40" s="843" t="s">
        <v>49</v>
      </c>
      <c r="J40" s="251" t="str">
        <f t="shared" si="1"/>
        <v>033.Case/25pcs</v>
      </c>
      <c r="K40" s="256" t="s">
        <v>2245</v>
      </c>
      <c r="L40" s="130"/>
    </row>
    <row r="41" spans="3:15" s="140" customFormat="1" ht="25.5">
      <c r="C41" s="986">
        <v>34</v>
      </c>
      <c r="D41" s="987" t="str">
        <f t="shared" si="0"/>
        <v>ចំនួនរាប់</v>
      </c>
      <c r="E41" s="868" t="s">
        <v>2873</v>
      </c>
      <c r="F41" s="869" t="s">
        <v>2850</v>
      </c>
      <c r="G41" s="870" t="s">
        <v>2855</v>
      </c>
      <c r="H41" s="871" t="s">
        <v>2775</v>
      </c>
      <c r="I41" s="843" t="s">
        <v>49</v>
      </c>
      <c r="J41" s="251" t="str">
        <f t="shared" si="1"/>
        <v>034.Case/50pcs</v>
      </c>
      <c r="K41" s="256" t="s">
        <v>2245</v>
      </c>
      <c r="L41" s="130"/>
    </row>
    <row r="42" spans="3:15" s="140" customFormat="1" ht="25.5">
      <c r="C42" s="986">
        <v>35</v>
      </c>
      <c r="D42" s="987" t="str">
        <f t="shared" si="0"/>
        <v>ចំនួនរាប់</v>
      </c>
      <c r="E42" s="868" t="s">
        <v>2736</v>
      </c>
      <c r="F42" s="869" t="s">
        <v>2724</v>
      </c>
      <c r="G42" s="870" t="s">
        <v>2730</v>
      </c>
      <c r="H42" s="871" t="s">
        <v>2775</v>
      </c>
      <c r="I42" s="843" t="s">
        <v>49</v>
      </c>
      <c r="J42" s="251" t="str">
        <f t="shared" si="1"/>
        <v>035.Case/100pcs</v>
      </c>
      <c r="K42" s="256" t="s">
        <v>2245</v>
      </c>
      <c r="L42" s="130"/>
    </row>
    <row r="43" spans="3:15" s="140" customFormat="1" ht="25.5">
      <c r="C43" s="986">
        <v>36</v>
      </c>
      <c r="D43" s="987" t="str">
        <f t="shared" si="0"/>
        <v>ចំនួនរាប់</v>
      </c>
      <c r="E43" s="868" t="s">
        <v>2874</v>
      </c>
      <c r="F43" s="869" t="s">
        <v>2842</v>
      </c>
      <c r="G43" s="870" t="s">
        <v>2856</v>
      </c>
      <c r="H43" s="871" t="s">
        <v>2775</v>
      </c>
      <c r="I43" s="843" t="s">
        <v>49</v>
      </c>
      <c r="J43" s="251" t="str">
        <f t="shared" si="1"/>
        <v>036.Case/150pcs</v>
      </c>
      <c r="K43" s="256" t="s">
        <v>2245</v>
      </c>
      <c r="L43" s="130"/>
    </row>
    <row r="44" spans="3:15" s="140" customFormat="1" ht="25.5">
      <c r="C44" s="986">
        <v>37</v>
      </c>
      <c r="D44" s="987" t="str">
        <f t="shared" si="0"/>
        <v>ចំនួនរាប់</v>
      </c>
      <c r="E44" s="868" t="s">
        <v>2875</v>
      </c>
      <c r="F44" s="869" t="s">
        <v>2843</v>
      </c>
      <c r="G44" s="870" t="s">
        <v>2857</v>
      </c>
      <c r="H44" s="871" t="s">
        <v>2775</v>
      </c>
      <c r="I44" s="843" t="s">
        <v>49</v>
      </c>
      <c r="J44" s="251" t="str">
        <f t="shared" si="1"/>
        <v>037.Case/180pcs</v>
      </c>
      <c r="K44" s="256" t="s">
        <v>2245</v>
      </c>
      <c r="L44" s="130"/>
    </row>
    <row r="45" spans="3:15" s="140" customFormat="1" ht="25.5">
      <c r="C45" s="986">
        <v>38</v>
      </c>
      <c r="D45" s="987" t="str">
        <f t="shared" si="0"/>
        <v>ចំនួនរាប់</v>
      </c>
      <c r="E45" s="868" t="s">
        <v>2876</v>
      </c>
      <c r="F45" s="869" t="s">
        <v>2845</v>
      </c>
      <c r="G45" s="870" t="s">
        <v>2858</v>
      </c>
      <c r="H45" s="871" t="s">
        <v>2775</v>
      </c>
      <c r="I45" s="843" t="s">
        <v>49</v>
      </c>
      <c r="J45" s="251" t="str">
        <f t="shared" si="1"/>
        <v>038.Case/216pcs</v>
      </c>
      <c r="K45" s="256" t="s">
        <v>2245</v>
      </c>
      <c r="L45" s="130"/>
    </row>
    <row r="46" spans="3:15" s="140" customFormat="1" ht="25.5">
      <c r="C46" s="986">
        <v>39</v>
      </c>
      <c r="D46" s="987" t="str">
        <f t="shared" si="0"/>
        <v>ចំនួនរាប់</v>
      </c>
      <c r="E46" s="868" t="s">
        <v>2877</v>
      </c>
      <c r="F46" s="869" t="s">
        <v>2846</v>
      </c>
      <c r="G46" s="870" t="s">
        <v>2859</v>
      </c>
      <c r="H46" s="871" t="s">
        <v>2775</v>
      </c>
      <c r="I46" s="843" t="s">
        <v>49</v>
      </c>
      <c r="J46" s="251" t="str">
        <f t="shared" si="1"/>
        <v>039.Case/270pcs</v>
      </c>
      <c r="K46" s="256" t="s">
        <v>2245</v>
      </c>
      <c r="L46" s="130"/>
    </row>
    <row r="47" spans="3:15" s="140" customFormat="1" ht="25.5">
      <c r="C47" s="986">
        <v>40</v>
      </c>
      <c r="D47" s="987" t="str">
        <f t="shared" si="0"/>
        <v>ចំនួនរាប់</v>
      </c>
      <c r="E47" s="868" t="s">
        <v>2878</v>
      </c>
      <c r="F47" s="869" t="s">
        <v>2847</v>
      </c>
      <c r="G47" s="870" t="s">
        <v>2860</v>
      </c>
      <c r="H47" s="871" t="s">
        <v>2775</v>
      </c>
      <c r="I47" s="843" t="s">
        <v>49</v>
      </c>
      <c r="J47" s="251" t="str">
        <f t="shared" si="1"/>
        <v>040.Case/288pcs</v>
      </c>
      <c r="K47" s="256" t="s">
        <v>2245</v>
      </c>
      <c r="L47" s="130"/>
    </row>
    <row r="48" spans="3:15" s="140" customFormat="1" ht="25.5">
      <c r="C48" s="986">
        <v>41</v>
      </c>
      <c r="D48" s="987" t="str">
        <f t="shared" si="0"/>
        <v>ចំនួនរាប់</v>
      </c>
      <c r="E48" s="868" t="s">
        <v>2879</v>
      </c>
      <c r="F48" s="869" t="s">
        <v>2848</v>
      </c>
      <c r="G48" s="870" t="s">
        <v>2861</v>
      </c>
      <c r="H48" s="871" t="s">
        <v>2775</v>
      </c>
      <c r="I48" s="843" t="s">
        <v>49</v>
      </c>
      <c r="J48" s="251" t="str">
        <f t="shared" si="1"/>
        <v>041.Case/378pcs</v>
      </c>
      <c r="K48" s="256" t="s">
        <v>2245</v>
      </c>
      <c r="L48" s="130"/>
    </row>
    <row r="49" spans="3:12" s="140" customFormat="1" ht="25.5">
      <c r="C49" s="986">
        <v>42</v>
      </c>
      <c r="D49" s="987" t="str">
        <f t="shared" si="0"/>
        <v>ចំនួនរាប់</v>
      </c>
      <c r="E49" s="868" t="s">
        <v>2880</v>
      </c>
      <c r="F49" s="869" t="s">
        <v>2849</v>
      </c>
      <c r="G49" s="870" t="s">
        <v>2862</v>
      </c>
      <c r="H49" s="871" t="s">
        <v>2775</v>
      </c>
      <c r="I49" s="843" t="s">
        <v>49</v>
      </c>
      <c r="J49" s="251" t="str">
        <f t="shared" si="1"/>
        <v>042.Case/4can</v>
      </c>
      <c r="K49" s="256" t="s">
        <v>2245</v>
      </c>
      <c r="L49" s="130"/>
    </row>
    <row r="50" spans="3:12" s="140" customFormat="1" ht="25.5">
      <c r="C50" s="986">
        <v>43</v>
      </c>
      <c r="D50" s="987" t="str">
        <f t="shared" si="0"/>
        <v>ចំនួនរាប់</v>
      </c>
      <c r="E50" s="868" t="s">
        <v>2881</v>
      </c>
      <c r="F50" s="869" t="s">
        <v>2841</v>
      </c>
      <c r="G50" s="870" t="s">
        <v>2863</v>
      </c>
      <c r="H50" s="871" t="s">
        <v>2775</v>
      </c>
      <c r="I50" s="843" t="s">
        <v>49</v>
      </c>
      <c r="J50" s="251" t="str">
        <f t="shared" si="1"/>
        <v>043.Case/12can</v>
      </c>
      <c r="K50" s="256" t="s">
        <v>2245</v>
      </c>
      <c r="L50" s="130"/>
    </row>
    <row r="51" spans="3:12" s="140" customFormat="1" ht="25.5">
      <c r="C51" s="986">
        <v>44</v>
      </c>
      <c r="D51" s="987" t="str">
        <f t="shared" si="0"/>
        <v>ចំនួនរាប់</v>
      </c>
      <c r="E51" s="868" t="s">
        <v>2737</v>
      </c>
      <c r="F51" s="869" t="s">
        <v>2725</v>
      </c>
      <c r="G51" s="870" t="s">
        <v>2731</v>
      </c>
      <c r="H51" s="871" t="s">
        <v>2775</v>
      </c>
      <c r="I51" s="843" t="s">
        <v>49</v>
      </c>
      <c r="J51" s="251" t="str">
        <f t="shared" si="1"/>
        <v>044.Case/24Pack</v>
      </c>
      <c r="K51" s="256" t="s">
        <v>2245</v>
      </c>
      <c r="L51" s="130"/>
    </row>
    <row r="52" spans="3:12" s="140" customFormat="1" ht="25.5">
      <c r="C52" s="986">
        <v>45</v>
      </c>
      <c r="D52" s="987" t="str">
        <f t="shared" si="0"/>
        <v>ចំនួនរាប់</v>
      </c>
      <c r="E52" s="868" t="s">
        <v>2740</v>
      </c>
      <c r="F52" s="870" t="s">
        <v>2728</v>
      </c>
      <c r="G52" s="870" t="s">
        <v>2288</v>
      </c>
      <c r="H52" s="871" t="s">
        <v>2774</v>
      </c>
      <c r="I52" s="843" t="s">
        <v>49</v>
      </c>
      <c r="J52" s="251" t="str">
        <f t="shared" si="1"/>
        <v>045.Coil/50m</v>
      </c>
      <c r="K52" s="256" t="s">
        <v>2245</v>
      </c>
      <c r="L52" s="130"/>
    </row>
    <row r="53" spans="3:12" s="140" customFormat="1" ht="25.5">
      <c r="C53" s="986">
        <v>46</v>
      </c>
      <c r="D53" s="987" t="str">
        <f t="shared" si="0"/>
        <v>ចំនួនរាប់</v>
      </c>
      <c r="E53" s="872" t="s">
        <v>2869</v>
      </c>
      <c r="F53" s="870" t="s">
        <v>2742</v>
      </c>
      <c r="G53" s="870" t="s">
        <v>2864</v>
      </c>
      <c r="H53" s="871" t="s">
        <v>2774</v>
      </c>
      <c r="I53" s="843" t="s">
        <v>49</v>
      </c>
      <c r="J53" s="251" t="str">
        <f t="shared" si="1"/>
        <v>046.Ctn/4.5Kg</v>
      </c>
      <c r="K53" s="256" t="s">
        <v>2245</v>
      </c>
      <c r="L53" s="130"/>
    </row>
    <row r="54" spans="3:12" s="140" customFormat="1" ht="25.5">
      <c r="C54" s="986">
        <v>47</v>
      </c>
      <c r="D54" s="987" t="str">
        <f t="shared" si="0"/>
        <v>ចំនួនរាប់</v>
      </c>
      <c r="E54" s="872" t="s">
        <v>2735</v>
      </c>
      <c r="F54" s="869" t="s">
        <v>2269</v>
      </c>
      <c r="G54" s="869" t="s">
        <v>2293</v>
      </c>
      <c r="H54" s="871" t="s">
        <v>2774</v>
      </c>
      <c r="I54" s="843">
        <v>1</v>
      </c>
      <c r="J54" s="251" t="str">
        <f t="shared" si="1"/>
        <v>047.Ctn/6pcs</v>
      </c>
      <c r="K54" s="256" t="s">
        <v>2245</v>
      </c>
      <c r="L54" s="130"/>
    </row>
    <row r="55" spans="3:12" s="140" customFormat="1" ht="25.5">
      <c r="C55" s="986">
        <v>48</v>
      </c>
      <c r="D55" s="987" t="str">
        <f t="shared" si="0"/>
        <v>ចំនួនរាប់</v>
      </c>
      <c r="E55" s="872" t="s">
        <v>2751</v>
      </c>
      <c r="F55" s="870" t="s">
        <v>2729</v>
      </c>
      <c r="G55" s="870" t="s">
        <v>2734</v>
      </c>
      <c r="H55" s="871" t="s">
        <v>2774</v>
      </c>
      <c r="I55" s="843" t="s">
        <v>49</v>
      </c>
      <c r="J55" s="251" t="str">
        <f t="shared" si="1"/>
        <v>048.Lots/12pair</v>
      </c>
      <c r="K55" s="256" t="s">
        <v>2245</v>
      </c>
      <c r="L55" s="130"/>
    </row>
    <row r="56" spans="3:12" s="140" customFormat="1" ht="25.5">
      <c r="C56" s="986">
        <v>49</v>
      </c>
      <c r="D56" s="987" t="str">
        <f t="shared" si="0"/>
        <v>ចំនួនរាប់</v>
      </c>
      <c r="E56" s="872" t="s">
        <v>2752</v>
      </c>
      <c r="F56" s="869" t="s">
        <v>2266</v>
      </c>
      <c r="G56" s="869" t="s">
        <v>2296</v>
      </c>
      <c r="H56" s="871" t="s">
        <v>2774</v>
      </c>
      <c r="I56" s="843" t="s">
        <v>49</v>
      </c>
      <c r="J56" s="251" t="str">
        <f t="shared" si="1"/>
        <v>049.Lots/12pcs</v>
      </c>
      <c r="K56" s="256" t="s">
        <v>2245</v>
      </c>
      <c r="L56" s="130"/>
    </row>
    <row r="57" spans="3:12" s="140" customFormat="1" ht="25.5">
      <c r="C57" s="986">
        <v>50</v>
      </c>
      <c r="D57" s="987" t="str">
        <f t="shared" si="0"/>
        <v>ទម្ងន់</v>
      </c>
      <c r="E57" s="872" t="s">
        <v>2756</v>
      </c>
      <c r="F57" s="870" t="s">
        <v>2757</v>
      </c>
      <c r="G57" s="870" t="s">
        <v>2758</v>
      </c>
      <c r="H57" s="872" t="s">
        <v>2771</v>
      </c>
      <c r="I57" s="843">
        <v>1</v>
      </c>
      <c r="J57" s="251" t="str">
        <f t="shared" si="1"/>
        <v>050.Be/50kg</v>
      </c>
      <c r="K57" s="256" t="s">
        <v>2248</v>
      </c>
      <c r="L57" s="130"/>
    </row>
    <row r="58" spans="3:12" s="140" customFormat="1" ht="25.5">
      <c r="C58" s="986">
        <v>51</v>
      </c>
      <c r="D58" s="987" t="str">
        <f t="shared" si="0"/>
        <v>ទម្ងន់</v>
      </c>
      <c r="E58" s="872" t="s">
        <v>2870</v>
      </c>
      <c r="F58" s="869" t="s">
        <v>2851</v>
      </c>
      <c r="G58" s="870" t="s">
        <v>2865</v>
      </c>
      <c r="H58" s="871" t="s">
        <v>2775</v>
      </c>
      <c r="I58" s="843" t="s">
        <v>49</v>
      </c>
      <c r="J58" s="251" t="str">
        <f t="shared" si="1"/>
        <v>051.Ton/20Be</v>
      </c>
      <c r="K58" s="256" t="s">
        <v>2248</v>
      </c>
      <c r="L58" s="130"/>
    </row>
    <row r="59" spans="3:12" s="140" customFormat="1" ht="25.5">
      <c r="C59" s="986">
        <v>52</v>
      </c>
      <c r="D59" s="987" t="str">
        <f t="shared" si="0"/>
        <v>ប្រវែង</v>
      </c>
      <c r="E59" s="872" t="s">
        <v>2882</v>
      </c>
      <c r="F59" s="870" t="s">
        <v>2760</v>
      </c>
      <c r="G59" s="870" t="s">
        <v>2763</v>
      </c>
      <c r="H59" s="871" t="s">
        <v>2774</v>
      </c>
      <c r="I59" s="843" t="s">
        <v>49</v>
      </c>
      <c r="J59" s="251" t="str">
        <f t="shared" si="1"/>
        <v>052.Unit/2.9m</v>
      </c>
      <c r="K59" s="256" t="s">
        <v>2249</v>
      </c>
    </row>
    <row r="60" spans="3:12" s="140" customFormat="1" ht="25.5">
      <c r="C60" s="986">
        <v>53</v>
      </c>
      <c r="D60" s="987" t="str">
        <f t="shared" si="0"/>
        <v>ប្រវែង</v>
      </c>
      <c r="E60" s="868" t="s">
        <v>2871</v>
      </c>
      <c r="F60" s="870" t="s">
        <v>2761</v>
      </c>
      <c r="G60" s="870" t="s">
        <v>2764</v>
      </c>
      <c r="H60" s="871" t="s">
        <v>2774</v>
      </c>
      <c r="I60" s="843" t="s">
        <v>49</v>
      </c>
      <c r="J60" s="251" t="str">
        <f t="shared" si="1"/>
        <v>053.Unit/4m</v>
      </c>
      <c r="K60" s="256" t="s">
        <v>2249</v>
      </c>
      <c r="L60" s="130"/>
    </row>
    <row r="61" spans="3:12" ht="21.95" customHeight="1">
      <c r="C61" s="986">
        <v>54</v>
      </c>
      <c r="D61" s="987" t="str">
        <f t="shared" si="0"/>
        <v>ប្រវែង</v>
      </c>
      <c r="E61" s="872" t="s">
        <v>2883</v>
      </c>
      <c r="F61" s="870" t="s">
        <v>2759</v>
      </c>
      <c r="G61" s="870" t="s">
        <v>2762</v>
      </c>
      <c r="H61" s="871" t="s">
        <v>2774</v>
      </c>
      <c r="I61" s="843">
        <v>1</v>
      </c>
      <c r="J61" s="251" t="str">
        <f t="shared" si="1"/>
        <v>054.Unit/12m</v>
      </c>
      <c r="K61" s="256" t="s">
        <v>2249</v>
      </c>
    </row>
    <row r="62" spans="3:12" ht="21.95" customHeight="1">
      <c r="C62" s="204"/>
      <c r="G62" s="680"/>
      <c r="H62" s="676"/>
      <c r="J62" s="256"/>
      <c r="K62" s="256"/>
    </row>
    <row r="63" spans="3:12" ht="21.95" customHeight="1">
      <c r="J63" s="256"/>
      <c r="K63" s="381"/>
    </row>
    <row r="64" spans="3:12" ht="21.95" customHeight="1">
      <c r="J64" s="256" t="str">
        <f t="shared" ref="J64:J81" si="2">IF(AND(C64&lt;&gt;"",G64&lt;&gt;""),TEXT(C64,"000")&amp;"."&amp;G64,"")</f>
        <v/>
      </c>
      <c r="K64" s="381"/>
    </row>
    <row r="65" spans="10:11" ht="21.95" customHeight="1">
      <c r="J65" s="256" t="str">
        <f t="shared" si="2"/>
        <v/>
      </c>
      <c r="K65" s="381"/>
    </row>
    <row r="66" spans="10:11" ht="21.95" customHeight="1">
      <c r="J66" s="256" t="str">
        <f t="shared" si="2"/>
        <v/>
      </c>
      <c r="K66" s="381"/>
    </row>
    <row r="67" spans="10:11" ht="21.95" customHeight="1">
      <c r="J67" s="256" t="str">
        <f t="shared" si="2"/>
        <v/>
      </c>
      <c r="K67" s="381"/>
    </row>
    <row r="68" spans="10:11" ht="21.95" customHeight="1">
      <c r="J68" s="256" t="str">
        <f t="shared" si="2"/>
        <v/>
      </c>
      <c r="K68" s="381"/>
    </row>
    <row r="69" spans="10:11" ht="21.95" customHeight="1">
      <c r="J69" s="256" t="str">
        <f t="shared" si="2"/>
        <v/>
      </c>
      <c r="K69" s="381"/>
    </row>
    <row r="70" spans="10:11" ht="21.95" customHeight="1">
      <c r="J70" s="256" t="str">
        <f t="shared" si="2"/>
        <v/>
      </c>
      <c r="K70" s="381"/>
    </row>
    <row r="71" spans="10:11" ht="21.95" customHeight="1">
      <c r="J71" s="256" t="str">
        <f t="shared" si="2"/>
        <v/>
      </c>
      <c r="K71" s="381"/>
    </row>
    <row r="72" spans="10:11" ht="21.95" customHeight="1">
      <c r="J72" s="256" t="str">
        <f t="shared" si="2"/>
        <v/>
      </c>
      <c r="K72" s="381"/>
    </row>
    <row r="73" spans="10:11" ht="21.95" customHeight="1">
      <c r="J73" s="256" t="str">
        <f t="shared" si="2"/>
        <v/>
      </c>
      <c r="K73" s="381"/>
    </row>
    <row r="74" spans="10:11" ht="21.95" customHeight="1">
      <c r="J74" s="256" t="str">
        <f t="shared" si="2"/>
        <v/>
      </c>
      <c r="K74" s="381"/>
    </row>
    <row r="75" spans="10:11" ht="21.95" customHeight="1">
      <c r="J75" s="256" t="str">
        <f t="shared" si="2"/>
        <v/>
      </c>
      <c r="K75" s="381"/>
    </row>
    <row r="76" spans="10:11" ht="21.95" customHeight="1">
      <c r="J76" s="256" t="str">
        <f t="shared" si="2"/>
        <v/>
      </c>
      <c r="K76" s="381"/>
    </row>
    <row r="77" spans="10:11" ht="21.95" customHeight="1">
      <c r="J77" s="256" t="str">
        <f t="shared" si="2"/>
        <v/>
      </c>
      <c r="K77" s="381"/>
    </row>
    <row r="78" spans="10:11" ht="21.95" customHeight="1">
      <c r="J78" s="256" t="str">
        <f t="shared" si="2"/>
        <v/>
      </c>
      <c r="K78" s="381"/>
    </row>
    <row r="79" spans="10:11" ht="21.95" customHeight="1">
      <c r="J79" s="256" t="str">
        <f t="shared" si="2"/>
        <v/>
      </c>
      <c r="K79" s="381"/>
    </row>
    <row r="80" spans="10:11" ht="21.95" customHeight="1">
      <c r="J80" s="256" t="str">
        <f t="shared" si="2"/>
        <v/>
      </c>
      <c r="K80" s="381"/>
    </row>
    <row r="81" spans="10:10" ht="21.95" customHeight="1">
      <c r="J81" s="256" t="str">
        <f t="shared" si="2"/>
        <v/>
      </c>
    </row>
    <row r="82" spans="10:10" ht="21.95" customHeight="1">
      <c r="J82" s="256" t="str">
        <f t="shared" ref="J82:J114" si="3">IF(AND(C82&lt;&gt;"",G82&lt;&gt;""),TEXT(C82,"000")&amp;"."&amp;G82,"")</f>
        <v/>
      </c>
    </row>
    <row r="83" spans="10:10" ht="21.95" customHeight="1">
      <c r="J83" s="256" t="str">
        <f t="shared" si="3"/>
        <v/>
      </c>
    </row>
    <row r="84" spans="10:10" ht="21.95" customHeight="1">
      <c r="J84" s="256" t="str">
        <f t="shared" si="3"/>
        <v/>
      </c>
    </row>
    <row r="85" spans="10:10" ht="21.95" customHeight="1">
      <c r="J85" s="256" t="str">
        <f t="shared" si="3"/>
        <v/>
      </c>
    </row>
    <row r="86" spans="10:10" ht="21.95" customHeight="1">
      <c r="J86" s="256" t="str">
        <f t="shared" si="3"/>
        <v/>
      </c>
    </row>
    <row r="87" spans="10:10" ht="21.95" customHeight="1">
      <c r="J87" s="256" t="str">
        <f t="shared" si="3"/>
        <v/>
      </c>
    </row>
    <row r="88" spans="10:10" ht="21.95" customHeight="1">
      <c r="J88" s="256" t="str">
        <f t="shared" si="3"/>
        <v/>
      </c>
    </row>
    <row r="89" spans="10:10" ht="21.95" customHeight="1">
      <c r="J89" s="256" t="str">
        <f t="shared" si="3"/>
        <v/>
      </c>
    </row>
    <row r="90" spans="10:10" ht="21.95" customHeight="1">
      <c r="J90" s="256" t="str">
        <f t="shared" si="3"/>
        <v/>
      </c>
    </row>
    <row r="91" spans="10:10" ht="21.95" customHeight="1">
      <c r="J91" s="256" t="str">
        <f t="shared" si="3"/>
        <v/>
      </c>
    </row>
    <row r="92" spans="10:10" ht="21.95" customHeight="1">
      <c r="J92" s="256" t="str">
        <f t="shared" si="3"/>
        <v/>
      </c>
    </row>
    <row r="93" spans="10:10" ht="21.95" customHeight="1">
      <c r="J93" s="256" t="str">
        <f t="shared" si="3"/>
        <v/>
      </c>
    </row>
    <row r="94" spans="10:10" ht="21.95" customHeight="1">
      <c r="J94" s="256" t="str">
        <f t="shared" si="3"/>
        <v/>
      </c>
    </row>
    <row r="95" spans="10:10" ht="21.95" customHeight="1">
      <c r="J95" s="256" t="str">
        <f t="shared" si="3"/>
        <v/>
      </c>
    </row>
    <row r="96" spans="10:10" ht="21.95" customHeight="1">
      <c r="J96" s="256" t="str">
        <f t="shared" si="3"/>
        <v/>
      </c>
    </row>
    <row r="97" spans="10:10" ht="21.95" customHeight="1">
      <c r="J97" s="256" t="str">
        <f t="shared" si="3"/>
        <v/>
      </c>
    </row>
    <row r="98" spans="10:10" ht="21.95" customHeight="1">
      <c r="J98" s="256" t="str">
        <f t="shared" si="3"/>
        <v/>
      </c>
    </row>
    <row r="99" spans="10:10" ht="21.95" customHeight="1">
      <c r="J99" s="256" t="str">
        <f t="shared" si="3"/>
        <v/>
      </c>
    </row>
    <row r="100" spans="10:10" ht="21.95" customHeight="1">
      <c r="J100" s="256" t="str">
        <f t="shared" si="3"/>
        <v/>
      </c>
    </row>
    <row r="101" spans="10:10" ht="21.95" customHeight="1">
      <c r="J101" s="256" t="str">
        <f t="shared" si="3"/>
        <v/>
      </c>
    </row>
    <row r="102" spans="10:10" ht="21.95" customHeight="1">
      <c r="J102" s="256" t="str">
        <f t="shared" si="3"/>
        <v/>
      </c>
    </row>
    <row r="103" spans="10:10" ht="21.95" customHeight="1">
      <c r="J103" s="256" t="str">
        <f t="shared" si="3"/>
        <v/>
      </c>
    </row>
    <row r="104" spans="10:10" ht="21.95" customHeight="1">
      <c r="J104" s="256" t="str">
        <f t="shared" si="3"/>
        <v/>
      </c>
    </row>
    <row r="105" spans="10:10" ht="21.95" customHeight="1">
      <c r="J105" s="256" t="str">
        <f t="shared" si="3"/>
        <v/>
      </c>
    </row>
    <row r="106" spans="10:10" ht="21.95" customHeight="1">
      <c r="J106" s="256" t="str">
        <f t="shared" si="3"/>
        <v/>
      </c>
    </row>
    <row r="107" spans="10:10" ht="21.95" customHeight="1">
      <c r="J107" s="256" t="str">
        <f t="shared" si="3"/>
        <v/>
      </c>
    </row>
    <row r="108" spans="10:10" ht="21.95" customHeight="1">
      <c r="J108" s="256" t="str">
        <f t="shared" si="3"/>
        <v/>
      </c>
    </row>
    <row r="109" spans="10:10" ht="21.95" customHeight="1">
      <c r="J109" s="256" t="str">
        <f t="shared" si="3"/>
        <v/>
      </c>
    </row>
    <row r="110" spans="10:10" ht="21.95" customHeight="1">
      <c r="J110" s="256" t="str">
        <f t="shared" si="3"/>
        <v/>
      </c>
    </row>
    <row r="111" spans="10:10" ht="21.95" customHeight="1">
      <c r="J111" s="256" t="str">
        <f t="shared" si="3"/>
        <v/>
      </c>
    </row>
    <row r="112" spans="10:10" ht="21.95" customHeight="1">
      <c r="J112" s="256" t="str">
        <f t="shared" si="3"/>
        <v/>
      </c>
    </row>
    <row r="113" spans="10:10" ht="21.95" customHeight="1">
      <c r="J113" s="256" t="str">
        <f t="shared" si="3"/>
        <v/>
      </c>
    </row>
    <row r="114" spans="10:10" ht="21.95" customHeight="1">
      <c r="J114" s="256" t="str">
        <f t="shared" si="3"/>
        <v/>
      </c>
    </row>
  </sheetData>
  <phoneticPr fontId="37" type="noConversion"/>
  <dataValidations count="1">
    <dataValidation type="list" allowBlank="1" showInputMessage="1" showErrorMessage="1" sqref="K8:K62" xr:uid="{DE787D2B-87B3-4568-BE7A-70C4BF5960FD}">
      <formula1>uom_type_option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90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35"/>
  <sheetViews>
    <sheetView showGridLines="0" zoomScale="90" zoomScaleNormal="90" workbookViewId="0">
      <pane ySplit="7" topLeftCell="A22" activePane="bottomLeft" state="frozen"/>
      <selection pane="bottomLeft" activeCell="H33" sqref="H33"/>
    </sheetView>
  </sheetViews>
  <sheetFormatPr defaultRowHeight="20.100000000000001" customHeight="1"/>
  <cols>
    <col min="3" max="3" width="7.140625" style="204" customWidth="1"/>
    <col min="4" max="5" width="17.5703125" style="204" customWidth="1"/>
    <col min="6" max="6" width="21" style="256" customWidth="1"/>
    <col min="7" max="7" width="23.85546875" style="256" customWidth="1"/>
    <col min="8" max="8" width="18.5703125" style="204" customWidth="1"/>
    <col min="9" max="9" width="23.7109375" style="204" customWidth="1"/>
    <col min="10" max="10" width="20.28515625" style="204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984" t="s">
        <v>2151</v>
      </c>
      <c r="D1" s="888"/>
      <c r="E1" s="888"/>
      <c r="F1" s="888"/>
      <c r="G1" s="888"/>
      <c r="H1" s="888"/>
      <c r="I1" s="888"/>
      <c r="J1" s="888"/>
    </row>
    <row r="2" spans="3:35" ht="33.75" customHeight="1">
      <c r="C2" s="676" t="s">
        <v>2142</v>
      </c>
      <c r="D2" s="2"/>
      <c r="E2" s="2052" t="s">
        <v>2939</v>
      </c>
      <c r="F2" s="2052"/>
      <c r="G2" s="860">
        <f>IF(E2="",0,MID(E2,1,3)*1)</f>
        <v>2</v>
      </c>
      <c r="H2" s="2054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 xml:space="preserve">pcs = 0 </v>
      </c>
      <c r="I2" s="2054"/>
      <c r="J2" s="2054"/>
      <c r="L2" s="861"/>
      <c r="M2" s="861"/>
      <c r="N2" s="862"/>
    </row>
    <row r="3" spans="3:35" ht="24.95" customHeight="1">
      <c r="C3" s="256" t="s">
        <v>2144</v>
      </c>
      <c r="D3" s="13"/>
      <c r="E3" s="2053"/>
      <c r="F3" s="2053"/>
      <c r="G3" s="856">
        <f>IF(uom_con_small_uom="",0,MID(uom_con_small_uom,1,3)*1)</f>
        <v>0</v>
      </c>
      <c r="I3" s="366" t="s">
        <v>2146</v>
      </c>
      <c r="J3" s="858"/>
      <c r="L3" s="861" t="s">
        <v>2157</v>
      </c>
      <c r="M3" s="861" t="str">
        <f>IF(uom_con_main_uom_id="","",IF(uom_con_middle_value_uom="",0,uom_con_middle_value_uom)&amp;";"&amp;IF(uom_con_small_value_uom="",0,uom_con_small_value_uom))</f>
        <v>0;0</v>
      </c>
      <c r="N3" s="862"/>
    </row>
    <row r="4" spans="3:35" ht="24.95" customHeight="1">
      <c r="C4" s="256" t="s">
        <v>2143</v>
      </c>
      <c r="D4" s="13"/>
      <c r="E4" s="2053"/>
      <c r="F4" s="2053"/>
      <c r="G4" s="856">
        <f>IF(uom_con_middle_uom="",0,MID(uom_con_middle_uom,1,3)*1)</f>
        <v>0</v>
      </c>
      <c r="H4" s="13"/>
      <c r="I4" s="366" t="s">
        <v>2145</v>
      </c>
      <c r="J4" s="857"/>
      <c r="L4" s="861" t="s">
        <v>2150</v>
      </c>
      <c r="M4" s="861" t="str">
        <f>IF(uom_con_main_uom_id="","",_xlfn.TEXTJOIN(";",TRUE,G3:G4))</f>
        <v>0;0</v>
      </c>
      <c r="N4" s="862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859"/>
      <c r="M5" s="859"/>
    </row>
    <row r="6" spans="3:35" ht="27.75" customHeight="1">
      <c r="C6" s="983" t="s">
        <v>47</v>
      </c>
      <c r="D6" s="983" t="s">
        <v>1933</v>
      </c>
      <c r="E6" s="983" t="s">
        <v>1934</v>
      </c>
      <c r="F6" s="983" t="s">
        <v>2147</v>
      </c>
      <c r="G6" s="983" t="s">
        <v>2148</v>
      </c>
      <c r="H6" s="983" t="s">
        <v>1935</v>
      </c>
      <c r="I6" s="983" t="s">
        <v>1936</v>
      </c>
      <c r="J6" s="983" t="s">
        <v>224</v>
      </c>
      <c r="L6" s="13" t="s">
        <v>3223</v>
      </c>
      <c r="Q6" s="127"/>
      <c r="AE6" s="681" t="s">
        <v>47</v>
      </c>
      <c r="AF6" s="681" t="s">
        <v>1652</v>
      </c>
      <c r="AG6" s="681" t="s">
        <v>1611</v>
      </c>
      <c r="AH6" s="681" t="s">
        <v>1586</v>
      </c>
      <c r="AI6" s="681" t="s">
        <v>224</v>
      </c>
    </row>
    <row r="7" spans="3:35" s="146" customFormat="1" ht="18.75" customHeight="1">
      <c r="C7" s="889" t="s">
        <v>268</v>
      </c>
      <c r="D7" s="889" t="s">
        <v>2152</v>
      </c>
      <c r="E7" s="889" t="s">
        <v>2153</v>
      </c>
      <c r="F7" s="889" t="s">
        <v>2149</v>
      </c>
      <c r="G7" s="889" t="s">
        <v>2150</v>
      </c>
      <c r="H7" s="889" t="s">
        <v>2154</v>
      </c>
      <c r="I7" s="889" t="s">
        <v>2155</v>
      </c>
      <c r="J7" s="889" t="s">
        <v>1743</v>
      </c>
      <c r="L7" s="854"/>
      <c r="M7" s="854"/>
      <c r="N7" s="854"/>
      <c r="O7" s="855"/>
      <c r="P7" s="854"/>
      <c r="Q7" s="855"/>
      <c r="AE7" s="400" t="s">
        <v>10</v>
      </c>
      <c r="AF7" s="400" t="s">
        <v>718</v>
      </c>
      <c r="AG7" s="400" t="s">
        <v>12</v>
      </c>
      <c r="AH7" s="400" t="s">
        <v>16</v>
      </c>
      <c r="AI7" s="400" t="s">
        <v>427</v>
      </c>
    </row>
    <row r="8" spans="3:35" ht="20.100000000000001" customHeight="1">
      <c r="C8" s="204">
        <v>1</v>
      </c>
      <c r="D8" s="204">
        <v>25</v>
      </c>
      <c r="E8" s="204">
        <v>2</v>
      </c>
      <c r="F8" s="256" t="s">
        <v>2292</v>
      </c>
      <c r="G8" s="256" t="s">
        <v>2307</v>
      </c>
      <c r="H8" s="204">
        <v>6</v>
      </c>
      <c r="I8" s="204">
        <v>1</v>
      </c>
      <c r="J8" s="204">
        <v>1</v>
      </c>
      <c r="AE8" s="13"/>
      <c r="AF8" s="13"/>
      <c r="AG8" s="121"/>
      <c r="AH8" s="121"/>
      <c r="AI8" s="13"/>
    </row>
    <row r="9" spans="3:35" ht="20.100000000000001" customHeight="1">
      <c r="C9" s="204">
        <v>2</v>
      </c>
      <c r="D9" s="204">
        <v>26</v>
      </c>
      <c r="E9" s="204">
        <v>2</v>
      </c>
      <c r="F9" s="256" t="s">
        <v>2291</v>
      </c>
      <c r="G9" s="256" t="s">
        <v>2307</v>
      </c>
      <c r="H9" s="204">
        <v>12</v>
      </c>
      <c r="I9" s="204">
        <v>1</v>
      </c>
      <c r="J9" s="204">
        <v>1</v>
      </c>
      <c r="Q9" s="251"/>
      <c r="AE9" s="13"/>
      <c r="AF9" s="13"/>
      <c r="AG9" s="121"/>
      <c r="AH9" s="121"/>
      <c r="AI9" s="13"/>
    </row>
    <row r="10" spans="3:35" ht="20.100000000000001" customHeight="1">
      <c r="C10" s="204">
        <v>3</v>
      </c>
      <c r="D10" s="204">
        <v>29</v>
      </c>
      <c r="E10" s="204">
        <v>2</v>
      </c>
      <c r="F10" s="256" t="s">
        <v>2294</v>
      </c>
      <c r="G10" s="256" t="s">
        <v>2307</v>
      </c>
      <c r="H10" s="204">
        <v>4</v>
      </c>
      <c r="I10" s="204">
        <v>1</v>
      </c>
      <c r="J10" s="204">
        <v>1</v>
      </c>
      <c r="Q10" s="251"/>
      <c r="AE10" s="13"/>
      <c r="AF10" s="13"/>
      <c r="AG10" s="121"/>
      <c r="AH10" s="121"/>
      <c r="AI10" s="13"/>
    </row>
    <row r="11" spans="3:35" ht="20.100000000000001" customHeight="1">
      <c r="C11" s="204">
        <v>4</v>
      </c>
      <c r="D11" s="204">
        <v>30</v>
      </c>
      <c r="E11" s="204">
        <v>2</v>
      </c>
      <c r="F11" s="256" t="s">
        <v>2295</v>
      </c>
      <c r="G11" s="256" t="s">
        <v>2307</v>
      </c>
      <c r="H11" s="204">
        <v>12</v>
      </c>
      <c r="I11" s="204">
        <v>1</v>
      </c>
      <c r="J11" s="204">
        <v>1</v>
      </c>
      <c r="Q11" s="251"/>
      <c r="AE11" s="13"/>
      <c r="AF11" s="13"/>
      <c r="AG11" s="121"/>
      <c r="AH11" s="121"/>
      <c r="AI11" s="13"/>
    </row>
    <row r="12" spans="3:35" ht="20.100000000000001" customHeight="1">
      <c r="C12" s="204">
        <v>5</v>
      </c>
      <c r="D12" s="204">
        <v>31</v>
      </c>
      <c r="E12" s="204">
        <v>2</v>
      </c>
      <c r="F12" s="256" t="s">
        <v>2854</v>
      </c>
      <c r="G12" s="256" t="s">
        <v>2307</v>
      </c>
      <c r="H12" s="204">
        <v>20</v>
      </c>
      <c r="I12" s="204">
        <v>1</v>
      </c>
      <c r="J12" s="204">
        <v>1</v>
      </c>
      <c r="Q12" s="251"/>
      <c r="AE12" s="13"/>
      <c r="AF12" s="13"/>
      <c r="AG12" s="121"/>
      <c r="AH12" s="121"/>
      <c r="AI12" s="13"/>
    </row>
    <row r="13" spans="3:35" ht="20.100000000000001" customHeight="1">
      <c r="C13" s="204">
        <v>6</v>
      </c>
      <c r="D13" s="204">
        <v>32</v>
      </c>
      <c r="E13" s="204">
        <v>2</v>
      </c>
      <c r="F13" s="256" t="s">
        <v>2732</v>
      </c>
      <c r="G13" s="256" t="s">
        <v>2307</v>
      </c>
      <c r="H13" s="204">
        <v>24</v>
      </c>
      <c r="I13" s="204">
        <v>1</v>
      </c>
      <c r="J13" s="204">
        <v>1</v>
      </c>
      <c r="Q13" s="251"/>
      <c r="AE13" s="13"/>
      <c r="AF13" s="13"/>
      <c r="AG13" s="121"/>
      <c r="AH13" s="121"/>
      <c r="AI13" s="13"/>
    </row>
    <row r="14" spans="3:35" ht="20.100000000000001" customHeight="1">
      <c r="C14" s="204">
        <v>7</v>
      </c>
      <c r="D14" s="204">
        <v>33</v>
      </c>
      <c r="E14" s="204">
        <v>2</v>
      </c>
      <c r="F14" s="256" t="s">
        <v>2733</v>
      </c>
      <c r="G14" s="256" t="s">
        <v>2307</v>
      </c>
      <c r="H14" s="204">
        <v>25</v>
      </c>
      <c r="I14" s="204">
        <v>1</v>
      </c>
      <c r="J14" s="204">
        <v>1</v>
      </c>
      <c r="Q14" s="251"/>
      <c r="AE14" s="13"/>
      <c r="AF14" s="13"/>
      <c r="AG14" s="121"/>
      <c r="AH14" s="121"/>
      <c r="AI14" s="13"/>
    </row>
    <row r="15" spans="3:35" ht="20.100000000000001" customHeight="1">
      <c r="C15" s="204">
        <v>8</v>
      </c>
      <c r="D15" s="204">
        <v>34</v>
      </c>
      <c r="E15" s="204">
        <v>2</v>
      </c>
      <c r="F15" s="256" t="s">
        <v>2855</v>
      </c>
      <c r="G15" s="256" t="s">
        <v>2307</v>
      </c>
      <c r="H15" s="204">
        <v>50</v>
      </c>
      <c r="I15" s="204">
        <v>1</v>
      </c>
      <c r="J15" s="204">
        <v>1</v>
      </c>
      <c r="AE15" s="13"/>
      <c r="AF15" s="13"/>
      <c r="AG15" s="121"/>
      <c r="AH15" s="121"/>
      <c r="AI15" s="13"/>
    </row>
    <row r="16" spans="3:35" ht="20.100000000000001" customHeight="1">
      <c r="C16" s="204">
        <v>9</v>
      </c>
      <c r="D16" s="204">
        <v>35</v>
      </c>
      <c r="E16" s="204">
        <v>2</v>
      </c>
      <c r="F16" s="256" t="s">
        <v>2730</v>
      </c>
      <c r="G16" s="256" t="s">
        <v>2307</v>
      </c>
      <c r="H16" s="204">
        <v>100</v>
      </c>
      <c r="I16" s="204">
        <v>1</v>
      </c>
      <c r="J16" s="204">
        <v>1</v>
      </c>
      <c r="AE16" s="13"/>
      <c r="AF16" s="13"/>
      <c r="AG16" s="121"/>
      <c r="AH16" s="121"/>
      <c r="AI16" s="13"/>
    </row>
    <row r="17" spans="3:35" ht="20.100000000000001" customHeight="1">
      <c r="C17" s="204">
        <v>10</v>
      </c>
      <c r="D17" s="204">
        <v>36</v>
      </c>
      <c r="E17" s="204">
        <v>2</v>
      </c>
      <c r="F17" s="256" t="s">
        <v>2856</v>
      </c>
      <c r="G17" s="256" t="s">
        <v>2307</v>
      </c>
      <c r="H17" s="204">
        <v>150</v>
      </c>
      <c r="I17" s="204">
        <v>1</v>
      </c>
      <c r="J17" s="204">
        <v>1</v>
      </c>
      <c r="AE17" s="13"/>
      <c r="AF17" s="13"/>
      <c r="AG17" s="121"/>
      <c r="AH17" s="121"/>
      <c r="AI17" s="13"/>
    </row>
    <row r="18" spans="3:35" ht="20.100000000000001" customHeight="1">
      <c r="C18" s="204">
        <v>11</v>
      </c>
      <c r="D18" s="204">
        <v>37</v>
      </c>
      <c r="E18" s="204">
        <v>2</v>
      </c>
      <c r="F18" s="256" t="s">
        <v>2857</v>
      </c>
      <c r="G18" s="256" t="s">
        <v>2307</v>
      </c>
      <c r="H18" s="204">
        <v>180</v>
      </c>
      <c r="I18" s="204">
        <v>1</v>
      </c>
      <c r="J18" s="204">
        <v>1</v>
      </c>
      <c r="AE18" s="13"/>
      <c r="AF18" s="13"/>
      <c r="AG18" s="121"/>
      <c r="AH18" s="121"/>
      <c r="AI18" s="13"/>
    </row>
    <row r="19" spans="3:35" ht="20.100000000000001" customHeight="1">
      <c r="C19" s="204">
        <v>12</v>
      </c>
      <c r="D19" s="204">
        <v>38</v>
      </c>
      <c r="E19" s="204">
        <v>2</v>
      </c>
      <c r="F19" s="256" t="s">
        <v>2858</v>
      </c>
      <c r="G19" s="256" t="s">
        <v>2307</v>
      </c>
      <c r="H19" s="204">
        <v>216</v>
      </c>
      <c r="I19" s="204">
        <v>1</v>
      </c>
      <c r="J19" s="204">
        <v>1</v>
      </c>
      <c r="AE19" s="13"/>
      <c r="AF19" s="13"/>
      <c r="AG19" s="121"/>
      <c r="AH19" s="121"/>
      <c r="AI19" s="13"/>
    </row>
    <row r="20" spans="3:35" ht="20.100000000000001" customHeight="1">
      <c r="C20" s="204">
        <v>13</v>
      </c>
      <c r="D20" s="204">
        <v>39</v>
      </c>
      <c r="E20" s="204">
        <v>2</v>
      </c>
      <c r="F20" s="256" t="s">
        <v>2859</v>
      </c>
      <c r="G20" s="256" t="s">
        <v>2307</v>
      </c>
      <c r="H20" s="204">
        <v>270</v>
      </c>
      <c r="I20" s="204">
        <v>1</v>
      </c>
      <c r="J20" s="204">
        <v>1</v>
      </c>
      <c r="AE20" s="13"/>
      <c r="AF20" s="13"/>
      <c r="AG20" s="121"/>
      <c r="AH20" s="121"/>
      <c r="AI20" s="13"/>
    </row>
    <row r="21" spans="3:35" ht="20.100000000000001" customHeight="1">
      <c r="C21" s="204">
        <v>14</v>
      </c>
      <c r="D21" s="204">
        <v>40</v>
      </c>
      <c r="E21" s="204">
        <v>2</v>
      </c>
      <c r="F21" s="256" t="s">
        <v>2860</v>
      </c>
      <c r="G21" s="256" t="s">
        <v>2307</v>
      </c>
      <c r="H21" s="204">
        <v>288</v>
      </c>
      <c r="I21" s="204">
        <v>1</v>
      </c>
      <c r="J21" s="204">
        <v>1</v>
      </c>
      <c r="AE21" s="13"/>
      <c r="AF21" s="13"/>
      <c r="AG21" s="121"/>
      <c r="AH21" s="121"/>
      <c r="AI21" s="13"/>
    </row>
    <row r="22" spans="3:35" ht="20.100000000000001" customHeight="1">
      <c r="C22" s="204">
        <v>15</v>
      </c>
      <c r="D22" s="204">
        <v>41</v>
      </c>
      <c r="E22" s="204">
        <v>2</v>
      </c>
      <c r="F22" s="256" t="s">
        <v>2861</v>
      </c>
      <c r="G22" s="256" t="s">
        <v>2307</v>
      </c>
      <c r="H22" s="204">
        <v>378</v>
      </c>
      <c r="I22" s="204">
        <v>1</v>
      </c>
      <c r="J22" s="204">
        <v>1</v>
      </c>
      <c r="AE22" s="13"/>
      <c r="AF22" s="13"/>
      <c r="AG22" s="121"/>
      <c r="AH22" s="121"/>
      <c r="AI22" s="13"/>
    </row>
    <row r="23" spans="3:35" ht="20.100000000000001" customHeight="1">
      <c r="C23" s="204">
        <v>16</v>
      </c>
      <c r="D23" s="204">
        <v>42</v>
      </c>
      <c r="E23" s="204">
        <v>9</v>
      </c>
      <c r="F23" s="256" t="s">
        <v>2862</v>
      </c>
      <c r="G23" s="256" t="s">
        <v>2272</v>
      </c>
      <c r="H23" s="204">
        <v>4</v>
      </c>
      <c r="I23" s="204">
        <v>1</v>
      </c>
      <c r="J23" s="204">
        <v>1</v>
      </c>
      <c r="AE23" s="13"/>
      <c r="AF23" s="13"/>
      <c r="AG23" s="121"/>
      <c r="AH23" s="121"/>
      <c r="AI23" s="13"/>
    </row>
    <row r="24" spans="3:35" ht="20.100000000000001" customHeight="1">
      <c r="C24" s="204">
        <v>17</v>
      </c>
      <c r="D24" s="204">
        <v>43</v>
      </c>
      <c r="E24" s="204">
        <v>9</v>
      </c>
      <c r="F24" s="256" t="s">
        <v>2863</v>
      </c>
      <c r="G24" s="256" t="s">
        <v>2272</v>
      </c>
      <c r="H24" s="204">
        <v>12</v>
      </c>
      <c r="I24" s="204">
        <v>1</v>
      </c>
      <c r="J24" s="204">
        <v>1</v>
      </c>
      <c r="AE24" s="13"/>
      <c r="AF24" s="13"/>
      <c r="AG24" s="121"/>
      <c r="AH24" s="121"/>
      <c r="AI24" s="13"/>
    </row>
    <row r="25" spans="3:35" ht="20.100000000000001" customHeight="1">
      <c r="C25" s="204">
        <v>18</v>
      </c>
      <c r="D25" s="204">
        <v>44</v>
      </c>
      <c r="E25" s="204">
        <v>3</v>
      </c>
      <c r="F25" s="256" t="s">
        <v>2731</v>
      </c>
      <c r="G25" s="256" t="s">
        <v>2275</v>
      </c>
      <c r="H25" s="204">
        <v>24</v>
      </c>
      <c r="I25" s="204">
        <v>1</v>
      </c>
      <c r="J25" s="204">
        <v>1</v>
      </c>
      <c r="AE25" s="13"/>
      <c r="AF25" s="13"/>
      <c r="AG25" s="121"/>
      <c r="AH25" s="121"/>
      <c r="AI25" s="13"/>
    </row>
    <row r="26" spans="3:35" ht="20.100000000000001" customHeight="1">
      <c r="C26" s="204">
        <v>19</v>
      </c>
      <c r="D26" s="204">
        <v>45</v>
      </c>
      <c r="E26" s="204">
        <v>16</v>
      </c>
      <c r="F26" s="256" t="s">
        <v>2288</v>
      </c>
      <c r="G26" s="256" t="s">
        <v>2261</v>
      </c>
      <c r="H26" s="204">
        <v>50</v>
      </c>
      <c r="I26" s="204">
        <v>1</v>
      </c>
      <c r="J26" s="204">
        <v>1</v>
      </c>
      <c r="AE26" s="13"/>
      <c r="AF26" s="13"/>
      <c r="AG26" s="121"/>
      <c r="AH26" s="121"/>
      <c r="AI26" s="13"/>
    </row>
    <row r="27" spans="3:35" ht="20.100000000000001" customHeight="1">
      <c r="C27" s="204">
        <v>20</v>
      </c>
      <c r="D27" s="204">
        <v>46</v>
      </c>
      <c r="E27" s="204">
        <v>11</v>
      </c>
      <c r="F27" s="256" t="s">
        <v>2864</v>
      </c>
      <c r="G27" s="256" t="s">
        <v>2287</v>
      </c>
      <c r="H27" s="204">
        <v>4500</v>
      </c>
      <c r="I27" s="204">
        <v>1</v>
      </c>
      <c r="J27" s="204">
        <v>1</v>
      </c>
    </row>
    <row r="28" spans="3:35" ht="20.100000000000001" customHeight="1">
      <c r="C28" s="204">
        <v>21</v>
      </c>
      <c r="D28" s="204">
        <v>47</v>
      </c>
      <c r="E28" s="204">
        <v>2</v>
      </c>
      <c r="F28" s="256" t="s">
        <v>2293</v>
      </c>
      <c r="G28" s="256" t="s">
        <v>2307</v>
      </c>
      <c r="H28" s="204">
        <v>6</v>
      </c>
      <c r="I28" s="204">
        <v>1</v>
      </c>
      <c r="J28" s="204">
        <v>1</v>
      </c>
    </row>
    <row r="29" spans="3:35" ht="20.100000000000001" customHeight="1">
      <c r="C29" s="204">
        <v>22</v>
      </c>
      <c r="D29" s="204">
        <v>48</v>
      </c>
      <c r="E29" s="204">
        <v>8</v>
      </c>
      <c r="F29" s="256" t="s">
        <v>2734</v>
      </c>
      <c r="G29" s="256" t="s">
        <v>2259</v>
      </c>
      <c r="H29" s="204">
        <v>12</v>
      </c>
      <c r="I29" s="204">
        <v>1</v>
      </c>
      <c r="J29" s="204">
        <v>1</v>
      </c>
    </row>
    <row r="30" spans="3:35" ht="20.100000000000001" customHeight="1">
      <c r="C30" s="204">
        <v>23</v>
      </c>
      <c r="D30" s="204">
        <v>49</v>
      </c>
      <c r="E30" s="204">
        <v>2</v>
      </c>
      <c r="F30" s="256" t="s">
        <v>2296</v>
      </c>
      <c r="G30" s="256" t="s">
        <v>2307</v>
      </c>
      <c r="H30" s="204">
        <v>12</v>
      </c>
      <c r="I30" s="204">
        <v>1</v>
      </c>
      <c r="J30" s="204">
        <v>1</v>
      </c>
    </row>
    <row r="31" spans="3:35" ht="20.100000000000001" customHeight="1">
      <c r="C31" s="204">
        <v>24</v>
      </c>
      <c r="D31" s="204">
        <v>50</v>
      </c>
      <c r="E31" s="204">
        <v>12</v>
      </c>
      <c r="F31" s="256" t="s">
        <v>2758</v>
      </c>
      <c r="G31" s="256" t="s">
        <v>2834</v>
      </c>
      <c r="H31" s="204">
        <v>50</v>
      </c>
      <c r="I31" s="204">
        <v>1</v>
      </c>
      <c r="J31" s="204">
        <v>1</v>
      </c>
    </row>
    <row r="32" spans="3:35" s="1206" customFormat="1" ht="19.5" customHeight="1">
      <c r="C32" s="1204">
        <v>25</v>
      </c>
      <c r="D32" s="1204">
        <v>51</v>
      </c>
      <c r="E32" s="1204">
        <v>22</v>
      </c>
      <c r="F32" s="1205" t="s">
        <v>2865</v>
      </c>
      <c r="G32" s="1205" t="s">
        <v>2755</v>
      </c>
      <c r="H32" s="1204">
        <v>20</v>
      </c>
      <c r="I32" s="1204">
        <v>0</v>
      </c>
      <c r="J32" s="1204">
        <v>1</v>
      </c>
      <c r="L32" s="1207"/>
      <c r="M32" s="1207"/>
      <c r="N32" s="1207"/>
      <c r="O32" s="1208"/>
      <c r="P32" s="1207"/>
      <c r="Q32" s="1208"/>
    </row>
    <row r="33" spans="3:17" s="1206" customFormat="1" ht="20.100000000000001" customHeight="1">
      <c r="C33" s="1204">
        <v>26</v>
      </c>
      <c r="D33" s="1204">
        <v>51</v>
      </c>
      <c r="E33" s="1204">
        <v>12</v>
      </c>
      <c r="F33" s="1205" t="s">
        <v>2865</v>
      </c>
      <c r="G33" s="1205" t="s">
        <v>2834</v>
      </c>
      <c r="H33" s="1204">
        <v>1000</v>
      </c>
      <c r="I33" s="1204">
        <v>1</v>
      </c>
      <c r="J33" s="1204">
        <v>1</v>
      </c>
      <c r="L33" s="1207"/>
      <c r="M33" s="1207"/>
      <c r="N33" s="1207"/>
      <c r="O33" s="1208"/>
      <c r="P33" s="1207"/>
      <c r="Q33" s="1208"/>
    </row>
    <row r="34" spans="3:17" ht="20.100000000000001" customHeight="1">
      <c r="C34" s="204">
        <v>27</v>
      </c>
      <c r="D34" s="204">
        <v>53</v>
      </c>
      <c r="E34" s="204">
        <v>16</v>
      </c>
      <c r="F34" s="256" t="s">
        <v>2764</v>
      </c>
      <c r="G34" s="256" t="s">
        <v>2261</v>
      </c>
      <c r="H34" s="204">
        <v>4</v>
      </c>
      <c r="I34" s="204">
        <v>1</v>
      </c>
      <c r="J34" s="204">
        <v>1</v>
      </c>
    </row>
    <row r="35" spans="3:17" ht="20.100000000000001" customHeight="1">
      <c r="C35" s="204">
        <v>28</v>
      </c>
      <c r="D35" s="204">
        <v>54</v>
      </c>
      <c r="E35" s="204">
        <v>16</v>
      </c>
      <c r="F35" s="256" t="s">
        <v>2762</v>
      </c>
      <c r="G35" s="256" t="s">
        <v>2261</v>
      </c>
      <c r="H35" s="204">
        <v>12</v>
      </c>
      <c r="I35" s="204">
        <v>1</v>
      </c>
      <c r="J35" s="204">
        <v>1</v>
      </c>
    </row>
  </sheetData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C6" sqref="C6:F6"/>
    </sheetView>
  </sheetViews>
  <sheetFormatPr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380" customWidth="1"/>
    <col min="7" max="7" width="39.28515625" style="128" customWidth="1"/>
    <col min="8" max="8" width="45.7109375" style="242" customWidth="1"/>
    <col min="9" max="12" width="35.28515625" style="242" customWidth="1"/>
    <col min="13" max="13" width="38.5703125" style="242" customWidth="1"/>
    <col min="14" max="14" width="24" style="242" customWidth="1"/>
    <col min="15" max="15" width="23.7109375" style="242" customWidth="1"/>
    <col min="16" max="18" width="21.85546875" style="242" customWidth="1"/>
    <col min="19" max="19" width="15.85546875" style="242" customWidth="1"/>
    <col min="20" max="21" width="30.7109375" style="248" customWidth="1"/>
    <col min="22" max="22" width="26.7109375" style="128" customWidth="1"/>
    <col min="23" max="23" width="12.5703125" style="128" customWidth="1"/>
    <col min="24" max="24" width="40.28515625" style="305" customWidth="1"/>
    <col min="25" max="25" width="34" style="242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221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983" t="s">
        <v>47</v>
      </c>
      <c r="D5" s="983" t="s">
        <v>765</v>
      </c>
      <c r="E5" s="983" t="s">
        <v>2070</v>
      </c>
      <c r="F5" s="983" t="s">
        <v>308</v>
      </c>
      <c r="G5" s="1093" t="s">
        <v>309</v>
      </c>
      <c r="H5" s="1094" t="str">
        <f>"ពត៌មានធនាគារ ("&amp;COUNTA(H6:S6)&amp;")"</f>
        <v>ពត៌មានធនាគារ (12)</v>
      </c>
      <c r="I5" s="1095"/>
      <c r="J5" s="1095"/>
      <c r="K5" s="1095"/>
      <c r="L5" s="1095"/>
      <c r="M5" s="1095"/>
      <c r="N5" s="1095"/>
      <c r="O5" s="1095"/>
      <c r="P5" s="1095"/>
      <c r="Q5" s="1095"/>
      <c r="R5" s="1095"/>
      <c r="S5" s="1096"/>
      <c r="T5" s="1097" t="s">
        <v>121</v>
      </c>
      <c r="U5" s="1097" t="s">
        <v>121</v>
      </c>
      <c r="V5" s="983" t="s">
        <v>766</v>
      </c>
      <c r="W5" s="983" t="s">
        <v>767</v>
      </c>
      <c r="X5" s="983" t="s">
        <v>768</v>
      </c>
      <c r="Y5" s="1098" t="s">
        <v>769</v>
      </c>
      <c r="Z5" s="983" t="s">
        <v>754</v>
      </c>
      <c r="AA5" s="983" t="s">
        <v>770</v>
      </c>
      <c r="AB5" s="983" t="s">
        <v>771</v>
      </c>
      <c r="AC5" s="983" t="s">
        <v>772</v>
      </c>
      <c r="AD5" s="983" t="s">
        <v>734</v>
      </c>
      <c r="AE5" s="983" t="s">
        <v>773</v>
      </c>
      <c r="AF5" s="983" t="s">
        <v>224</v>
      </c>
      <c r="AG5" s="303"/>
    </row>
    <row r="6" spans="3:33" s="353" customFormat="1" ht="18" customHeight="1">
      <c r="C6" s="901" t="s">
        <v>9</v>
      </c>
      <c r="D6" s="901" t="s">
        <v>757</v>
      </c>
      <c r="E6" s="901" t="s">
        <v>696</v>
      </c>
      <c r="F6" s="901" t="s">
        <v>758</v>
      </c>
      <c r="G6" s="901" t="s">
        <v>750</v>
      </c>
      <c r="H6" s="1099" t="s">
        <v>32</v>
      </c>
      <c r="I6" s="1099" t="s">
        <v>1596</v>
      </c>
      <c r="J6" s="1099" t="s">
        <v>1946</v>
      </c>
      <c r="K6" s="1099" t="s">
        <v>1945</v>
      </c>
      <c r="L6" s="1099" t="s">
        <v>1947</v>
      </c>
      <c r="M6" s="1099" t="s">
        <v>1948</v>
      </c>
      <c r="N6" s="1099" t="s">
        <v>1949</v>
      </c>
      <c r="O6" s="1099" t="s">
        <v>1950</v>
      </c>
      <c r="P6" s="1099" t="s">
        <v>1951</v>
      </c>
      <c r="Q6" s="1099" t="s">
        <v>1952</v>
      </c>
      <c r="R6" s="1099" t="s">
        <v>1953</v>
      </c>
      <c r="S6" s="1099" t="s">
        <v>1954</v>
      </c>
      <c r="T6" s="901" t="s">
        <v>311</v>
      </c>
      <c r="U6" s="901" t="s">
        <v>1959</v>
      </c>
      <c r="V6" s="901" t="s">
        <v>759</v>
      </c>
      <c r="W6" s="901" t="s">
        <v>760</v>
      </c>
      <c r="X6" s="1099" t="s">
        <v>23</v>
      </c>
      <c r="Y6" s="1099" t="s">
        <v>764</v>
      </c>
      <c r="Z6" s="901" t="s">
        <v>751</v>
      </c>
      <c r="AA6" s="901" t="s">
        <v>761</v>
      </c>
      <c r="AB6" s="901" t="s">
        <v>762</v>
      </c>
      <c r="AC6" s="901" t="s">
        <v>763</v>
      </c>
      <c r="AD6" s="901" t="s">
        <v>720</v>
      </c>
      <c r="AE6" s="901" t="s">
        <v>774</v>
      </c>
      <c r="AF6" s="901" t="s">
        <v>182</v>
      </c>
      <c r="AG6" s="303"/>
    </row>
    <row r="7" spans="3:33" s="147" customFormat="1" ht="46.5">
      <c r="C7" s="417">
        <v>1</v>
      </c>
      <c r="D7" s="417">
        <v>1</v>
      </c>
      <c r="E7" s="417">
        <v>1</v>
      </c>
      <c r="F7" s="415" t="s">
        <v>1944</v>
      </c>
      <c r="G7" s="398" t="s">
        <v>1675</v>
      </c>
      <c r="H7" s="398" t="s">
        <v>1983</v>
      </c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416" t="s">
        <v>119</v>
      </c>
      <c r="U7" s="416" t="s">
        <v>1955</v>
      </c>
      <c r="V7" s="752" t="s">
        <v>1957</v>
      </c>
      <c r="W7" s="398"/>
      <c r="X7" s="415" t="s">
        <v>1956</v>
      </c>
      <c r="Y7" s="398" t="s">
        <v>1958</v>
      </c>
      <c r="Z7" s="417">
        <v>1</v>
      </c>
      <c r="AA7" s="417">
        <v>1</v>
      </c>
      <c r="AB7" s="417"/>
      <c r="AC7" s="417"/>
      <c r="AD7" s="683">
        <v>45658</v>
      </c>
      <c r="AE7" s="417">
        <v>1</v>
      </c>
      <c r="AF7" s="417">
        <v>1</v>
      </c>
      <c r="AG7" s="651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7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J13" sqref="J13"/>
    </sheetView>
  </sheetViews>
  <sheetFormatPr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248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3"/>
    </row>
    <row r="2" spans="3:7" customFormat="1">
      <c r="G2" s="153"/>
    </row>
    <row r="3" spans="3:7" customFormat="1">
      <c r="G3" s="153"/>
    </row>
    <row r="4" spans="3:7" customFormat="1" ht="42">
      <c r="C4" s="2055" t="s">
        <v>1598</v>
      </c>
      <c r="D4" s="2055"/>
      <c r="E4" s="2055"/>
      <c r="F4" s="2055"/>
      <c r="G4" s="2055"/>
    </row>
    <row r="5" spans="3:7" customFormat="1">
      <c r="G5" s="153"/>
    </row>
    <row r="6" spans="3:7" customFormat="1" ht="25.5">
      <c r="C6" s="1077" t="s">
        <v>47</v>
      </c>
      <c r="D6" s="1077" t="s">
        <v>221</v>
      </c>
      <c r="E6" s="1077" t="s">
        <v>1594</v>
      </c>
      <c r="F6" s="1077" t="s">
        <v>1595</v>
      </c>
      <c r="G6" s="1078" t="s">
        <v>270</v>
      </c>
    </row>
    <row r="7" spans="3:7" customFormat="1">
      <c r="C7" s="1079" t="s">
        <v>10</v>
      </c>
      <c r="D7" s="1079" t="s">
        <v>220</v>
      </c>
      <c r="E7" s="1079" t="s">
        <v>1591</v>
      </c>
      <c r="F7" s="1079" t="s">
        <v>1592</v>
      </c>
      <c r="G7" s="1080" t="s">
        <v>1593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1599</v>
      </c>
      <c r="G8" s="248" t="s">
        <v>1600</v>
      </c>
    </row>
    <row r="9" spans="3:7" ht="23.1" customHeight="1">
      <c r="C9" s="126">
        <v>2</v>
      </c>
      <c r="D9" s="126">
        <v>1</v>
      </c>
      <c r="E9" s="126" t="s">
        <v>1596</v>
      </c>
      <c r="F9" s="126" t="s">
        <v>1597</v>
      </c>
      <c r="G9" s="248" t="s">
        <v>1601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124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125</v>
      </c>
      <c r="L3" s="14">
        <v>0</v>
      </c>
      <c r="M3" s="14">
        <v>0</v>
      </c>
      <c r="N3" s="14">
        <v>9</v>
      </c>
      <c r="O3" s="13" t="s">
        <v>126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127</v>
      </c>
      <c r="P4" s="2089"/>
      <c r="Q4" s="2089"/>
      <c r="R4" s="2089"/>
      <c r="S4" s="2089"/>
      <c r="T4" s="2089"/>
      <c r="U4" s="2089"/>
      <c r="V4" s="2089"/>
      <c r="W4" s="2089"/>
      <c r="X4" s="2089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093" t="str">
        <f ca="1">""&amp;I9&amp;""</f>
        <v>STCI21-0001</v>
      </c>
      <c r="I6" s="2093"/>
      <c r="AB6" s="37" t="str">
        <f>MID(K13,8,8)</f>
        <v/>
      </c>
      <c r="AD6" s="47"/>
    </row>
    <row r="7" spans="1:30" ht="13.5" customHeight="1">
      <c r="A7" s="12"/>
      <c r="E7" s="45"/>
      <c r="H7" s="2093"/>
      <c r="I7" s="2093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851"/>
      <c r="C9" s="1851"/>
      <c r="E9" s="53"/>
      <c r="F9" s="54"/>
      <c r="H9" s="104" t="s">
        <v>128</v>
      </c>
      <c r="I9" s="2079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129</v>
      </c>
      <c r="I10" s="2080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081" t="s">
        <v>130</v>
      </c>
      <c r="C11" s="2081"/>
      <c r="E11" s="53"/>
      <c r="F11" s="54"/>
      <c r="H11" s="105" t="s">
        <v>131</v>
      </c>
      <c r="I11" s="80">
        <f>N11</f>
        <v>44308</v>
      </c>
      <c r="K11" s="3" t="s">
        <v>132</v>
      </c>
      <c r="L11" s="82"/>
      <c r="M11" s="82"/>
      <c r="N11" s="2094">
        <v>44308</v>
      </c>
      <c r="O11" s="2094"/>
      <c r="P11" s="2094"/>
      <c r="Q11" s="2094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090"/>
      <c r="C12" s="2091"/>
      <c r="D12" s="2092"/>
      <c r="E12" s="53"/>
      <c r="F12" s="54"/>
      <c r="H12" s="125" t="s">
        <v>132</v>
      </c>
      <c r="I12" s="57"/>
      <c r="K12" t="s">
        <v>133</v>
      </c>
      <c r="N12" s="2095">
        <v>4048</v>
      </c>
      <c r="O12" s="2095"/>
      <c r="P12" s="2095"/>
      <c r="Q12" s="2095"/>
      <c r="S12" s="84" t="s">
        <v>134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135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136</v>
      </c>
    </row>
    <row r="15" spans="1:30" ht="26.25" thickBot="1">
      <c r="A15" s="58"/>
      <c r="B15" s="106" t="s">
        <v>137</v>
      </c>
      <c r="C15" s="61"/>
      <c r="D15" s="2082"/>
      <c r="E15" s="2082"/>
      <c r="F15" s="2082"/>
      <c r="G15" s="2082"/>
      <c r="H15" s="2082"/>
      <c r="I15" s="21"/>
      <c r="J15" s="58"/>
      <c r="K15" s="13"/>
      <c r="L15" s="2059" t="e">
        <f>IF(Customer_TIN_Area="","",Customer_TIN_Area)</f>
        <v>#NAME?</v>
      </c>
      <c r="M15" s="2060"/>
      <c r="N15" s="2060"/>
      <c r="O15" s="2060"/>
      <c r="P15" s="2060"/>
      <c r="Q15" s="2060"/>
      <c r="R15" s="2060"/>
      <c r="S15" s="2060"/>
      <c r="T15" s="2060"/>
      <c r="U15" s="2060"/>
      <c r="V15" s="2060"/>
      <c r="W15" s="2060"/>
      <c r="X15" s="2061"/>
    </row>
    <row r="16" spans="1:30">
      <c r="A16" s="58"/>
      <c r="B16" s="18" t="s">
        <v>138</v>
      </c>
      <c r="C16" s="61"/>
      <c r="D16" s="2083"/>
      <c r="E16" s="2083"/>
      <c r="F16" s="2083"/>
      <c r="G16" s="2083"/>
      <c r="H16" s="2083"/>
      <c r="I16" s="21"/>
      <c r="J16" s="62" t="s">
        <v>139</v>
      </c>
      <c r="K16" s="63" t="s">
        <v>140</v>
      </c>
      <c r="L16" s="37" t="s">
        <v>141</v>
      </c>
      <c r="M16" s="37" t="s">
        <v>141</v>
      </c>
      <c r="N16" s="37" t="s">
        <v>141</v>
      </c>
      <c r="O16" s="37"/>
      <c r="P16" s="37" t="s">
        <v>141</v>
      </c>
      <c r="Q16" s="37" t="s">
        <v>141</v>
      </c>
      <c r="R16" s="37" t="s">
        <v>141</v>
      </c>
      <c r="S16" s="37" t="s">
        <v>141</v>
      </c>
      <c r="T16" s="37" t="s">
        <v>141</v>
      </c>
      <c r="U16" s="37" t="s">
        <v>141</v>
      </c>
      <c r="V16" s="37" t="s">
        <v>141</v>
      </c>
      <c r="W16" s="37" t="s">
        <v>141</v>
      </c>
      <c r="X16" s="37" t="s">
        <v>141</v>
      </c>
    </row>
    <row r="17" spans="1:29">
      <c r="A17" s="58"/>
      <c r="B17" s="107" t="s">
        <v>142</v>
      </c>
      <c r="C17" s="61"/>
      <c r="D17" s="2084"/>
      <c r="E17" s="2085"/>
      <c r="F17" s="2085"/>
      <c r="G17" s="2085"/>
      <c r="H17" s="2085"/>
      <c r="I17" s="21"/>
      <c r="J17" s="58"/>
      <c r="L17" s="37"/>
      <c r="M17" s="37"/>
      <c r="O17" s="38" t="s">
        <v>143</v>
      </c>
      <c r="P17" s="2062"/>
      <c r="Q17" s="2062"/>
      <c r="R17" s="2062"/>
      <c r="S17" s="2062"/>
      <c r="T17" s="2062"/>
      <c r="U17" s="2062"/>
      <c r="V17" s="2062"/>
      <c r="W17" s="2062"/>
      <c r="X17" s="2062"/>
    </row>
    <row r="18" spans="1:29">
      <c r="A18" s="58"/>
      <c r="B18" s="18" t="s">
        <v>144</v>
      </c>
      <c r="C18" s="61"/>
      <c r="D18" s="2086"/>
      <c r="E18" s="2086"/>
      <c r="F18" s="2086"/>
      <c r="G18" s="2086"/>
      <c r="H18" s="2086"/>
      <c r="I18" s="21"/>
      <c r="J18" s="58"/>
      <c r="K18" s="58"/>
    </row>
    <row r="19" spans="1:29">
      <c r="A19" s="5"/>
      <c r="B19" s="107" t="s">
        <v>145</v>
      </c>
      <c r="D19" s="44"/>
      <c r="E19" s="108" t="s">
        <v>146</v>
      </c>
      <c r="F19" s="2087"/>
      <c r="G19" s="2085"/>
      <c r="H19" s="2085"/>
      <c r="I19" s="21"/>
      <c r="J19" s="5"/>
      <c r="K19" s="5"/>
    </row>
    <row r="20" spans="1:29">
      <c r="A20" s="5"/>
      <c r="B20" s="25" t="s">
        <v>147</v>
      </c>
      <c r="D20" s="26"/>
      <c r="E20" s="35" t="s">
        <v>148</v>
      </c>
      <c r="F20" s="2087"/>
      <c r="G20" s="2085"/>
      <c r="H20" s="2085"/>
      <c r="I20" s="16"/>
      <c r="J20" s="5"/>
      <c r="K20" s="5"/>
    </row>
    <row r="21" spans="1:29" ht="32.85" customHeight="1" thickBot="1">
      <c r="A21" s="5"/>
      <c r="B21" s="2076" t="s">
        <v>149</v>
      </c>
      <c r="C21" s="2077"/>
      <c r="D21" s="2088" t="e">
        <f>L15</f>
        <v>#NAME?</v>
      </c>
      <c r="E21" s="2088"/>
      <c r="F21" s="2088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150</v>
      </c>
      <c r="D23" s="111"/>
      <c r="E23" s="112" t="s">
        <v>151</v>
      </c>
      <c r="F23" s="109" t="s">
        <v>152</v>
      </c>
      <c r="G23" s="109" t="s">
        <v>106</v>
      </c>
      <c r="H23" s="113" t="s">
        <v>153</v>
      </c>
      <c r="I23" s="109" t="s">
        <v>153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78</v>
      </c>
      <c r="C24" s="27" t="s">
        <v>86</v>
      </c>
      <c r="D24" s="94"/>
      <c r="E24" s="28" t="s">
        <v>19</v>
      </c>
      <c r="F24" s="29" t="s">
        <v>76</v>
      </c>
      <c r="G24" s="30" t="s">
        <v>154</v>
      </c>
      <c r="H24" s="31" t="s">
        <v>155</v>
      </c>
      <c r="I24" s="31" t="s">
        <v>156</v>
      </c>
    </row>
    <row r="25" spans="1:29" s="34" customFormat="1">
      <c r="B25" s="95">
        <f>IF(C25="","",1)</f>
        <v>1</v>
      </c>
      <c r="C25" s="2078" t="s">
        <v>157</v>
      </c>
      <c r="D25" s="2078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056" t="s">
        <v>158</v>
      </c>
      <c r="D26" s="2056"/>
      <c r="E26" s="85" t="s">
        <v>159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057"/>
      <c r="D27" s="2057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057"/>
      <c r="D28" s="2057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057"/>
      <c r="D29" s="2057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058"/>
      <c r="D30" s="2058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058"/>
      <c r="D31" s="2058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058"/>
      <c r="D32" s="2058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058"/>
      <c r="D33" s="2058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058"/>
      <c r="D34" s="205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058"/>
      <c r="D35" s="205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073"/>
      <c r="D36" s="2073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074" t="s">
        <v>160</v>
      </c>
      <c r="C37" s="2075"/>
      <c r="D37" s="71" t="str">
        <f>SpellNumber(H37)</f>
        <v>Fifty Two US Dollars and Eighty  Cents</v>
      </c>
      <c r="E37" s="22"/>
      <c r="F37" s="19"/>
      <c r="G37" s="114" t="s">
        <v>161</v>
      </c>
      <c r="H37" s="2069">
        <f>SUM(H25:H36)</f>
        <v>52.8</v>
      </c>
      <c r="I37" s="2071">
        <f>SUM(I25:I36)</f>
        <v>213734.39999999999</v>
      </c>
    </row>
    <row r="38" spans="2:29" ht="24" thickBot="1">
      <c r="B38" s="117" t="s">
        <v>162</v>
      </c>
      <c r="C38" s="9"/>
      <c r="D38" s="43">
        <f>N12</f>
        <v>4048</v>
      </c>
      <c r="E38" s="72"/>
      <c r="F38"/>
      <c r="G38" s="115" t="s">
        <v>163</v>
      </c>
      <c r="H38" s="2070"/>
      <c r="I38" s="2072"/>
    </row>
    <row r="39" spans="2:29" ht="24" thickBot="1">
      <c r="B39" s="79" t="s">
        <v>164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063" t="s">
        <v>165</v>
      </c>
      <c r="C44" s="2064"/>
      <c r="D44" s="2064"/>
      <c r="E44" s="2064"/>
      <c r="F44" s="2064"/>
      <c r="G44" s="2064"/>
      <c r="H44" s="2064"/>
      <c r="I44" s="2065"/>
    </row>
    <row r="45" spans="2:29" ht="24" thickBot="1">
      <c r="B45" s="2066" t="s">
        <v>166</v>
      </c>
      <c r="C45" s="2067"/>
      <c r="D45" s="2067"/>
      <c r="E45" s="2067"/>
      <c r="F45" s="2067"/>
      <c r="G45" s="2067"/>
      <c r="H45" s="2067"/>
      <c r="I45" s="206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832"/>
      <c r="C48" s="1832"/>
      <c r="D48" s="1832"/>
      <c r="E48" s="1832"/>
      <c r="F48" s="6"/>
      <c r="G48" s="1832"/>
      <c r="H48" s="1832"/>
      <c r="I48" s="1832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04" t="s">
        <v>2160</v>
      </c>
      <c r="C2" s="2104"/>
      <c r="D2" s="2104"/>
      <c r="E2" s="2104"/>
      <c r="F2" s="2104"/>
      <c r="G2" s="2104"/>
      <c r="H2" s="2104"/>
      <c r="I2" s="2104"/>
      <c r="AB2" s="37" t="str">
        <f ca="1">MID(K12,8,8)</f>
        <v/>
      </c>
      <c r="AD2" s="47"/>
    </row>
    <row r="3" spans="1:30" ht="29.25" thickBot="1">
      <c r="A3" s="36"/>
      <c r="B3" s="2105" t="e">
        <f>company_name_en</f>
        <v>#NAME?</v>
      </c>
      <c r="C3" s="2105"/>
      <c r="D3" s="2105"/>
      <c r="E3" s="2105"/>
      <c r="F3" s="2105"/>
      <c r="G3" s="2105"/>
      <c r="H3" s="2105"/>
      <c r="I3" s="2105"/>
      <c r="AD3" s="47"/>
    </row>
    <row r="4" spans="1:30" ht="15.75" thickBot="1">
      <c r="A4" s="36"/>
      <c r="B4" s="2106" t="s">
        <v>2159</v>
      </c>
      <c r="C4" s="2106"/>
      <c r="D4" s="2106"/>
      <c r="E4" s="2106"/>
      <c r="F4" s="2106"/>
      <c r="G4" s="2106"/>
      <c r="H4" s="2106"/>
      <c r="I4" s="2106"/>
      <c r="J4" s="46" t="s">
        <v>167</v>
      </c>
      <c r="K4" s="14" t="s">
        <v>125</v>
      </c>
      <c r="L4" s="14">
        <v>0</v>
      </c>
      <c r="M4" s="14">
        <v>0</v>
      </c>
      <c r="N4" s="14">
        <v>9</v>
      </c>
      <c r="O4" s="13" t="s">
        <v>126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06" t="e">
        <f>Address_ENG</f>
        <v>#NAME?</v>
      </c>
      <c r="C5" s="2106"/>
      <c r="D5" s="2106"/>
      <c r="E5" s="2106"/>
      <c r="F5" s="2106"/>
      <c r="G5" s="2106"/>
      <c r="H5" s="2106"/>
      <c r="I5" s="2106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06" t="e">
        <f>c_phone_email</f>
        <v>#NAME?</v>
      </c>
      <c r="C6" s="2106"/>
      <c r="D6" s="2106"/>
      <c r="E6" s="2106"/>
      <c r="F6" s="2106"/>
      <c r="G6" s="2106"/>
      <c r="H6" s="2106"/>
      <c r="I6" s="210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096" t="s">
        <v>168</v>
      </c>
      <c r="C7" s="2096"/>
      <c r="D7" s="2096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093" t="str">
        <f ca="1">""&amp;I12&amp;""</f>
        <v>STCI00-0003</v>
      </c>
      <c r="I9" s="2093"/>
      <c r="AB9" s="37" t="str">
        <f>MID(K16,8,8)</f>
        <v/>
      </c>
      <c r="AD9" s="47"/>
    </row>
    <row r="10" spans="1:30" ht="21.6" customHeight="1">
      <c r="A10" s="12"/>
      <c r="E10" s="45"/>
      <c r="H10" s="2093"/>
      <c r="I10" s="2093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851"/>
      <c r="C12" s="1851"/>
      <c r="E12" s="53"/>
      <c r="F12" s="54"/>
      <c r="H12" s="104" t="s">
        <v>128</v>
      </c>
      <c r="I12" s="2079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93</v>
      </c>
      <c r="I13" s="2080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081" t="s">
        <v>130</v>
      </c>
      <c r="C14" s="2081"/>
      <c r="E14" s="53"/>
      <c r="F14" s="54"/>
      <c r="H14" s="105" t="s">
        <v>131</v>
      </c>
      <c r="I14" s="80">
        <f>N14</f>
        <v>0</v>
      </c>
      <c r="K14" s="3" t="s">
        <v>132</v>
      </c>
      <c r="L14" s="82"/>
      <c r="M14" s="82"/>
      <c r="N14" s="2094"/>
      <c r="O14" s="2094"/>
      <c r="P14" s="2094"/>
      <c r="Q14" s="2094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090"/>
      <c r="C15" s="2091"/>
      <c r="D15" s="2092"/>
      <c r="E15" s="53"/>
      <c r="F15" s="54"/>
      <c r="H15" s="56" t="s">
        <v>79</v>
      </c>
      <c r="I15" s="57"/>
      <c r="K15" t="s">
        <v>133</v>
      </c>
      <c r="N15" s="2095"/>
      <c r="O15" s="2095"/>
      <c r="P15" s="2095"/>
      <c r="Q15" s="2095"/>
      <c r="S15" s="84" t="s">
        <v>134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169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136</v>
      </c>
    </row>
    <row r="18" spans="1:29" ht="26.25" thickBot="1">
      <c r="A18" s="58"/>
      <c r="B18" s="106" t="s">
        <v>137</v>
      </c>
      <c r="C18" s="61"/>
      <c r="D18" s="2082"/>
      <c r="E18" s="2082"/>
      <c r="F18" s="2082"/>
      <c r="G18" s="2082"/>
      <c r="H18" s="2082"/>
      <c r="I18" s="21"/>
      <c r="J18" s="58"/>
      <c r="K18" s="13"/>
      <c r="L18" s="2059" t="str">
        <f>IF(Customer_TIN_Area="","",Customer_TIN_Area)</f>
        <v/>
      </c>
      <c r="M18" s="2060"/>
      <c r="N18" s="2060"/>
      <c r="O18" s="2060"/>
      <c r="P18" s="2060"/>
      <c r="Q18" s="2060"/>
      <c r="R18" s="2060"/>
      <c r="S18" s="2060"/>
      <c r="T18" s="2060"/>
      <c r="U18" s="2060"/>
      <c r="V18" s="2060"/>
      <c r="W18" s="2060"/>
      <c r="X18" s="2061"/>
    </row>
    <row r="19" spans="1:29">
      <c r="A19" s="58"/>
      <c r="B19" s="18" t="s">
        <v>170</v>
      </c>
      <c r="C19" s="61"/>
      <c r="D19" s="2083"/>
      <c r="E19" s="2083"/>
      <c r="F19" s="2083"/>
      <c r="G19" s="2083"/>
      <c r="H19" s="2083"/>
      <c r="I19" s="21"/>
      <c r="J19" s="62" t="s">
        <v>139</v>
      </c>
      <c r="K19" s="63" t="s">
        <v>140</v>
      </c>
      <c r="L19" s="37" t="s">
        <v>141</v>
      </c>
      <c r="M19" s="37" t="s">
        <v>141</v>
      </c>
      <c r="N19" s="37" t="s">
        <v>141</v>
      </c>
      <c r="O19" s="37"/>
      <c r="P19" s="37" t="s">
        <v>141</v>
      </c>
      <c r="Q19" s="37" t="s">
        <v>141</v>
      </c>
      <c r="R19" s="37" t="s">
        <v>141</v>
      </c>
      <c r="S19" s="37" t="s">
        <v>141</v>
      </c>
      <c r="T19" s="37" t="s">
        <v>141</v>
      </c>
      <c r="U19" s="37" t="s">
        <v>141</v>
      </c>
      <c r="V19" s="37" t="s">
        <v>141</v>
      </c>
      <c r="W19" s="37" t="s">
        <v>141</v>
      </c>
      <c r="X19" s="37" t="s">
        <v>141</v>
      </c>
    </row>
    <row r="20" spans="1:29">
      <c r="A20" s="58"/>
      <c r="B20" s="107" t="s">
        <v>142</v>
      </c>
      <c r="C20" s="61"/>
      <c r="D20" s="2084"/>
      <c r="E20" s="2085"/>
      <c r="F20" s="2085"/>
      <c r="G20" s="2085"/>
      <c r="H20" s="2085"/>
      <c r="I20" s="21"/>
      <c r="J20" s="58"/>
      <c r="L20" s="37"/>
      <c r="M20" s="37"/>
      <c r="O20" s="38" t="s">
        <v>143</v>
      </c>
      <c r="P20" s="2062"/>
      <c r="Q20" s="2062"/>
      <c r="R20" s="2062"/>
      <c r="S20" s="2062"/>
      <c r="T20" s="2062"/>
      <c r="U20" s="2062"/>
      <c r="V20" s="2062"/>
      <c r="W20" s="2062"/>
      <c r="X20" s="2062"/>
    </row>
    <row r="21" spans="1:29">
      <c r="A21" s="58"/>
      <c r="B21" s="18" t="s">
        <v>23</v>
      </c>
      <c r="C21" s="61"/>
      <c r="D21" s="2086"/>
      <c r="E21" s="2086"/>
      <c r="F21" s="2086"/>
      <c r="G21" s="2086"/>
      <c r="H21" s="2086"/>
      <c r="I21" s="21"/>
      <c r="J21" s="58"/>
      <c r="K21" s="58"/>
    </row>
    <row r="22" spans="1:29">
      <c r="A22" s="5"/>
      <c r="B22" s="107" t="s">
        <v>145</v>
      </c>
      <c r="D22" s="44"/>
      <c r="E22" s="108" t="s">
        <v>146</v>
      </c>
      <c r="F22" s="2087"/>
      <c r="G22" s="2085"/>
      <c r="H22" s="2085"/>
      <c r="I22" s="21"/>
      <c r="J22" s="5"/>
      <c r="K22" s="5"/>
    </row>
    <row r="23" spans="1:29">
      <c r="A23" s="5"/>
      <c r="B23" s="25" t="s">
        <v>171</v>
      </c>
      <c r="D23" s="26"/>
      <c r="E23" s="35" t="s">
        <v>148</v>
      </c>
      <c r="F23" s="2087"/>
      <c r="G23" s="2085"/>
      <c r="H23" s="2085"/>
      <c r="I23" s="16"/>
      <c r="J23" s="5"/>
      <c r="K23" s="5"/>
    </row>
    <row r="24" spans="1:29" ht="32.85" customHeight="1" thickBot="1">
      <c r="A24" s="5"/>
      <c r="B24" s="2076" t="s">
        <v>172</v>
      </c>
      <c r="C24" s="2077"/>
      <c r="D24" s="2088" t="str">
        <f>L18</f>
        <v/>
      </c>
      <c r="E24" s="2088"/>
      <c r="F24" s="2088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150</v>
      </c>
      <c r="D26" s="111"/>
      <c r="E26" s="112" t="s">
        <v>151</v>
      </c>
      <c r="F26" s="109" t="s">
        <v>152</v>
      </c>
      <c r="G26" s="109" t="s">
        <v>106</v>
      </c>
      <c r="H26" s="113" t="s">
        <v>153</v>
      </c>
      <c r="I26" s="109" t="s">
        <v>153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78</v>
      </c>
      <c r="C27" s="27" t="s">
        <v>86</v>
      </c>
      <c r="D27" s="94"/>
      <c r="E27" s="28" t="s">
        <v>19</v>
      </c>
      <c r="F27" s="29" t="s">
        <v>76</v>
      </c>
      <c r="G27" s="30" t="s">
        <v>154</v>
      </c>
      <c r="H27" s="31" t="s">
        <v>155</v>
      </c>
      <c r="I27" s="31" t="s">
        <v>156</v>
      </c>
    </row>
    <row r="28" spans="1:29" s="34" customFormat="1">
      <c r="B28" s="120" t="str">
        <f>IF(C28="","",1)</f>
        <v/>
      </c>
      <c r="C28" s="2078"/>
      <c r="D28" s="2078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056"/>
      <c r="D29" s="2056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03"/>
      <c r="D30" s="2103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056"/>
      <c r="D31" s="2056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057"/>
      <c r="D32" s="2057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058"/>
      <c r="D33" s="2058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058"/>
      <c r="D34" s="205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058"/>
      <c r="D35" s="205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058"/>
      <c r="D36" s="2058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058"/>
      <c r="D37" s="2058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058"/>
      <c r="D38" s="2058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073"/>
      <c r="D39" s="2073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074" t="s">
        <v>160</v>
      </c>
      <c r="C40" s="2075"/>
      <c r="D40" s="71" t="str">
        <f>SpellNumber(H40)</f>
        <v>Zero US Dollars and Zero Cents</v>
      </c>
      <c r="E40" s="22"/>
      <c r="F40" s="19"/>
      <c r="G40" s="114" t="s">
        <v>161</v>
      </c>
      <c r="H40" s="2069">
        <f>SUM(H28:H39)</f>
        <v>0</v>
      </c>
      <c r="I40" s="2071">
        <f>SUM(I28:I39)</f>
        <v>0</v>
      </c>
    </row>
    <row r="41" spans="2:29" ht="24" thickBot="1">
      <c r="B41" s="117" t="s">
        <v>162</v>
      </c>
      <c r="C41" s="9"/>
      <c r="D41" s="43">
        <f>N15</f>
        <v>0</v>
      </c>
      <c r="E41" s="72"/>
      <c r="F41"/>
      <c r="G41" s="115" t="s">
        <v>173</v>
      </c>
      <c r="H41" s="2070"/>
      <c r="I41" s="2072"/>
    </row>
    <row r="42" spans="2:29" ht="24" thickBot="1">
      <c r="B42" s="79" t="s">
        <v>164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097" t="s">
        <v>174</v>
      </c>
      <c r="C47" s="2098"/>
      <c r="D47" s="2098"/>
      <c r="E47" s="2098"/>
      <c r="F47" s="2098"/>
      <c r="G47" s="2098"/>
      <c r="H47" s="2098"/>
      <c r="I47" s="2099"/>
    </row>
    <row r="48" spans="2:29" ht="24" thickBot="1">
      <c r="B48" s="2100" t="s">
        <v>175</v>
      </c>
      <c r="C48" s="2101"/>
      <c r="D48" s="2101"/>
      <c r="E48" s="2101"/>
      <c r="F48" s="2101"/>
      <c r="G48" s="2101"/>
      <c r="H48" s="2101"/>
      <c r="I48" s="2102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832"/>
      <c r="C51" s="1832"/>
      <c r="D51" s="1832"/>
      <c r="E51" s="1832"/>
      <c r="F51" s="6"/>
      <c r="G51" s="1832"/>
      <c r="H51" s="1832"/>
      <c r="I51" s="1832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B1:M7"/>
  <sheetViews>
    <sheetView showGridLines="0" zoomScale="90" zoomScaleNormal="90" workbookViewId="0">
      <selection activeCell="M3" sqref="M3"/>
    </sheetView>
  </sheetViews>
  <sheetFormatPr defaultRowHeight="15"/>
  <cols>
    <col min="3" max="5" width="39.5703125" bestFit="1" customWidth="1"/>
    <col min="6" max="6" width="3.28515625" customWidth="1"/>
    <col min="7" max="7" width="6" bestFit="1" customWidth="1"/>
    <col min="8" max="8" width="1.28515625" customWidth="1"/>
    <col min="9" max="9" width="11.85546875" bestFit="1" customWidth="1"/>
    <col min="13" max="15" width="39.85546875" bestFit="1" customWidth="1"/>
  </cols>
  <sheetData>
    <row r="1" spans="2:13" ht="24.95" customHeight="1">
      <c r="B1" t="s">
        <v>10</v>
      </c>
      <c r="C1" t="s">
        <v>0</v>
      </c>
      <c r="D1" t="s">
        <v>1</v>
      </c>
      <c r="E1" t="s">
        <v>2</v>
      </c>
      <c r="I1" s="572"/>
    </row>
    <row r="2" spans="2:13" ht="24.95" customHeight="1">
      <c r="B2">
        <v>1</v>
      </c>
      <c r="C2" t="s">
        <v>3193</v>
      </c>
      <c r="D2" t="s">
        <v>3193</v>
      </c>
      <c r="E2" t="s">
        <v>3193</v>
      </c>
      <c r="I2" s="573"/>
      <c r="M2" s="302" t="s">
        <v>82</v>
      </c>
    </row>
    <row r="3" spans="2:13" ht="24.95" customHeight="1">
      <c r="B3">
        <v>2</v>
      </c>
      <c r="C3" t="s">
        <v>3194</v>
      </c>
      <c r="D3" t="s">
        <v>3194</v>
      </c>
      <c r="E3" t="s">
        <v>3194</v>
      </c>
      <c r="G3" s="302" t="str">
        <f>TRIM(MID(NBC_Exchange_Rate[[#This Row],[Column1]],27,6))</f>
        <v>៤.០២៤</v>
      </c>
      <c r="H3" s="255"/>
      <c r="I3" s="572">
        <f>_xlfn.NUMBERVALUE(G3,",",".")</f>
        <v>4024</v>
      </c>
      <c r="M3" s="302" t="str">
        <f>MID(VLOOKUP(1,exchange_rate_list,2,FALSE),20,100)</f>
        <v>២៣ មិថុនា ២០២៦</v>
      </c>
    </row>
    <row r="4" spans="2:13" ht="24.95" customHeight="1">
      <c r="B4">
        <v>3</v>
      </c>
      <c r="C4" t="s">
        <v>3</v>
      </c>
      <c r="D4" t="s">
        <v>4</v>
      </c>
      <c r="E4" t="s">
        <v>5</v>
      </c>
    </row>
    <row r="5" spans="2:13" ht="24.95" customHeight="1">
      <c r="B5">
        <v>4</v>
      </c>
      <c r="C5" t="s">
        <v>6</v>
      </c>
      <c r="D5" t="s">
        <v>3195</v>
      </c>
      <c r="E5" t="s">
        <v>3196</v>
      </c>
    </row>
    <row r="6" spans="2:13" ht="24.95" customHeight="1">
      <c r="B6">
        <v>5</v>
      </c>
      <c r="C6" t="s">
        <v>7</v>
      </c>
      <c r="D6" t="s">
        <v>3197</v>
      </c>
      <c r="E6" t="s">
        <v>3198</v>
      </c>
    </row>
    <row r="7" spans="2:13" ht="24.95" customHeight="1">
      <c r="B7">
        <v>6</v>
      </c>
      <c r="C7" t="s">
        <v>8</v>
      </c>
      <c r="D7" t="s">
        <v>3199</v>
      </c>
      <c r="E7" t="s">
        <v>3200</v>
      </c>
    </row>
  </sheetData>
  <phoneticPr fontId="37" type="noConversion"/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I18" sqref="I18"/>
    </sheetView>
  </sheetViews>
  <sheetFormatPr defaultRowHeight="21.95" customHeight="1"/>
  <cols>
    <col min="1" max="1" width="4" customWidth="1"/>
    <col min="2" max="2" width="3.42578125" customWidth="1"/>
    <col min="3" max="3" width="8.28515625" style="757" customWidth="1"/>
    <col min="4" max="4" width="20.7109375" style="757" customWidth="1"/>
    <col min="5" max="5" width="20.85546875" style="757" customWidth="1"/>
    <col min="6" max="7" width="16.140625" style="757" customWidth="1"/>
    <col min="8" max="8" width="20.5703125" style="757" customWidth="1"/>
    <col min="9" max="9" width="18.140625" style="757" bestFit="1" customWidth="1"/>
    <col min="10" max="10" width="15.42578125" style="757" bestFit="1" customWidth="1"/>
    <col min="11" max="11" width="17.28515625" style="847" customWidth="1"/>
    <col min="12" max="12" width="17.140625" style="847" customWidth="1"/>
    <col min="13" max="13" width="20.85546875" style="757" bestFit="1" customWidth="1"/>
    <col min="14" max="14" width="24.5703125" style="757" customWidth="1"/>
    <col min="15" max="15" width="17.42578125" style="757" customWidth="1"/>
    <col min="16" max="16" width="14.42578125" style="757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3"/>
      <c r="I1" s="13"/>
      <c r="J1" s="13"/>
      <c r="K1" s="805"/>
      <c r="L1" s="805"/>
      <c r="M1" s="13"/>
      <c r="N1" s="13"/>
      <c r="O1" s="13"/>
      <c r="P1" s="13"/>
    </row>
    <row r="2" spans="3:16" ht="15" hidden="1">
      <c r="C2" s="13"/>
      <c r="D2" s="13"/>
      <c r="E2" s="13"/>
      <c r="F2" s="13"/>
      <c r="G2" s="13"/>
      <c r="H2" s="13"/>
      <c r="I2" s="13"/>
      <c r="J2" s="13"/>
      <c r="K2" s="805"/>
      <c r="L2" s="805"/>
      <c r="M2" s="13"/>
      <c r="N2" s="13"/>
      <c r="O2" s="13"/>
      <c r="P2" s="13"/>
    </row>
    <row r="3" spans="3:16" ht="15">
      <c r="C3" s="13"/>
      <c r="D3" s="13"/>
      <c r="E3" s="13"/>
      <c r="F3" s="13"/>
      <c r="G3" s="13"/>
      <c r="H3" s="13"/>
      <c r="I3" s="13"/>
      <c r="J3" s="13"/>
      <c r="K3" s="805"/>
      <c r="L3" s="805"/>
      <c r="M3" s="13"/>
      <c r="N3" s="13"/>
      <c r="O3" s="13"/>
      <c r="P3" s="13"/>
    </row>
    <row r="4" spans="3:16" ht="44.25">
      <c r="C4" s="978" t="s">
        <v>2136</v>
      </c>
      <c r="D4" s="849"/>
      <c r="E4" s="849"/>
      <c r="F4" s="849"/>
      <c r="G4" s="849"/>
      <c r="H4" s="849"/>
      <c r="I4" s="849"/>
      <c r="J4" s="849"/>
      <c r="K4" s="850"/>
      <c r="L4" s="850"/>
      <c r="M4" s="849"/>
      <c r="N4" s="849"/>
      <c r="O4" s="849"/>
      <c r="P4" s="849"/>
    </row>
    <row r="5" spans="3:16" ht="15">
      <c r="C5" s="13"/>
      <c r="D5" s="13"/>
      <c r="E5" s="13"/>
      <c r="F5" s="13"/>
      <c r="G5" s="13"/>
      <c r="H5" s="13"/>
      <c r="I5" s="13"/>
      <c r="J5" s="13"/>
      <c r="K5" s="805"/>
      <c r="L5" s="805"/>
      <c r="M5" s="13"/>
      <c r="N5" s="13"/>
      <c r="O5" s="13"/>
      <c r="P5" s="13"/>
    </row>
    <row r="6" spans="3:16" ht="28.5" customHeight="1">
      <c r="C6" s="1003" t="s">
        <v>47</v>
      </c>
      <c r="D6" s="1003" t="s">
        <v>2012</v>
      </c>
      <c r="E6" s="1003" t="s">
        <v>2133</v>
      </c>
      <c r="F6" s="1003" t="s">
        <v>2078</v>
      </c>
      <c r="G6" s="1003" t="s">
        <v>2090</v>
      </c>
      <c r="H6" s="1003" t="s">
        <v>2091</v>
      </c>
      <c r="I6" s="1003" t="s">
        <v>2138</v>
      </c>
      <c r="J6" s="1003" t="s">
        <v>1911</v>
      </c>
      <c r="K6" s="1003" t="s">
        <v>2079</v>
      </c>
      <c r="L6" s="1003" t="s">
        <v>2095</v>
      </c>
      <c r="M6" s="1003" t="s">
        <v>2134</v>
      </c>
      <c r="N6" s="1003" t="s">
        <v>734</v>
      </c>
      <c r="O6" s="1003" t="s">
        <v>1088</v>
      </c>
      <c r="P6" s="1003" t="s">
        <v>224</v>
      </c>
    </row>
    <row r="7" spans="3:16" ht="19.5" customHeight="1">
      <c r="C7" s="999" t="s">
        <v>1659</v>
      </c>
      <c r="D7" s="999" t="s">
        <v>272</v>
      </c>
      <c r="E7" s="999" t="s">
        <v>658</v>
      </c>
      <c r="F7" s="999" t="s">
        <v>276</v>
      </c>
      <c r="G7" s="999" t="s">
        <v>733</v>
      </c>
      <c r="H7" s="999" t="s">
        <v>75</v>
      </c>
      <c r="I7" s="999" t="s">
        <v>2137</v>
      </c>
      <c r="J7" s="999" t="s">
        <v>2139</v>
      </c>
      <c r="K7" s="999" t="s">
        <v>2014</v>
      </c>
      <c r="L7" s="999" t="s">
        <v>2015</v>
      </c>
      <c r="M7" s="999" t="s">
        <v>718</v>
      </c>
      <c r="N7" s="999" t="s">
        <v>720</v>
      </c>
      <c r="O7" s="999" t="s">
        <v>290</v>
      </c>
      <c r="P7" s="999" t="s">
        <v>182</v>
      </c>
    </row>
    <row r="8" spans="3:16" ht="21.95" customHeight="1">
      <c r="N8" s="848"/>
    </row>
    <row r="9" spans="3:16" ht="21.95" customHeight="1">
      <c r="N9" s="848"/>
    </row>
    <row r="10" spans="3:16" ht="21.95" customHeight="1">
      <c r="N10" s="848"/>
    </row>
    <row r="11" spans="3:16" ht="21.95" customHeight="1">
      <c r="N11" s="848"/>
    </row>
    <row r="12" spans="3:16" ht="21.95" customHeight="1">
      <c r="N12" s="848"/>
    </row>
    <row r="13" spans="3:16" ht="21.95" customHeight="1">
      <c r="N13" s="848"/>
    </row>
    <row r="14" spans="3:16" ht="21.95" customHeight="1">
      <c r="N14" s="848"/>
    </row>
    <row r="15" spans="3:16" ht="21.95" customHeight="1">
      <c r="N15" s="848"/>
    </row>
    <row r="16" spans="3:16" ht="21.95" customHeight="1">
      <c r="N16" s="848"/>
    </row>
    <row r="17" spans="14:14" ht="21.95" customHeight="1">
      <c r="N17" s="848"/>
    </row>
    <row r="18" spans="14:14" ht="21.95" customHeight="1">
      <c r="N18" s="848"/>
    </row>
  </sheetData>
  <pageMargins left="0.7" right="0.7" top="0.75" bottom="0.75" header="0.3" footer="0.3"/>
  <pageSetup paperSize="9"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7"/>
  <sheetViews>
    <sheetView showGridLines="0" topLeftCell="A3" zoomScale="90" zoomScaleNormal="90" workbookViewId="0">
      <pane ySplit="5" topLeftCell="A8" activePane="bottomLeft" state="frozen"/>
      <selection pane="bottomLeft" activeCell="M14" sqref="M14"/>
    </sheetView>
  </sheetViews>
  <sheetFormatPr defaultRowHeight="21.95" customHeight="1"/>
  <cols>
    <col min="1" max="1" width="9.140625" style="757"/>
    <col min="2" max="2" width="3.28515625" style="757" customWidth="1"/>
    <col min="3" max="3" width="6.85546875" style="757" customWidth="1"/>
    <col min="4" max="4" width="14.42578125" style="757" customWidth="1"/>
    <col min="5" max="5" width="13.7109375" style="757" customWidth="1"/>
    <col min="6" max="6" width="19.5703125" style="256" customWidth="1"/>
    <col min="7" max="7" width="12.5703125" style="757" customWidth="1"/>
    <col min="8" max="8" width="17.140625" style="757" customWidth="1"/>
    <col min="9" max="9" width="12.140625" style="757" customWidth="1"/>
    <col min="10" max="10" width="15.7109375" style="256" customWidth="1"/>
    <col min="11" max="11" width="20.7109375" style="256" customWidth="1"/>
    <col min="12" max="12" width="16" style="757" customWidth="1"/>
    <col min="13" max="13" width="15.42578125" style="757" customWidth="1"/>
    <col min="14" max="14" width="15.28515625" style="757" customWidth="1"/>
    <col min="15" max="15" width="14.140625" style="757" customWidth="1"/>
    <col min="16" max="16" width="14" style="757" customWidth="1"/>
    <col min="17" max="17" width="12.28515625" style="757" customWidth="1"/>
    <col min="18" max="18" width="24.5703125" style="846" customWidth="1"/>
    <col min="19" max="19" width="18.5703125" style="757" customWidth="1"/>
    <col min="20" max="20" width="16.5703125" style="757" customWidth="1"/>
    <col min="21" max="22" width="9.140625" style="757" customWidth="1"/>
    <col min="23" max="16384" width="9.140625" style="757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1004" t="s">
        <v>2135</v>
      </c>
      <c r="D4" s="851"/>
      <c r="E4" s="851"/>
      <c r="F4" s="851"/>
      <c r="G4" s="851"/>
      <c r="H4" s="851"/>
      <c r="I4" s="851"/>
      <c r="J4" s="851"/>
      <c r="K4" s="851"/>
      <c r="L4" s="851"/>
      <c r="M4" s="851"/>
      <c r="N4" s="851"/>
      <c r="O4" s="851"/>
      <c r="P4" s="851"/>
      <c r="Q4" s="851"/>
      <c r="R4" s="851"/>
      <c r="S4" s="851"/>
      <c r="T4" s="851"/>
    </row>
    <row r="5" spans="3:20" customFormat="1" ht="15">
      <c r="F5" s="139"/>
      <c r="J5" s="139"/>
      <c r="K5" s="139"/>
    </row>
    <row r="6" spans="3:20" customFormat="1" ht="25.5">
      <c r="C6" s="1005" t="s">
        <v>47</v>
      </c>
      <c r="D6" s="1005" t="s">
        <v>2078</v>
      </c>
      <c r="E6" s="1005" t="s">
        <v>2090</v>
      </c>
      <c r="F6" s="1005" t="s">
        <v>2091</v>
      </c>
      <c r="G6" s="1005" t="s">
        <v>221</v>
      </c>
      <c r="H6" s="1005" t="s">
        <v>776</v>
      </c>
      <c r="I6" s="1005" t="s">
        <v>62</v>
      </c>
      <c r="J6" s="1005" t="s">
        <v>1611</v>
      </c>
      <c r="K6" s="1005" t="s">
        <v>776</v>
      </c>
      <c r="L6" s="1005" t="s">
        <v>2079</v>
      </c>
      <c r="M6" s="1005" t="s">
        <v>2080</v>
      </c>
      <c r="N6" s="1005" t="s">
        <v>2081</v>
      </c>
      <c r="O6" s="1005" t="s">
        <v>48</v>
      </c>
      <c r="P6" s="1005" t="s">
        <v>2082</v>
      </c>
      <c r="Q6" s="1005" t="s">
        <v>278</v>
      </c>
      <c r="R6" s="1005" t="s">
        <v>734</v>
      </c>
      <c r="S6" s="1005" t="s">
        <v>1088</v>
      </c>
      <c r="T6" s="1005" t="s">
        <v>224</v>
      </c>
    </row>
    <row r="7" spans="3:20" customFormat="1" ht="15">
      <c r="C7" s="999" t="s">
        <v>9</v>
      </c>
      <c r="D7" s="999" t="s">
        <v>276</v>
      </c>
      <c r="E7" s="999" t="s">
        <v>733</v>
      </c>
      <c r="F7" s="999" t="s">
        <v>75</v>
      </c>
      <c r="G7" s="999" t="s">
        <v>265</v>
      </c>
      <c r="H7" s="999" t="s">
        <v>1610</v>
      </c>
      <c r="I7" s="999" t="s">
        <v>304</v>
      </c>
      <c r="J7" s="999" t="s">
        <v>2127</v>
      </c>
      <c r="K7" s="999" t="s">
        <v>2126</v>
      </c>
      <c r="L7" s="999" t="s">
        <v>2016</v>
      </c>
      <c r="M7" s="999" t="s">
        <v>2017</v>
      </c>
      <c r="N7" s="999" t="s">
        <v>1604</v>
      </c>
      <c r="O7" s="999" t="s">
        <v>2018</v>
      </c>
      <c r="P7" s="999" t="s">
        <v>2019</v>
      </c>
      <c r="Q7" s="999" t="s">
        <v>2020</v>
      </c>
      <c r="R7" s="999" t="s">
        <v>720</v>
      </c>
      <c r="S7" s="999" t="s">
        <v>290</v>
      </c>
      <c r="T7" s="999" t="s">
        <v>1743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343"/>
  <sheetViews>
    <sheetView showGridLines="0" zoomScale="80" zoomScaleNormal="80" workbookViewId="0">
      <pane ySplit="27" topLeftCell="A28" activePane="bottomLeft" state="frozen"/>
      <selection pane="bottomLeft" activeCell="I10" sqref="I10"/>
    </sheetView>
  </sheetViews>
  <sheetFormatPr defaultRowHeight="21.95" customHeight="1"/>
  <cols>
    <col min="1" max="1" width="2.5703125" style="204" customWidth="1"/>
    <col min="2" max="2" width="3.42578125" style="222" customWidth="1"/>
    <col min="3" max="3" width="7.85546875" style="843" customWidth="1"/>
    <col min="4" max="5" width="17.7109375" style="843" customWidth="1"/>
    <col min="6" max="6" width="38" style="868" bestFit="1" customWidth="1"/>
    <col min="7" max="7" width="13.5703125" style="843" customWidth="1"/>
    <col min="8" max="8" width="15.42578125" style="843" customWidth="1"/>
    <col min="9" max="9" width="21.85546875" style="843" customWidth="1"/>
    <col min="10" max="11" width="21.85546875" style="868" customWidth="1"/>
    <col min="12" max="12" width="15.140625" style="884" bestFit="1" customWidth="1"/>
    <col min="13" max="13" width="19.5703125" style="884" customWidth="1"/>
    <col min="14" max="14" width="19.140625" style="1142" customWidth="1"/>
    <col min="15" max="15" width="21.28515625" style="843" customWidth="1"/>
    <col min="16" max="16" width="20.140625" style="843" bestFit="1" customWidth="1"/>
    <col min="17" max="17" width="26.42578125" style="843" customWidth="1"/>
    <col min="18" max="18" width="37.5703125" style="1143" customWidth="1"/>
    <col min="19" max="19" width="20.5703125" style="843" customWidth="1"/>
    <col min="20" max="20" width="21.85546875" style="843" bestFit="1" customWidth="1"/>
    <col min="21" max="21" width="19.140625" style="204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8" max="28" width="9.140625" style="204"/>
    <col min="29" max="29" width="19.42578125" style="204" bestFit="1" customWidth="1"/>
    <col min="30" max="30" width="19.7109375" style="204" customWidth="1"/>
    <col min="31" max="16384" width="9.140625" style="204"/>
  </cols>
  <sheetData>
    <row r="1" spans="2:27" ht="7.5" customHeight="1">
      <c r="C1" s="204"/>
      <c r="D1" s="204"/>
      <c r="E1" s="204"/>
      <c r="F1" s="204"/>
      <c r="G1" s="204"/>
      <c r="H1" s="204"/>
      <c r="I1" s="204"/>
      <c r="J1" s="204"/>
      <c r="K1" s="204"/>
      <c r="L1" s="836"/>
      <c r="M1" s="836"/>
      <c r="N1" s="836"/>
      <c r="O1" s="204"/>
      <c r="P1" s="204"/>
      <c r="Q1" s="204"/>
      <c r="R1" s="204"/>
      <c r="S1" s="204"/>
      <c r="T1" s="204"/>
    </row>
    <row r="2" spans="2:27" s="408" customFormat="1" ht="44.25">
      <c r="B2" s="844"/>
      <c r="C2" s="1002" t="s">
        <v>2132</v>
      </c>
      <c r="L2" s="839"/>
      <c r="M2" s="839"/>
      <c r="N2" s="839"/>
      <c r="R2" s="401"/>
      <c r="S2" s="401"/>
      <c r="T2" s="401"/>
      <c r="V2"/>
      <c r="W2"/>
      <c r="X2"/>
      <c r="Y2"/>
      <c r="Z2"/>
      <c r="AA2"/>
    </row>
    <row r="3" spans="2:27" ht="22.5" customHeight="1">
      <c r="C3" s="204"/>
      <c r="D3" s="204"/>
      <c r="E3" s="204"/>
      <c r="F3" s="204"/>
      <c r="G3" s="204"/>
      <c r="H3" s="204"/>
      <c r="I3" s="204"/>
      <c r="J3" s="204"/>
      <c r="K3" s="204"/>
      <c r="L3" s="836"/>
      <c r="M3" s="836"/>
      <c r="N3" s="836"/>
      <c r="O3" s="204"/>
      <c r="P3" s="204"/>
      <c r="Q3" s="204"/>
      <c r="R3" s="204"/>
      <c r="S3" s="204"/>
      <c r="T3" s="251"/>
    </row>
    <row r="4" spans="2:27" ht="24" customHeight="1">
      <c r="C4" s="2118" t="s">
        <v>2086</v>
      </c>
      <c r="D4" s="2118"/>
      <c r="E4" s="204"/>
      <c r="F4" s="256"/>
      <c r="G4" s="204"/>
      <c r="H4" s="837">
        <v>87</v>
      </c>
      <c r="I4" s="401" t="s">
        <v>2113</v>
      </c>
      <c r="J4" s="886" t="s">
        <v>2917</v>
      </c>
      <c r="K4" s="837">
        <v>41</v>
      </c>
      <c r="L4" s="874"/>
      <c r="M4" s="875"/>
      <c r="N4" s="876"/>
      <c r="O4" s="876"/>
      <c r="P4" s="256"/>
      <c r="Q4" s="204"/>
      <c r="R4" s="204"/>
      <c r="S4" s="204"/>
      <c r="T4" s="251"/>
    </row>
    <row r="5" spans="2:27" ht="9" customHeight="1">
      <c r="C5" s="204"/>
      <c r="D5" s="204"/>
      <c r="E5" s="204"/>
      <c r="F5" s="204"/>
      <c r="G5" s="204"/>
      <c r="H5" s="837"/>
      <c r="I5" s="204"/>
      <c r="J5" s="204"/>
      <c r="K5" s="204"/>
      <c r="L5" s="836"/>
      <c r="M5" s="836"/>
      <c r="N5" s="836"/>
      <c r="O5" s="204"/>
      <c r="P5" s="204"/>
      <c r="Q5" s="204"/>
      <c r="R5" s="204"/>
      <c r="S5" s="204"/>
      <c r="T5" s="204"/>
    </row>
    <row r="6" spans="2:27" ht="33.75" customHeight="1">
      <c r="C6" s="2114" t="s">
        <v>2490</v>
      </c>
      <c r="D6" s="2114"/>
      <c r="E6" s="2115" t="s">
        <v>3552</v>
      </c>
      <c r="F6" s="2116"/>
      <c r="G6" s="2117"/>
      <c r="H6" s="204"/>
      <c r="I6" s="256" t="s">
        <v>2085</v>
      </c>
      <c r="J6" s="2107" t="s">
        <v>1960</v>
      </c>
      <c r="K6" s="2108"/>
      <c r="L6" s="2109"/>
      <c r="M6" s="837">
        <f>MID(J6,1,2)*1</f>
        <v>1</v>
      </c>
      <c r="N6" s="401" t="s">
        <v>2130</v>
      </c>
      <c r="O6" s="1025" t="s">
        <v>2123</v>
      </c>
      <c r="P6" s="1025" t="s">
        <v>2124</v>
      </c>
      <c r="Q6" s="1026" t="s">
        <v>2125</v>
      </c>
      <c r="R6" s="204"/>
      <c r="S6" s="204"/>
      <c r="T6" s="204"/>
      <c r="V6" s="3"/>
      <c r="W6" s="3"/>
      <c r="X6" s="3"/>
      <c r="Y6" s="3"/>
      <c r="Z6" s="3"/>
      <c r="AA6" s="3"/>
    </row>
    <row r="7" spans="2:27" ht="9" customHeight="1"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</row>
    <row r="8" spans="2:27" ht="27.75" customHeight="1">
      <c r="B8" s="845" t="s">
        <v>2114</v>
      </c>
      <c r="C8" s="1027" t="s">
        <v>47</v>
      </c>
      <c r="D8" s="1027" t="s">
        <v>776</v>
      </c>
      <c r="E8" s="1028"/>
      <c r="F8" s="1027" t="s">
        <v>63</v>
      </c>
      <c r="G8" s="1027" t="s">
        <v>2089</v>
      </c>
      <c r="H8" s="1027"/>
      <c r="I8" s="1029">
        <f>IF(product_price_uom_id="","",product_price_uom_id)</f>
        <v>41</v>
      </c>
      <c r="J8" s="1030">
        <f>IF(OR(product_price_pid="",ISNA(VLOOKUP(product_price_uom_id,uom_converion_list,2,FALSE))),"",VLOOKUP(product_price_uom_id,uom_converion_list,2,FALSE))</f>
        <v>2</v>
      </c>
      <c r="K8" s="998" t="str">
        <f>IF(AND(N9&gt;0,COUNTIFS(UomConversion!$D$8:$D$500,product_price_uom_id,UomConversion!$J$8:$J$500,1)&gt;1),N9,"")</f>
        <v/>
      </c>
      <c r="L8" s="998"/>
      <c r="M8" s="998"/>
      <c r="N8" s="1031" t="s">
        <v>1917</v>
      </c>
      <c r="O8" s="1031" t="s">
        <v>2121</v>
      </c>
      <c r="P8" s="1031" t="s">
        <v>2120</v>
      </c>
      <c r="Q8" s="1031" t="s">
        <v>2129</v>
      </c>
      <c r="R8" s="1031" t="s">
        <v>2119</v>
      </c>
      <c r="S8" s="1031" t="s">
        <v>2118</v>
      </c>
      <c r="T8" s="1031" t="s">
        <v>2140</v>
      </c>
      <c r="U8" s="1031" t="s">
        <v>2140</v>
      </c>
      <c r="V8" s="1031" t="s">
        <v>2140</v>
      </c>
      <c r="W8" s="1031" t="s">
        <v>2141</v>
      </c>
    </row>
    <row r="9" spans="2:27" ht="21.75" customHeight="1">
      <c r="B9" s="845"/>
      <c r="C9" s="992" t="s">
        <v>9</v>
      </c>
      <c r="D9" s="992" t="s">
        <v>2087</v>
      </c>
      <c r="E9" s="993"/>
      <c r="F9" s="994" t="s">
        <v>77</v>
      </c>
      <c r="G9" s="992" t="s">
        <v>2088</v>
      </c>
      <c r="H9" s="992"/>
      <c r="I9" s="995" t="str">
        <f>IF(J4="","",MID(J4,5,100))</f>
        <v>Case/378pcs</v>
      </c>
      <c r="J9" s="996" t="str">
        <f>IF(OR(product_price_pid="",ISNA(VLOOKUP(product_price_uom_id,uom_converion_list,2,FALSE))),"",VLOOKUP(VLOOKUP(product_price_uom_id,uom_converion_list,2,FALSE),uom_list,5,FALSE))</f>
        <v>pcs</v>
      </c>
      <c r="K9" s="995" t="str">
        <f>IF(AND(N10&gt;0,COUNTIFS(UomConversion!$D$8:$D$500,product_price_uom_id,UomConversion!$J$8:$J$500,1)&gt;1),VLOOKUP(N10,uom_list,5,FALSE),"")</f>
        <v/>
      </c>
      <c r="L9" s="995"/>
      <c r="M9" s="995"/>
      <c r="N9" s="997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9" s="997" t="s">
        <v>2115</v>
      </c>
      <c r="P9" s="997" t="s">
        <v>2116</v>
      </c>
      <c r="Q9" s="997" t="s">
        <v>2128</v>
      </c>
      <c r="R9" s="997" t="s">
        <v>2117</v>
      </c>
      <c r="S9" s="997" t="s">
        <v>2020</v>
      </c>
      <c r="T9" s="998" t="str">
        <f>I9</f>
        <v>Case/378pcs</v>
      </c>
      <c r="U9" s="998" t="str">
        <f>J9</f>
        <v>pcs</v>
      </c>
      <c r="V9" s="998" t="str">
        <f>K9</f>
        <v/>
      </c>
      <c r="W9" s="997" t="s">
        <v>2131</v>
      </c>
    </row>
    <row r="10" spans="2:27" ht="24.95" customHeight="1">
      <c r="B10" s="222">
        <f>IF(D10="","",MID(D10,1,2)*1)</f>
        <v>1</v>
      </c>
      <c r="C10" s="840">
        <f>IF(D10="","",1)</f>
        <v>1</v>
      </c>
      <c r="D10" s="2110" t="s">
        <v>20</v>
      </c>
      <c r="E10" s="2111"/>
      <c r="F10" s="841">
        <f t="shared" ref="F10:F21" si="0">IF(OR(product_price_pid="",D10=""),"",VLOOKUP(product_price_pid,product_list,14,FALSE))</f>
        <v>0.317</v>
      </c>
      <c r="G10" s="2112">
        <f>IF(OR(B10="",product_price_pid="",product_price_uom_id=""),"",SUMIFS(N28:N10000,D28:D10000,product_price_pid,G28:G10000,product_price_branch_id,H28:H10000,B10,I28:I10000,product_price_uom_id,Q28:Q10000,MID(S10,1,1)*1,T28:T10000,1))</f>
        <v>0</v>
      </c>
      <c r="H10" s="2113"/>
      <c r="I10" s="885"/>
      <c r="J10" s="885"/>
      <c r="K10" s="885"/>
      <c r="L10" s="885"/>
      <c r="M10" s="885"/>
      <c r="N10" s="842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10" s="843">
        <f t="shared" ref="O10" si="1">IF(OR(D10="",product_price_pid=""),"",COUNT($I$8:$M$8))</f>
        <v>2</v>
      </c>
      <c r="P10" s="843" t="str">
        <f>IF(D10="","",_xlfn.TEXTJOIN(";",TRUE,$I$8:$M$8))</f>
        <v>41;2</v>
      </c>
      <c r="Q10" s="852" t="str">
        <f>IF(D10="","",_xlfn.TEXTJOIN(";",TRUE,$I$9:$M$9))</f>
        <v>Case/378pcs;pcs</v>
      </c>
      <c r="R10" s="853" t="str">
        <f>IF(D10="","",IF(I10&lt;&gt;"",ROUND(I10,2),0)&amp;";"&amp;IF(J10&lt;&gt;"",ROUND(J10,2),0)&amp;";"&amp;IF(K10&lt;&gt;"",ROUND(K10,2),0))</f>
        <v>0;0;0</v>
      </c>
      <c r="S10" s="840" t="s">
        <v>2123</v>
      </c>
      <c r="T10" s="853">
        <f t="shared" ref="T10" si="2">IF(OR(B10="",product_price_pid="",product_price_uom_id=""),"",SUMIFS(N28:N10000,D28:D10000,product_price_pid,G28:G10000,product_price_branch_id,H28:H10000,B10,I28:I10000,product_price_uom_id,Q28:Q10000,MID(S10,1,1)*1,T28:T10000,1))</f>
        <v>0</v>
      </c>
      <c r="U10" s="853">
        <f t="shared" ref="U10:U21" si="3">IF(OR(B10="",product_price_pid="",$J$8=""),"",SUMIFS(N28:N10000,D28:D10000,product_price_pid,G28:G10000,product_price_branch_id,H28:H10000,B10,I28:I10000,$J$8,Q28:Q10000,MID(S10,1,1)*1,T28:T10000,1))</f>
        <v>0</v>
      </c>
      <c r="V10" s="853" t="str">
        <f t="shared" ref="V10" si="4">IF(OR(B10="",product_price_pid="",$K$8=""),"",SUMIFS(N28:N10000,D28:D10000,product_price_pid,G28:G10000,product_price_branch_id,H28:H10000,B10,I28:I10000,$K$8,Q28:Q10000,MID(S10,1,1)*1,T28:T10000,1))</f>
        <v/>
      </c>
      <c r="W10" s="853" t="str">
        <f>IF(D10="","",_xlfn.TEXTJOIN(";",TRUE,T10:V10))</f>
        <v>0;0</v>
      </c>
    </row>
    <row r="11" spans="2:27" ht="24.95" customHeight="1">
      <c r="B11" s="222">
        <f t="shared" ref="B11:B21" si="5">IF(D11="","",MID(D11,1,2)*1)</f>
        <v>2</v>
      </c>
      <c r="C11" s="840">
        <f>IF(D11="","",C10+1)</f>
        <v>2</v>
      </c>
      <c r="D11" s="2110" t="s">
        <v>22</v>
      </c>
      <c r="E11" s="2111"/>
      <c r="F11" s="841">
        <f t="shared" si="0"/>
        <v>0.317</v>
      </c>
      <c r="G11" s="2112">
        <f t="shared" ref="G11" si="6">IF(OR(B11="",product_price_pid="",product_price_uom_id=""),"",SUMIFS(N29:N10001,D29:D10001,product_price_pid,G29:G10001,product_price_branch_id,H29:H10001,B11,I29:I10001,product_price_uom_id,Q29:Q10001,MID(S11,1,1)*1,T29:T10001,1))</f>
        <v>189</v>
      </c>
      <c r="H11" s="2113"/>
      <c r="I11" s="885"/>
      <c r="J11" s="885"/>
      <c r="K11" s="885"/>
      <c r="L11" s="885"/>
      <c r="M11" s="885"/>
      <c r="N11" s="842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11" s="843">
        <f t="shared" ref="O11:O21" si="7">IF(OR(D11="",product_price_pid=""),"",COUNT($I$8:$M$8))</f>
        <v>2</v>
      </c>
      <c r="P11" s="843" t="str">
        <f t="shared" ref="P11:P21" si="8">IF(D11="","",_xlfn.TEXTJOIN(";",TRUE,$I$8:$M$8))</f>
        <v>41;2</v>
      </c>
      <c r="Q11" s="852" t="str">
        <f t="shared" ref="Q11:Q21" si="9">IF(D11="","",_xlfn.TEXTJOIN(";",TRUE,$I$9:$M$9))</f>
        <v>Case/378pcs;pcs</v>
      </c>
      <c r="R11" s="853" t="str">
        <f t="shared" ref="R11:R21" si="10">IF(D11="","",IF(I11&lt;&gt;"",ROUND(I11,2),0)&amp;";"&amp;IF(J11&lt;&gt;"",ROUND(J11,2),0)&amp;";"&amp;IF(K11&lt;&gt;"",ROUND(K11,2),0))</f>
        <v>0;0;0</v>
      </c>
      <c r="S11" s="840" t="s">
        <v>2123</v>
      </c>
      <c r="T11" s="853">
        <f t="shared" ref="T11:T21" si="11">IF(OR(B11="",product_price_pid="",product_price_uom_id=""),"",SUMIFS(N29:N10001,D29:D10001,product_price_pid,G29:G10001,product_price_branch_id,H29:H10001,B11,I29:I10001,product_price_uom_id,Q29:Q10001,MID(S11,1,1)*1,T29:T10001,1))</f>
        <v>189</v>
      </c>
      <c r="U11" s="853">
        <f t="shared" si="3"/>
        <v>0.5</v>
      </c>
      <c r="V11" s="853" t="str">
        <f t="shared" ref="V11:V21" si="12">IF(OR(B11="",product_price_pid="",$K$8=""),"",SUMIFS(N29:N10001,D29:D10001,product_price_pid,G29:G10001,product_price_branch_id,H29:H10001,B11,I29:I10001,$K$8,Q29:Q10001,MID(S11,1,1)*1,T29:T10001,1))</f>
        <v/>
      </c>
      <c r="W11" s="853" t="str">
        <f t="shared" ref="W11:W21" si="13">IF(D11="","",_xlfn.TEXTJOIN(";",TRUE,T11:V11))</f>
        <v>189;0.5</v>
      </c>
    </row>
    <row r="12" spans="2:27" ht="24.95" hidden="1" customHeight="1">
      <c r="B12" s="222" t="str">
        <f t="shared" si="5"/>
        <v/>
      </c>
      <c r="C12" s="840" t="str">
        <f t="shared" ref="C12:C21" si="14">IF(D12="","",C11+1)</f>
        <v/>
      </c>
      <c r="D12" s="2110"/>
      <c r="E12" s="2111"/>
      <c r="F12" s="841" t="str">
        <f t="shared" si="0"/>
        <v/>
      </c>
      <c r="G12" s="2112" t="str">
        <f t="shared" ref="G12:G21" si="15">IF(OR(B12="",product_price_pid="",product_price_uom_id=""),"",SUMIFS(N30:N10002,D30:D10002,product_price_pid,G30:G10002,product_price_branch_id,H30:H10002,B12,I30:I10002,product_price_uom_id,Q30:Q10002,MID(S12,1,1)*1,T30:T10002,1))</f>
        <v/>
      </c>
      <c r="H12" s="2113"/>
      <c r="I12" s="885"/>
      <c r="J12" s="885"/>
      <c r="K12" s="885"/>
      <c r="L12" s="885"/>
      <c r="M12" s="885"/>
      <c r="N12" s="842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843" t="str">
        <f t="shared" si="7"/>
        <v/>
      </c>
      <c r="P12" s="843" t="str">
        <f t="shared" si="8"/>
        <v/>
      </c>
      <c r="Q12" s="852" t="str">
        <f t="shared" si="9"/>
        <v/>
      </c>
      <c r="R12" s="853" t="str">
        <f t="shared" si="10"/>
        <v/>
      </c>
      <c r="S12" s="840"/>
      <c r="T12" s="853" t="str">
        <f t="shared" si="11"/>
        <v/>
      </c>
      <c r="U12" s="853" t="str">
        <f t="shared" si="3"/>
        <v/>
      </c>
      <c r="V12" s="853" t="str">
        <f t="shared" si="12"/>
        <v/>
      </c>
      <c r="W12" s="853" t="str">
        <f t="shared" si="13"/>
        <v/>
      </c>
    </row>
    <row r="13" spans="2:27" ht="24.75" hidden="1" customHeight="1">
      <c r="B13" s="222" t="str">
        <f t="shared" si="5"/>
        <v/>
      </c>
      <c r="C13" s="840" t="str">
        <f t="shared" si="14"/>
        <v/>
      </c>
      <c r="D13" s="2110"/>
      <c r="E13" s="2111"/>
      <c r="F13" s="841" t="str">
        <f t="shared" si="0"/>
        <v/>
      </c>
      <c r="G13" s="2112" t="str">
        <f t="shared" si="15"/>
        <v/>
      </c>
      <c r="H13" s="2113"/>
      <c r="I13" s="885"/>
      <c r="J13" s="885"/>
      <c r="K13" s="885"/>
      <c r="L13" s="885"/>
      <c r="M13" s="885"/>
      <c r="N13" s="842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843" t="str">
        <f t="shared" si="7"/>
        <v/>
      </c>
      <c r="P13" s="843" t="str">
        <f t="shared" si="8"/>
        <v/>
      </c>
      <c r="Q13" s="852" t="str">
        <f t="shared" si="9"/>
        <v/>
      </c>
      <c r="R13" s="853" t="str">
        <f t="shared" si="10"/>
        <v/>
      </c>
      <c r="S13" s="840"/>
      <c r="T13" s="853" t="str">
        <f t="shared" si="11"/>
        <v/>
      </c>
      <c r="U13" s="853" t="str">
        <f t="shared" si="3"/>
        <v/>
      </c>
      <c r="V13" s="853" t="str">
        <f t="shared" si="12"/>
        <v/>
      </c>
      <c r="W13" s="853" t="str">
        <f t="shared" si="13"/>
        <v/>
      </c>
    </row>
    <row r="14" spans="2:27" ht="21.95" hidden="1" customHeight="1">
      <c r="B14" s="222" t="str">
        <f t="shared" si="5"/>
        <v/>
      </c>
      <c r="C14" s="840" t="str">
        <f t="shared" si="14"/>
        <v/>
      </c>
      <c r="D14" s="2110"/>
      <c r="E14" s="2111"/>
      <c r="F14" s="841" t="str">
        <f t="shared" si="0"/>
        <v/>
      </c>
      <c r="G14" s="2112" t="str">
        <f t="shared" si="15"/>
        <v/>
      </c>
      <c r="H14" s="2113"/>
      <c r="I14" s="885"/>
      <c r="J14" s="885"/>
      <c r="K14" s="885"/>
      <c r="L14" s="885"/>
      <c r="M14" s="885"/>
      <c r="N14" s="842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843" t="str">
        <f t="shared" si="7"/>
        <v/>
      </c>
      <c r="P14" s="843" t="str">
        <f t="shared" si="8"/>
        <v/>
      </c>
      <c r="Q14" s="852" t="str">
        <f t="shared" si="9"/>
        <v/>
      </c>
      <c r="R14" s="853" t="str">
        <f t="shared" si="10"/>
        <v/>
      </c>
      <c r="S14" s="840"/>
      <c r="T14" s="853" t="str">
        <f t="shared" si="11"/>
        <v/>
      </c>
      <c r="U14" s="853" t="str">
        <f t="shared" si="3"/>
        <v/>
      </c>
      <c r="V14" s="853" t="str">
        <f t="shared" si="12"/>
        <v/>
      </c>
      <c r="W14" s="853" t="str">
        <f t="shared" si="13"/>
        <v/>
      </c>
    </row>
    <row r="15" spans="2:27" ht="21.95" hidden="1" customHeight="1">
      <c r="B15" s="222" t="str">
        <f t="shared" si="5"/>
        <v/>
      </c>
      <c r="C15" s="840" t="str">
        <f t="shared" si="14"/>
        <v/>
      </c>
      <c r="D15" s="2110"/>
      <c r="E15" s="2111"/>
      <c r="F15" s="841" t="str">
        <f t="shared" si="0"/>
        <v/>
      </c>
      <c r="G15" s="2112" t="str">
        <f t="shared" si="15"/>
        <v/>
      </c>
      <c r="H15" s="2113"/>
      <c r="I15" s="885"/>
      <c r="J15" s="885"/>
      <c r="K15" s="885"/>
      <c r="L15" s="885"/>
      <c r="M15" s="885"/>
      <c r="N15" s="842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843" t="str">
        <f t="shared" si="7"/>
        <v/>
      </c>
      <c r="P15" s="843" t="str">
        <f t="shared" si="8"/>
        <v/>
      </c>
      <c r="Q15" s="852" t="str">
        <f t="shared" si="9"/>
        <v/>
      </c>
      <c r="R15" s="853" t="str">
        <f t="shared" si="10"/>
        <v/>
      </c>
      <c r="S15" s="840"/>
      <c r="T15" s="853" t="str">
        <f t="shared" si="11"/>
        <v/>
      </c>
      <c r="U15" s="853" t="str">
        <f t="shared" si="3"/>
        <v/>
      </c>
      <c r="V15" s="853" t="str">
        <f t="shared" si="12"/>
        <v/>
      </c>
      <c r="W15" s="853" t="str">
        <f t="shared" si="13"/>
        <v/>
      </c>
    </row>
    <row r="16" spans="2:27" ht="21.95" hidden="1" customHeight="1">
      <c r="B16" s="222" t="str">
        <f t="shared" si="5"/>
        <v/>
      </c>
      <c r="C16" s="840" t="str">
        <f t="shared" si="14"/>
        <v/>
      </c>
      <c r="D16" s="2110"/>
      <c r="E16" s="2111"/>
      <c r="F16" s="841" t="str">
        <f t="shared" si="0"/>
        <v/>
      </c>
      <c r="G16" s="2112" t="str">
        <f t="shared" si="15"/>
        <v/>
      </c>
      <c r="H16" s="2113"/>
      <c r="I16" s="885"/>
      <c r="J16" s="885"/>
      <c r="K16" s="885"/>
      <c r="L16" s="885"/>
      <c r="M16" s="885"/>
      <c r="N16" s="842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843" t="str">
        <f t="shared" si="7"/>
        <v/>
      </c>
      <c r="P16" s="843" t="str">
        <f t="shared" si="8"/>
        <v/>
      </c>
      <c r="Q16" s="852" t="str">
        <f t="shared" si="9"/>
        <v/>
      </c>
      <c r="R16" s="853" t="str">
        <f t="shared" si="10"/>
        <v/>
      </c>
      <c r="S16" s="840"/>
      <c r="T16" s="853" t="str">
        <f t="shared" si="11"/>
        <v/>
      </c>
      <c r="U16" s="853" t="str">
        <f t="shared" si="3"/>
        <v/>
      </c>
      <c r="V16" s="853" t="str">
        <f t="shared" si="12"/>
        <v/>
      </c>
      <c r="W16" s="853" t="str">
        <f t="shared" si="13"/>
        <v/>
      </c>
    </row>
    <row r="17" spans="2:30" ht="21.95" hidden="1" customHeight="1">
      <c r="B17" s="222" t="str">
        <f t="shared" si="5"/>
        <v/>
      </c>
      <c r="C17" s="840" t="str">
        <f t="shared" si="14"/>
        <v/>
      </c>
      <c r="D17" s="2110"/>
      <c r="E17" s="2111"/>
      <c r="F17" s="841" t="str">
        <f t="shared" si="0"/>
        <v/>
      </c>
      <c r="G17" s="2112" t="str">
        <f t="shared" si="15"/>
        <v/>
      </c>
      <c r="H17" s="2113"/>
      <c r="I17" s="885"/>
      <c r="J17" s="885"/>
      <c r="K17" s="885"/>
      <c r="L17" s="885"/>
      <c r="M17" s="885"/>
      <c r="N17" s="842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843" t="str">
        <f t="shared" si="7"/>
        <v/>
      </c>
      <c r="P17" s="843" t="str">
        <f t="shared" si="8"/>
        <v/>
      </c>
      <c r="Q17" s="852" t="str">
        <f t="shared" si="9"/>
        <v/>
      </c>
      <c r="R17" s="853" t="str">
        <f t="shared" si="10"/>
        <v/>
      </c>
      <c r="S17" s="840"/>
      <c r="T17" s="853" t="str">
        <f t="shared" si="11"/>
        <v/>
      </c>
      <c r="U17" s="853" t="str">
        <f t="shared" si="3"/>
        <v/>
      </c>
      <c r="V17" s="853" t="str">
        <f t="shared" si="12"/>
        <v/>
      </c>
      <c r="W17" s="853" t="str">
        <f t="shared" si="13"/>
        <v/>
      </c>
    </row>
    <row r="18" spans="2:30" ht="21.95" hidden="1" customHeight="1">
      <c r="B18" s="222" t="str">
        <f t="shared" si="5"/>
        <v/>
      </c>
      <c r="C18" s="840" t="str">
        <f t="shared" si="14"/>
        <v/>
      </c>
      <c r="D18" s="2110"/>
      <c r="E18" s="2111"/>
      <c r="F18" s="841" t="str">
        <f t="shared" si="0"/>
        <v/>
      </c>
      <c r="G18" s="2112" t="str">
        <f t="shared" si="15"/>
        <v/>
      </c>
      <c r="H18" s="2113"/>
      <c r="I18" s="885"/>
      <c r="J18" s="885"/>
      <c r="K18" s="885"/>
      <c r="L18" s="885"/>
      <c r="M18" s="885"/>
      <c r="N18" s="842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843" t="str">
        <f t="shared" si="7"/>
        <v/>
      </c>
      <c r="P18" s="843" t="str">
        <f t="shared" si="8"/>
        <v/>
      </c>
      <c r="Q18" s="852" t="str">
        <f t="shared" si="9"/>
        <v/>
      </c>
      <c r="R18" s="853" t="str">
        <f t="shared" si="10"/>
        <v/>
      </c>
      <c r="S18" s="840"/>
      <c r="T18" s="853" t="str">
        <f t="shared" si="11"/>
        <v/>
      </c>
      <c r="U18" s="853" t="str">
        <f t="shared" si="3"/>
        <v/>
      </c>
      <c r="V18" s="853" t="str">
        <f t="shared" si="12"/>
        <v/>
      </c>
      <c r="W18" s="853" t="str">
        <f t="shared" si="13"/>
        <v/>
      </c>
    </row>
    <row r="19" spans="2:30" ht="21.95" hidden="1" customHeight="1">
      <c r="B19" s="222" t="str">
        <f t="shared" si="5"/>
        <v/>
      </c>
      <c r="C19" s="840" t="str">
        <f t="shared" si="14"/>
        <v/>
      </c>
      <c r="D19" s="2110"/>
      <c r="E19" s="2111"/>
      <c r="F19" s="841" t="str">
        <f t="shared" si="0"/>
        <v/>
      </c>
      <c r="G19" s="2112" t="str">
        <f t="shared" si="15"/>
        <v/>
      </c>
      <c r="H19" s="2113"/>
      <c r="I19" s="885"/>
      <c r="J19" s="885"/>
      <c r="K19" s="885"/>
      <c r="L19" s="885"/>
      <c r="M19" s="885"/>
      <c r="N19" s="842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843" t="str">
        <f t="shared" si="7"/>
        <v/>
      </c>
      <c r="P19" s="843" t="str">
        <f t="shared" si="8"/>
        <v/>
      </c>
      <c r="Q19" s="852" t="str">
        <f t="shared" si="9"/>
        <v/>
      </c>
      <c r="R19" s="853" t="str">
        <f t="shared" si="10"/>
        <v/>
      </c>
      <c r="S19" s="840"/>
      <c r="T19" s="853" t="str">
        <f t="shared" si="11"/>
        <v/>
      </c>
      <c r="U19" s="853" t="str">
        <f t="shared" si="3"/>
        <v/>
      </c>
      <c r="V19" s="853" t="str">
        <f t="shared" si="12"/>
        <v/>
      </c>
      <c r="W19" s="853" t="str">
        <f t="shared" si="13"/>
        <v/>
      </c>
    </row>
    <row r="20" spans="2:30" ht="21.95" hidden="1" customHeight="1">
      <c r="B20" s="222" t="str">
        <f t="shared" si="5"/>
        <v/>
      </c>
      <c r="C20" s="840" t="str">
        <f t="shared" si="14"/>
        <v/>
      </c>
      <c r="D20" s="2110"/>
      <c r="E20" s="2111"/>
      <c r="F20" s="841" t="str">
        <f t="shared" si="0"/>
        <v/>
      </c>
      <c r="G20" s="2112" t="str">
        <f t="shared" si="15"/>
        <v/>
      </c>
      <c r="H20" s="2113"/>
      <c r="I20" s="885"/>
      <c r="J20" s="885"/>
      <c r="K20" s="885"/>
      <c r="L20" s="885"/>
      <c r="M20" s="885"/>
      <c r="N20" s="842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843" t="str">
        <f t="shared" si="7"/>
        <v/>
      </c>
      <c r="P20" s="843" t="str">
        <f t="shared" si="8"/>
        <v/>
      </c>
      <c r="Q20" s="852" t="str">
        <f t="shared" si="9"/>
        <v/>
      </c>
      <c r="R20" s="853" t="str">
        <f t="shared" si="10"/>
        <v/>
      </c>
      <c r="S20" s="840"/>
      <c r="T20" s="853" t="str">
        <f t="shared" si="11"/>
        <v/>
      </c>
      <c r="U20" s="853" t="str">
        <f t="shared" si="3"/>
        <v/>
      </c>
      <c r="V20" s="853" t="str">
        <f t="shared" si="12"/>
        <v/>
      </c>
      <c r="W20" s="853" t="str">
        <f t="shared" si="13"/>
        <v/>
      </c>
    </row>
    <row r="21" spans="2:30" customFormat="1" ht="21.95" hidden="1" customHeight="1">
      <c r="B21" s="222" t="str">
        <f t="shared" si="5"/>
        <v/>
      </c>
      <c r="C21" s="840" t="str">
        <f t="shared" si="14"/>
        <v/>
      </c>
      <c r="D21" s="2110"/>
      <c r="E21" s="2111"/>
      <c r="F21" s="841" t="str">
        <f t="shared" si="0"/>
        <v/>
      </c>
      <c r="G21" s="2112" t="str">
        <f t="shared" si="15"/>
        <v/>
      </c>
      <c r="H21" s="2113"/>
      <c r="I21" s="885"/>
      <c r="J21" s="885"/>
      <c r="K21" s="885"/>
      <c r="L21" s="885"/>
      <c r="M21" s="885"/>
      <c r="N21" s="842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843" t="str">
        <f t="shared" si="7"/>
        <v/>
      </c>
      <c r="P21" s="843" t="str">
        <f t="shared" si="8"/>
        <v/>
      </c>
      <c r="Q21" s="852" t="str">
        <f t="shared" si="9"/>
        <v/>
      </c>
      <c r="R21" s="853" t="str">
        <f t="shared" si="10"/>
        <v/>
      </c>
      <c r="S21" s="840"/>
      <c r="T21" s="853" t="str">
        <f t="shared" si="11"/>
        <v/>
      </c>
      <c r="U21" s="853" t="str">
        <f t="shared" si="3"/>
        <v/>
      </c>
      <c r="V21" s="853" t="str">
        <f t="shared" si="12"/>
        <v/>
      </c>
      <c r="W21" s="853" t="str">
        <f t="shared" si="13"/>
        <v/>
      </c>
    </row>
    <row r="22" spans="2:30" customFormat="1" ht="10.5" hidden="1" customHeight="1">
      <c r="B22" s="81"/>
      <c r="C22" s="13"/>
      <c r="D22" s="2119"/>
      <c r="E22" s="2119"/>
      <c r="F22" s="838"/>
      <c r="G22" s="401"/>
      <c r="H22" s="204"/>
      <c r="I22" s="13"/>
      <c r="J22" s="13"/>
      <c r="K22" s="13"/>
      <c r="L22" s="1106"/>
      <c r="M22" s="835"/>
      <c r="N22" s="835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3"/>
      <c r="J23" s="13"/>
      <c r="K23" s="13"/>
      <c r="L23" s="1106"/>
      <c r="M23" s="835"/>
      <c r="N23" s="835"/>
      <c r="O23" s="13"/>
      <c r="P23" s="13"/>
      <c r="Q23" s="13"/>
      <c r="R23" s="13"/>
      <c r="S23" s="13"/>
    </row>
    <row r="24" spans="2:30" customFormat="1" ht="13.5" customHeight="1">
      <c r="B24" s="81"/>
      <c r="C24" s="13"/>
      <c r="D24" s="13"/>
      <c r="E24" s="13"/>
      <c r="F24" s="13"/>
      <c r="G24" s="13"/>
      <c r="H24" s="13"/>
      <c r="I24" s="13"/>
      <c r="J24" s="13"/>
      <c r="K24" s="13"/>
      <c r="L24" s="1106"/>
      <c r="M24" s="835"/>
      <c r="N24" s="835"/>
      <c r="O24" s="13"/>
      <c r="P24" s="13"/>
      <c r="Q24" s="13"/>
      <c r="R24" s="13"/>
      <c r="S24" s="13"/>
    </row>
    <row r="25" spans="2:30" customFormat="1" ht="48" customHeight="1">
      <c r="B25" s="81"/>
      <c r="C25" s="984" t="s">
        <v>2077</v>
      </c>
      <c r="D25" s="1033"/>
      <c r="E25" s="1033"/>
      <c r="F25" s="1033"/>
      <c r="G25" s="1034"/>
      <c r="H25" s="1034"/>
      <c r="I25" s="1034"/>
      <c r="J25" s="1034"/>
      <c r="K25" s="1034"/>
      <c r="L25" s="1035"/>
      <c r="M25" s="1035"/>
      <c r="N25" s="1035"/>
      <c r="O25" s="1034"/>
      <c r="P25" s="1034"/>
      <c r="Q25" s="121"/>
      <c r="R25" s="1034"/>
      <c r="S25" s="1034"/>
      <c r="T25" s="139"/>
    </row>
    <row r="26" spans="2:30" customFormat="1" ht="23.25" customHeight="1">
      <c r="B26" s="81"/>
      <c r="C26" s="1005" t="s">
        <v>47</v>
      </c>
      <c r="D26" s="1005" t="s">
        <v>2078</v>
      </c>
      <c r="E26" s="1005" t="s">
        <v>2090</v>
      </c>
      <c r="F26" s="1005" t="s">
        <v>2091</v>
      </c>
      <c r="G26" s="1005" t="s">
        <v>221</v>
      </c>
      <c r="H26" s="1005" t="s">
        <v>776</v>
      </c>
      <c r="I26" s="1005" t="s">
        <v>62</v>
      </c>
      <c r="J26" s="1005" t="s">
        <v>1611</v>
      </c>
      <c r="K26" s="1005" t="s">
        <v>776</v>
      </c>
      <c r="L26" s="1005" t="s">
        <v>2079</v>
      </c>
      <c r="M26" s="1005" t="s">
        <v>2080</v>
      </c>
      <c r="N26" s="1005" t="s">
        <v>2081</v>
      </c>
      <c r="O26" s="1005" t="s">
        <v>48</v>
      </c>
      <c r="P26" s="1005" t="s">
        <v>2082</v>
      </c>
      <c r="Q26" s="1005" t="s">
        <v>278</v>
      </c>
      <c r="R26" s="1005" t="s">
        <v>734</v>
      </c>
      <c r="S26" s="1005" t="s">
        <v>1088</v>
      </c>
      <c r="T26" s="1032" t="s">
        <v>224</v>
      </c>
      <c r="AB26" s="204"/>
      <c r="AC26" s="204"/>
      <c r="AD26" s="204"/>
    </row>
    <row r="27" spans="2:30" customFormat="1" ht="18.75" customHeight="1">
      <c r="B27" s="81"/>
      <c r="C27" s="1000" t="s">
        <v>9</v>
      </c>
      <c r="D27" s="1000" t="s">
        <v>276</v>
      </c>
      <c r="E27" s="1000" t="s">
        <v>733</v>
      </c>
      <c r="F27" s="1000" t="s">
        <v>75</v>
      </c>
      <c r="G27" s="1000" t="s">
        <v>265</v>
      </c>
      <c r="H27" s="1000" t="s">
        <v>1610</v>
      </c>
      <c r="I27" s="1000" t="s">
        <v>304</v>
      </c>
      <c r="J27" s="1000" t="s">
        <v>2127</v>
      </c>
      <c r="K27" s="1000" t="s">
        <v>2126</v>
      </c>
      <c r="L27" s="1000" t="s">
        <v>2016</v>
      </c>
      <c r="M27" s="1000" t="s">
        <v>2017</v>
      </c>
      <c r="N27" s="1000" t="s">
        <v>1604</v>
      </c>
      <c r="O27" s="1000" t="s">
        <v>2018</v>
      </c>
      <c r="P27" s="1000" t="s">
        <v>2019</v>
      </c>
      <c r="Q27" s="1000" t="s">
        <v>2020</v>
      </c>
      <c r="R27" s="1000" t="s">
        <v>720</v>
      </c>
      <c r="S27" s="1000" t="s">
        <v>290</v>
      </c>
      <c r="T27" s="1000" t="s">
        <v>1743</v>
      </c>
      <c r="AB27" s="204"/>
      <c r="AC27" s="204"/>
      <c r="AD27" s="204"/>
    </row>
    <row r="28" spans="2:30" ht="21.95" customHeight="1">
      <c r="C28" s="843">
        <v>1</v>
      </c>
      <c r="D28" s="843">
        <v>1</v>
      </c>
      <c r="E28" s="843" t="s">
        <v>2708</v>
      </c>
      <c r="F28" s="868" t="s">
        <v>2978</v>
      </c>
      <c r="G28" s="843">
        <v>1</v>
      </c>
      <c r="H28" s="843">
        <v>1</v>
      </c>
      <c r="I28" s="843">
        <v>2</v>
      </c>
      <c r="K28" s="868" t="s">
        <v>2793</v>
      </c>
      <c r="L28" s="884">
        <v>27.34</v>
      </c>
      <c r="M28" s="884">
        <v>28</v>
      </c>
      <c r="N28" s="1142">
        <v>28</v>
      </c>
      <c r="O28" s="843">
        <v>0</v>
      </c>
      <c r="P28" s="843">
        <v>0</v>
      </c>
      <c r="Q28" s="843">
        <v>1</v>
      </c>
      <c r="R28" s="1143">
        <v>46198.752997685187</v>
      </c>
      <c r="S28" s="843">
        <v>1</v>
      </c>
      <c r="T28" s="843">
        <v>1</v>
      </c>
    </row>
    <row r="29" spans="2:30" ht="21.95" customHeight="1">
      <c r="C29" s="843">
        <v>2</v>
      </c>
      <c r="D29" s="843">
        <v>1</v>
      </c>
      <c r="E29" s="843" t="s">
        <v>2708</v>
      </c>
      <c r="F29" s="868" t="s">
        <v>2978</v>
      </c>
      <c r="G29" s="843">
        <v>1</v>
      </c>
      <c r="H29" s="843">
        <v>2</v>
      </c>
      <c r="I29" s="843">
        <v>2</v>
      </c>
      <c r="K29" s="868" t="s">
        <v>1588</v>
      </c>
      <c r="L29" s="884">
        <v>27.34</v>
      </c>
      <c r="M29" s="884">
        <v>28.5</v>
      </c>
      <c r="N29" s="1142">
        <v>28.5</v>
      </c>
      <c r="O29" s="843">
        <v>0</v>
      </c>
      <c r="P29" s="843">
        <v>0</v>
      </c>
      <c r="Q29" s="843">
        <v>1</v>
      </c>
      <c r="R29" s="1143">
        <v>46198.752997685187</v>
      </c>
      <c r="S29" s="843">
        <v>1</v>
      </c>
      <c r="T29" s="843">
        <v>1</v>
      </c>
    </row>
    <row r="30" spans="2:30" ht="21.95" customHeight="1">
      <c r="C30" s="843">
        <v>3</v>
      </c>
      <c r="D30" s="843">
        <v>2</v>
      </c>
      <c r="E30" s="843" t="s">
        <v>2709</v>
      </c>
      <c r="F30" s="868" t="s">
        <v>3181</v>
      </c>
      <c r="G30" s="843">
        <v>1</v>
      </c>
      <c r="H30" s="843">
        <v>1</v>
      </c>
      <c r="I30" s="843">
        <v>2</v>
      </c>
      <c r="K30" s="868" t="s">
        <v>2793</v>
      </c>
      <c r="L30" s="884">
        <v>11.32</v>
      </c>
      <c r="M30" s="884">
        <v>11.75</v>
      </c>
      <c r="N30" s="1142">
        <v>11.75</v>
      </c>
      <c r="O30" s="843">
        <v>0</v>
      </c>
      <c r="P30" s="843">
        <v>0</v>
      </c>
      <c r="Q30" s="843">
        <v>1</v>
      </c>
      <c r="R30" s="1143">
        <v>46198.752997685187</v>
      </c>
      <c r="S30" s="843">
        <v>1</v>
      </c>
      <c r="T30" s="843">
        <v>1</v>
      </c>
    </row>
    <row r="31" spans="2:30" ht="21.95" customHeight="1">
      <c r="C31" s="843">
        <v>4</v>
      </c>
      <c r="D31" s="843">
        <v>2</v>
      </c>
      <c r="E31" s="843" t="s">
        <v>2709</v>
      </c>
      <c r="F31" s="868" t="s">
        <v>3181</v>
      </c>
      <c r="G31" s="843">
        <v>1</v>
      </c>
      <c r="H31" s="843">
        <v>2</v>
      </c>
      <c r="I31" s="843">
        <v>2</v>
      </c>
      <c r="K31" s="868" t="s">
        <v>1588</v>
      </c>
      <c r="L31" s="884">
        <v>11.32</v>
      </c>
      <c r="M31" s="884">
        <v>12</v>
      </c>
      <c r="N31" s="1142">
        <v>12</v>
      </c>
      <c r="O31" s="843">
        <v>0</v>
      </c>
      <c r="P31" s="843">
        <v>0</v>
      </c>
      <c r="Q31" s="843">
        <v>1</v>
      </c>
      <c r="R31" s="1143">
        <v>46198.752997685187</v>
      </c>
      <c r="S31" s="843">
        <v>1</v>
      </c>
      <c r="T31" s="843">
        <v>1</v>
      </c>
    </row>
    <row r="32" spans="2:30" ht="21.95" customHeight="1">
      <c r="C32" s="843">
        <v>5</v>
      </c>
      <c r="D32" s="843">
        <v>3</v>
      </c>
      <c r="E32" s="843" t="s">
        <v>2710</v>
      </c>
      <c r="F32" s="868" t="s">
        <v>2979</v>
      </c>
      <c r="G32" s="843">
        <v>1</v>
      </c>
      <c r="H32" s="843">
        <v>1</v>
      </c>
      <c r="I32" s="843">
        <v>2</v>
      </c>
      <c r="K32" s="868" t="s">
        <v>2793</v>
      </c>
      <c r="L32" s="884">
        <v>8.8000000000000007</v>
      </c>
      <c r="M32" s="884">
        <v>9</v>
      </c>
      <c r="N32" s="1142">
        <v>9</v>
      </c>
      <c r="O32" s="843">
        <v>0</v>
      </c>
      <c r="P32" s="843">
        <v>0</v>
      </c>
      <c r="Q32" s="843">
        <v>1</v>
      </c>
      <c r="R32" s="1143">
        <v>46198.752997685187</v>
      </c>
      <c r="S32" s="843">
        <v>1</v>
      </c>
      <c r="T32" s="843">
        <v>1</v>
      </c>
    </row>
    <row r="33" spans="3:20" ht="21.75" customHeight="1">
      <c r="C33" s="843">
        <v>6</v>
      </c>
      <c r="D33" s="843">
        <v>3</v>
      </c>
      <c r="E33" s="843" t="s">
        <v>2710</v>
      </c>
      <c r="F33" s="868" t="s">
        <v>2979</v>
      </c>
      <c r="G33" s="843">
        <v>1</v>
      </c>
      <c r="H33" s="843">
        <v>2</v>
      </c>
      <c r="I33" s="843">
        <v>2</v>
      </c>
      <c r="K33" s="868" t="s">
        <v>1588</v>
      </c>
      <c r="L33" s="884">
        <v>8.8000000000000007</v>
      </c>
      <c r="M33" s="884">
        <v>9.5</v>
      </c>
      <c r="N33" s="1142">
        <v>9.5</v>
      </c>
      <c r="O33" s="843">
        <v>0</v>
      </c>
      <c r="P33" s="843">
        <v>0</v>
      </c>
      <c r="Q33" s="843">
        <v>1</v>
      </c>
      <c r="R33" s="1143">
        <v>46198.752997685187</v>
      </c>
      <c r="S33" s="843">
        <v>1</v>
      </c>
      <c r="T33" s="843">
        <v>1</v>
      </c>
    </row>
    <row r="34" spans="3:20" ht="21.95" customHeight="1">
      <c r="C34" s="843">
        <v>7</v>
      </c>
      <c r="D34" s="843">
        <v>4</v>
      </c>
      <c r="E34" s="843" t="s">
        <v>2711</v>
      </c>
      <c r="F34" s="868" t="s">
        <v>2980</v>
      </c>
      <c r="G34" s="843">
        <v>1</v>
      </c>
      <c r="H34" s="843">
        <v>1</v>
      </c>
      <c r="I34" s="843">
        <v>2</v>
      </c>
      <c r="K34" s="868" t="s">
        <v>2793</v>
      </c>
      <c r="L34" s="884">
        <v>5.8</v>
      </c>
      <c r="M34" s="884">
        <v>6</v>
      </c>
      <c r="N34" s="1142">
        <v>6</v>
      </c>
      <c r="O34" s="843">
        <v>0</v>
      </c>
      <c r="P34" s="843">
        <v>0</v>
      </c>
      <c r="Q34" s="843">
        <v>1</v>
      </c>
      <c r="R34" s="1143">
        <v>46198.752997685187</v>
      </c>
      <c r="S34" s="843">
        <v>1</v>
      </c>
      <c r="T34" s="843">
        <v>1</v>
      </c>
    </row>
    <row r="35" spans="3:20" ht="21.95" customHeight="1">
      <c r="C35" s="843">
        <v>8</v>
      </c>
      <c r="D35" s="843">
        <v>4</v>
      </c>
      <c r="E35" s="843" t="s">
        <v>2711</v>
      </c>
      <c r="F35" s="868" t="s">
        <v>2980</v>
      </c>
      <c r="G35" s="843">
        <v>1</v>
      </c>
      <c r="H35" s="843">
        <v>2</v>
      </c>
      <c r="I35" s="843">
        <v>2</v>
      </c>
      <c r="K35" s="868" t="s">
        <v>1588</v>
      </c>
      <c r="L35" s="884">
        <v>5.8</v>
      </c>
      <c r="M35" s="884">
        <v>6.5</v>
      </c>
      <c r="N35" s="1142">
        <v>6.5</v>
      </c>
      <c r="O35" s="843">
        <v>0</v>
      </c>
      <c r="P35" s="843">
        <v>0</v>
      </c>
      <c r="Q35" s="843">
        <v>1</v>
      </c>
      <c r="R35" s="1143">
        <v>46198.752997685187</v>
      </c>
      <c r="S35" s="843">
        <v>1</v>
      </c>
      <c r="T35" s="843">
        <v>1</v>
      </c>
    </row>
    <row r="36" spans="3:20" ht="21.95" customHeight="1">
      <c r="C36" s="843">
        <v>9</v>
      </c>
      <c r="D36" s="843">
        <v>5</v>
      </c>
      <c r="E36" s="843" t="s">
        <v>2712</v>
      </c>
      <c r="F36" s="868" t="s">
        <v>2981</v>
      </c>
      <c r="G36" s="843">
        <v>1</v>
      </c>
      <c r="H36" s="843">
        <v>1</v>
      </c>
      <c r="I36" s="843">
        <v>2</v>
      </c>
      <c r="K36" s="868" t="s">
        <v>2793</v>
      </c>
      <c r="L36" s="884">
        <v>3.74</v>
      </c>
      <c r="M36" s="884">
        <v>4</v>
      </c>
      <c r="N36" s="1142">
        <v>4</v>
      </c>
      <c r="O36" s="843">
        <v>0</v>
      </c>
      <c r="P36" s="843">
        <v>0</v>
      </c>
      <c r="Q36" s="843">
        <v>1</v>
      </c>
      <c r="R36" s="1143">
        <v>46198.752997685187</v>
      </c>
      <c r="S36" s="843">
        <v>1</v>
      </c>
      <c r="T36" s="843">
        <v>1</v>
      </c>
    </row>
    <row r="37" spans="3:20" ht="21.95" customHeight="1">
      <c r="C37" s="843">
        <v>10</v>
      </c>
      <c r="D37" s="843">
        <v>5</v>
      </c>
      <c r="E37" s="843" t="s">
        <v>2712</v>
      </c>
      <c r="F37" s="868" t="s">
        <v>2981</v>
      </c>
      <c r="G37" s="843">
        <v>1</v>
      </c>
      <c r="H37" s="843">
        <v>2</v>
      </c>
      <c r="I37" s="843">
        <v>2</v>
      </c>
      <c r="K37" s="868" t="s">
        <v>1588</v>
      </c>
      <c r="L37" s="884">
        <v>3.74</v>
      </c>
      <c r="M37" s="884">
        <v>4.25</v>
      </c>
      <c r="N37" s="1142">
        <v>4.25</v>
      </c>
      <c r="O37" s="843">
        <v>0</v>
      </c>
      <c r="P37" s="843">
        <v>0</v>
      </c>
      <c r="Q37" s="843">
        <v>1</v>
      </c>
      <c r="R37" s="1143">
        <v>46198.752997685187</v>
      </c>
      <c r="S37" s="843">
        <v>1</v>
      </c>
      <c r="T37" s="843">
        <v>1</v>
      </c>
    </row>
    <row r="38" spans="3:20" ht="21.95" customHeight="1">
      <c r="C38" s="843">
        <v>11</v>
      </c>
      <c r="D38" s="843">
        <v>6</v>
      </c>
      <c r="E38" s="843" t="s">
        <v>2713</v>
      </c>
      <c r="F38" s="868" t="s">
        <v>2982</v>
      </c>
      <c r="G38" s="843">
        <v>1</v>
      </c>
      <c r="H38" s="843">
        <v>1</v>
      </c>
      <c r="I38" s="843">
        <v>2</v>
      </c>
      <c r="K38" s="868" t="s">
        <v>2793</v>
      </c>
      <c r="L38" s="884">
        <v>2.89</v>
      </c>
      <c r="M38" s="884">
        <v>3.1</v>
      </c>
      <c r="N38" s="1142">
        <v>3.1</v>
      </c>
      <c r="O38" s="843">
        <v>0</v>
      </c>
      <c r="P38" s="843">
        <v>0</v>
      </c>
      <c r="Q38" s="843">
        <v>1</v>
      </c>
      <c r="R38" s="1143">
        <v>46198.752997685187</v>
      </c>
      <c r="S38" s="843">
        <v>1</v>
      </c>
      <c r="T38" s="843">
        <v>1</v>
      </c>
    </row>
    <row r="39" spans="3:20" ht="21.95" customHeight="1">
      <c r="C39" s="843">
        <v>12</v>
      </c>
      <c r="D39" s="843">
        <v>6</v>
      </c>
      <c r="E39" s="843" t="s">
        <v>2713</v>
      </c>
      <c r="F39" s="868" t="s">
        <v>2982</v>
      </c>
      <c r="G39" s="843">
        <v>1</v>
      </c>
      <c r="H39" s="843">
        <v>2</v>
      </c>
      <c r="I39" s="843">
        <v>2</v>
      </c>
      <c r="K39" s="868" t="s">
        <v>1588</v>
      </c>
      <c r="L39" s="884">
        <v>2.89</v>
      </c>
      <c r="M39" s="884">
        <v>3.5</v>
      </c>
      <c r="N39" s="1142">
        <v>3.5</v>
      </c>
      <c r="O39" s="843">
        <v>0</v>
      </c>
      <c r="P39" s="843">
        <v>0</v>
      </c>
      <c r="Q39" s="843">
        <v>1</v>
      </c>
      <c r="R39" s="1143">
        <v>46198.752997685187</v>
      </c>
      <c r="S39" s="843">
        <v>1</v>
      </c>
      <c r="T39" s="843">
        <v>1</v>
      </c>
    </row>
    <row r="40" spans="3:20" ht="21.95" customHeight="1">
      <c r="C40" s="843">
        <v>13</v>
      </c>
      <c r="D40" s="843">
        <v>7</v>
      </c>
      <c r="E40" s="843" t="s">
        <v>2714</v>
      </c>
      <c r="F40" s="868" t="s">
        <v>2983</v>
      </c>
      <c r="G40" s="843">
        <v>1</v>
      </c>
      <c r="H40" s="843">
        <v>1</v>
      </c>
      <c r="I40" s="843">
        <v>2</v>
      </c>
      <c r="K40" s="868" t="s">
        <v>2793</v>
      </c>
      <c r="L40" s="884">
        <v>1.79</v>
      </c>
      <c r="M40" s="884">
        <v>2.1</v>
      </c>
      <c r="N40" s="1142">
        <v>2.1</v>
      </c>
      <c r="O40" s="843">
        <v>0</v>
      </c>
      <c r="P40" s="843">
        <v>0</v>
      </c>
      <c r="Q40" s="843">
        <v>1</v>
      </c>
      <c r="R40" s="1143">
        <v>46198.752997685187</v>
      </c>
      <c r="S40" s="843">
        <v>1</v>
      </c>
      <c r="T40" s="843">
        <v>1</v>
      </c>
    </row>
    <row r="41" spans="3:20" ht="21.95" customHeight="1">
      <c r="C41" s="843">
        <v>14</v>
      </c>
      <c r="D41" s="843">
        <v>7</v>
      </c>
      <c r="E41" s="843" t="s">
        <v>2714</v>
      </c>
      <c r="F41" s="868" t="s">
        <v>2983</v>
      </c>
      <c r="G41" s="843">
        <v>1</v>
      </c>
      <c r="H41" s="843">
        <v>2</v>
      </c>
      <c r="I41" s="843">
        <v>2</v>
      </c>
      <c r="K41" s="868" t="s">
        <v>1588</v>
      </c>
      <c r="L41" s="884">
        <v>1.79</v>
      </c>
      <c r="M41" s="884">
        <v>2.5</v>
      </c>
      <c r="N41" s="1142">
        <v>2.5</v>
      </c>
      <c r="O41" s="843">
        <v>0</v>
      </c>
      <c r="P41" s="843">
        <v>0</v>
      </c>
      <c r="Q41" s="843">
        <v>1</v>
      </c>
      <c r="R41" s="1143">
        <v>46198.752997685187</v>
      </c>
      <c r="S41" s="843">
        <v>1</v>
      </c>
      <c r="T41" s="843">
        <v>1</v>
      </c>
    </row>
    <row r="42" spans="3:20" ht="21.95" customHeight="1">
      <c r="C42" s="843">
        <v>15</v>
      </c>
      <c r="D42" s="843">
        <v>8</v>
      </c>
      <c r="E42" s="843" t="s">
        <v>2715</v>
      </c>
      <c r="F42" s="868" t="s">
        <v>2984</v>
      </c>
      <c r="G42" s="843">
        <v>1</v>
      </c>
      <c r="H42" s="843">
        <v>1</v>
      </c>
      <c r="I42" s="843">
        <v>2</v>
      </c>
      <c r="K42" s="868" t="s">
        <v>2793</v>
      </c>
      <c r="L42" s="884">
        <v>1.32</v>
      </c>
      <c r="M42" s="884">
        <v>1.5</v>
      </c>
      <c r="N42" s="1142">
        <v>1.5</v>
      </c>
      <c r="O42" s="843">
        <v>0</v>
      </c>
      <c r="P42" s="843">
        <v>0</v>
      </c>
      <c r="Q42" s="843">
        <v>1</v>
      </c>
      <c r="R42" s="1143">
        <v>46198.752997685187</v>
      </c>
      <c r="S42" s="843">
        <v>1</v>
      </c>
      <c r="T42" s="843">
        <v>1</v>
      </c>
    </row>
    <row r="43" spans="3:20" ht="21.95" customHeight="1">
      <c r="C43" s="843">
        <v>16</v>
      </c>
      <c r="D43" s="843">
        <v>8</v>
      </c>
      <c r="E43" s="843" t="s">
        <v>2715</v>
      </c>
      <c r="F43" s="868" t="s">
        <v>2984</v>
      </c>
      <c r="G43" s="843">
        <v>1</v>
      </c>
      <c r="H43" s="843">
        <v>2</v>
      </c>
      <c r="I43" s="843">
        <v>2</v>
      </c>
      <c r="K43" s="868" t="s">
        <v>1588</v>
      </c>
      <c r="L43" s="884">
        <v>1.32</v>
      </c>
      <c r="M43" s="884">
        <v>1.75</v>
      </c>
      <c r="N43" s="1142">
        <v>1.75</v>
      </c>
      <c r="O43" s="843">
        <v>0</v>
      </c>
      <c r="P43" s="843">
        <v>0</v>
      </c>
      <c r="Q43" s="843">
        <v>1</v>
      </c>
      <c r="R43" s="1143">
        <v>46198.752997685187</v>
      </c>
      <c r="S43" s="843">
        <v>1</v>
      </c>
      <c r="T43" s="843">
        <v>1</v>
      </c>
    </row>
    <row r="44" spans="3:20" ht="21.95" customHeight="1">
      <c r="C44" s="843">
        <v>17</v>
      </c>
      <c r="D44" s="843">
        <v>9</v>
      </c>
      <c r="E44" s="843" t="s">
        <v>2716</v>
      </c>
      <c r="F44" s="868" t="s">
        <v>2985</v>
      </c>
      <c r="G44" s="843">
        <v>1</v>
      </c>
      <c r="H44" s="843">
        <v>1</v>
      </c>
      <c r="I44" s="843">
        <v>2</v>
      </c>
      <c r="K44" s="868" t="s">
        <v>2793</v>
      </c>
      <c r="L44" s="884">
        <v>1.1499999999999999</v>
      </c>
      <c r="M44" s="884">
        <v>1.35</v>
      </c>
      <c r="N44" s="1142">
        <v>1.35</v>
      </c>
      <c r="O44" s="843">
        <v>0</v>
      </c>
      <c r="P44" s="843">
        <v>0</v>
      </c>
      <c r="Q44" s="843">
        <v>1</v>
      </c>
      <c r="R44" s="1143">
        <v>46198.752997685187</v>
      </c>
      <c r="S44" s="843">
        <v>1</v>
      </c>
      <c r="T44" s="843">
        <v>1</v>
      </c>
    </row>
    <row r="45" spans="3:20" ht="21.95" customHeight="1">
      <c r="C45" s="843">
        <v>18</v>
      </c>
      <c r="D45" s="843">
        <v>9</v>
      </c>
      <c r="E45" s="843" t="s">
        <v>2716</v>
      </c>
      <c r="F45" s="868" t="s">
        <v>2985</v>
      </c>
      <c r="G45" s="843">
        <v>1</v>
      </c>
      <c r="H45" s="843">
        <v>2</v>
      </c>
      <c r="I45" s="843">
        <v>2</v>
      </c>
      <c r="K45" s="868" t="s">
        <v>1588</v>
      </c>
      <c r="L45" s="884">
        <v>1.1499999999999999</v>
      </c>
      <c r="M45" s="884">
        <v>1.5</v>
      </c>
      <c r="N45" s="1142">
        <v>1.5</v>
      </c>
      <c r="O45" s="843">
        <v>0</v>
      </c>
      <c r="P45" s="843">
        <v>0</v>
      </c>
      <c r="Q45" s="843">
        <v>1</v>
      </c>
      <c r="R45" s="1143">
        <v>46198.752997685187</v>
      </c>
      <c r="S45" s="843">
        <v>1</v>
      </c>
      <c r="T45" s="843">
        <v>1</v>
      </c>
    </row>
    <row r="46" spans="3:20" ht="21.95" customHeight="1">
      <c r="C46" s="843">
        <v>19</v>
      </c>
      <c r="D46" s="843">
        <v>10</v>
      </c>
      <c r="E46" s="843" t="s">
        <v>2326</v>
      </c>
      <c r="F46" s="868" t="s">
        <v>2986</v>
      </c>
      <c r="G46" s="843">
        <v>1</v>
      </c>
      <c r="H46" s="843">
        <v>1</v>
      </c>
      <c r="I46" s="843">
        <v>2</v>
      </c>
      <c r="K46" s="868" t="s">
        <v>2793</v>
      </c>
      <c r="L46" s="884">
        <v>14.85</v>
      </c>
      <c r="M46" s="884">
        <v>15.2</v>
      </c>
      <c r="N46" s="1142">
        <v>15.2</v>
      </c>
      <c r="O46" s="843">
        <v>0</v>
      </c>
      <c r="P46" s="843">
        <v>0</v>
      </c>
      <c r="Q46" s="843">
        <v>1</v>
      </c>
      <c r="R46" s="1143">
        <v>46198.752997685187</v>
      </c>
      <c r="S46" s="843">
        <v>1</v>
      </c>
      <c r="T46" s="843">
        <v>1</v>
      </c>
    </row>
    <row r="47" spans="3:20" ht="21.95" customHeight="1">
      <c r="C47" s="843">
        <v>20</v>
      </c>
      <c r="D47" s="843">
        <v>10</v>
      </c>
      <c r="E47" s="843" t="s">
        <v>2326</v>
      </c>
      <c r="F47" s="868" t="s">
        <v>2986</v>
      </c>
      <c r="G47" s="843">
        <v>1</v>
      </c>
      <c r="H47" s="843">
        <v>2</v>
      </c>
      <c r="I47" s="843">
        <v>2</v>
      </c>
      <c r="K47" s="868" t="s">
        <v>1588</v>
      </c>
      <c r="L47" s="884">
        <v>14.85</v>
      </c>
      <c r="M47" s="884">
        <v>15.5</v>
      </c>
      <c r="N47" s="1142">
        <v>15.5</v>
      </c>
      <c r="O47" s="843">
        <v>0</v>
      </c>
      <c r="P47" s="843">
        <v>0</v>
      </c>
      <c r="Q47" s="843">
        <v>1</v>
      </c>
      <c r="R47" s="1143">
        <v>46198.752997685187</v>
      </c>
      <c r="S47" s="843">
        <v>1</v>
      </c>
      <c r="T47" s="843">
        <v>1</v>
      </c>
    </row>
    <row r="48" spans="3:20" ht="21.95" customHeight="1">
      <c r="C48" s="843">
        <v>21</v>
      </c>
      <c r="D48" s="843">
        <v>11</v>
      </c>
      <c r="E48" s="843" t="s">
        <v>2327</v>
      </c>
      <c r="F48" s="868" t="s">
        <v>2987</v>
      </c>
      <c r="G48" s="843">
        <v>1</v>
      </c>
      <c r="H48" s="843">
        <v>1</v>
      </c>
      <c r="I48" s="843">
        <v>2</v>
      </c>
      <c r="K48" s="868" t="s">
        <v>2793</v>
      </c>
      <c r="L48" s="884">
        <v>9.52</v>
      </c>
      <c r="M48" s="884">
        <v>9.8000000000000007</v>
      </c>
      <c r="N48" s="1142">
        <v>9.8000000000000007</v>
      </c>
      <c r="O48" s="843">
        <v>0</v>
      </c>
      <c r="P48" s="843">
        <v>0</v>
      </c>
      <c r="Q48" s="843">
        <v>1</v>
      </c>
      <c r="R48" s="1143">
        <v>46198.752997685187</v>
      </c>
      <c r="S48" s="843">
        <v>1</v>
      </c>
      <c r="T48" s="843">
        <v>1</v>
      </c>
    </row>
    <row r="49" spans="3:20" ht="21.95" customHeight="1">
      <c r="C49" s="843">
        <v>22</v>
      </c>
      <c r="D49" s="843">
        <v>11</v>
      </c>
      <c r="E49" s="843" t="s">
        <v>2327</v>
      </c>
      <c r="F49" s="868" t="s">
        <v>2987</v>
      </c>
      <c r="G49" s="843">
        <v>1</v>
      </c>
      <c r="H49" s="843">
        <v>2</v>
      </c>
      <c r="I49" s="843">
        <v>2</v>
      </c>
      <c r="K49" s="868" t="s">
        <v>1588</v>
      </c>
      <c r="L49" s="884">
        <v>9.52</v>
      </c>
      <c r="M49" s="884">
        <v>10.199999999999999</v>
      </c>
      <c r="N49" s="1142">
        <v>10.199999999999999</v>
      </c>
      <c r="O49" s="843">
        <v>0</v>
      </c>
      <c r="P49" s="843">
        <v>0</v>
      </c>
      <c r="Q49" s="843">
        <v>1</v>
      </c>
      <c r="R49" s="1143">
        <v>46198.752997685187</v>
      </c>
      <c r="S49" s="843">
        <v>1</v>
      </c>
      <c r="T49" s="843">
        <v>1</v>
      </c>
    </row>
    <row r="50" spans="3:20" ht="21.95" customHeight="1">
      <c r="C50" s="843">
        <v>23</v>
      </c>
      <c r="D50" s="843">
        <v>12</v>
      </c>
      <c r="E50" s="843" t="s">
        <v>2329</v>
      </c>
      <c r="F50" s="868" t="s">
        <v>2988</v>
      </c>
      <c r="G50" s="843">
        <v>1</v>
      </c>
      <c r="H50" s="843">
        <v>1</v>
      </c>
      <c r="I50" s="843">
        <v>2</v>
      </c>
      <c r="K50" s="868" t="s">
        <v>2793</v>
      </c>
      <c r="L50" s="884">
        <v>7.6</v>
      </c>
      <c r="M50" s="884">
        <v>8</v>
      </c>
      <c r="N50" s="1142">
        <v>8</v>
      </c>
      <c r="O50" s="843">
        <v>0</v>
      </c>
      <c r="P50" s="843">
        <v>0</v>
      </c>
      <c r="Q50" s="843">
        <v>1</v>
      </c>
      <c r="R50" s="1143">
        <v>46198.752997685187</v>
      </c>
      <c r="S50" s="843">
        <v>1</v>
      </c>
      <c r="T50" s="843">
        <v>1</v>
      </c>
    </row>
    <row r="51" spans="3:20" ht="21.95" customHeight="1">
      <c r="C51" s="843">
        <v>24</v>
      </c>
      <c r="D51" s="843">
        <v>12</v>
      </c>
      <c r="E51" s="843" t="s">
        <v>2329</v>
      </c>
      <c r="F51" s="868" t="s">
        <v>2988</v>
      </c>
      <c r="G51" s="843">
        <v>1</v>
      </c>
      <c r="H51" s="843">
        <v>2</v>
      </c>
      <c r="I51" s="843">
        <v>2</v>
      </c>
      <c r="K51" s="868" t="s">
        <v>1588</v>
      </c>
      <c r="L51" s="884">
        <v>7.6</v>
      </c>
      <c r="M51" s="884">
        <v>8.5</v>
      </c>
      <c r="N51" s="1142">
        <v>8.5</v>
      </c>
      <c r="O51" s="843">
        <v>0</v>
      </c>
      <c r="P51" s="843">
        <v>0</v>
      </c>
      <c r="Q51" s="843">
        <v>1</v>
      </c>
      <c r="R51" s="1143">
        <v>46198.752997685187</v>
      </c>
      <c r="S51" s="843">
        <v>1</v>
      </c>
      <c r="T51" s="843">
        <v>1</v>
      </c>
    </row>
    <row r="52" spans="3:20" ht="21.95" customHeight="1">
      <c r="C52" s="843">
        <v>25</v>
      </c>
      <c r="D52" s="843">
        <v>13</v>
      </c>
      <c r="E52" s="843" t="s">
        <v>2330</v>
      </c>
      <c r="F52" s="868" t="s">
        <v>2989</v>
      </c>
      <c r="G52" s="843">
        <v>1</v>
      </c>
      <c r="H52" s="843">
        <v>1</v>
      </c>
      <c r="I52" s="843">
        <v>2</v>
      </c>
      <c r="K52" s="868" t="s">
        <v>2793</v>
      </c>
      <c r="L52" s="884">
        <v>5.3</v>
      </c>
      <c r="M52" s="884">
        <v>5.5</v>
      </c>
      <c r="N52" s="1142">
        <v>5.5</v>
      </c>
      <c r="O52" s="843">
        <v>0</v>
      </c>
      <c r="P52" s="843">
        <v>0</v>
      </c>
      <c r="Q52" s="843">
        <v>1</v>
      </c>
      <c r="R52" s="1143">
        <v>46198.752997685187</v>
      </c>
      <c r="S52" s="843">
        <v>1</v>
      </c>
      <c r="T52" s="843">
        <v>1</v>
      </c>
    </row>
    <row r="53" spans="3:20" ht="21.95" customHeight="1">
      <c r="C53" s="843">
        <v>26</v>
      </c>
      <c r="D53" s="843">
        <v>13</v>
      </c>
      <c r="E53" s="843" t="s">
        <v>2330</v>
      </c>
      <c r="F53" s="868" t="s">
        <v>2989</v>
      </c>
      <c r="G53" s="843">
        <v>1</v>
      </c>
      <c r="H53" s="843">
        <v>2</v>
      </c>
      <c r="I53" s="843">
        <v>2</v>
      </c>
      <c r="K53" s="868" t="s">
        <v>1588</v>
      </c>
      <c r="L53" s="884">
        <v>5.3</v>
      </c>
      <c r="M53" s="884">
        <v>5.75</v>
      </c>
      <c r="N53" s="1142">
        <v>5.75</v>
      </c>
      <c r="O53" s="843">
        <v>0</v>
      </c>
      <c r="P53" s="843">
        <v>0</v>
      </c>
      <c r="Q53" s="843">
        <v>1</v>
      </c>
      <c r="R53" s="1143">
        <v>46198.752997685187</v>
      </c>
      <c r="S53" s="843">
        <v>1</v>
      </c>
      <c r="T53" s="843">
        <v>1</v>
      </c>
    </row>
    <row r="54" spans="3:20" ht="21.95" customHeight="1">
      <c r="C54" s="843">
        <v>27</v>
      </c>
      <c r="D54" s="843">
        <v>14</v>
      </c>
      <c r="E54" s="843" t="s">
        <v>2331</v>
      </c>
      <c r="F54" s="868" t="s">
        <v>2990</v>
      </c>
      <c r="G54" s="843">
        <v>1</v>
      </c>
      <c r="H54" s="843">
        <v>1</v>
      </c>
      <c r="I54" s="843">
        <v>2</v>
      </c>
      <c r="K54" s="868" t="s">
        <v>2793</v>
      </c>
      <c r="L54" s="884">
        <v>3.3</v>
      </c>
      <c r="M54" s="884">
        <v>3.5</v>
      </c>
      <c r="N54" s="1142">
        <v>3.5</v>
      </c>
      <c r="O54" s="843">
        <v>0</v>
      </c>
      <c r="P54" s="843">
        <v>0</v>
      </c>
      <c r="Q54" s="843">
        <v>1</v>
      </c>
      <c r="R54" s="1143">
        <v>46198.752997685187</v>
      </c>
      <c r="S54" s="843">
        <v>1</v>
      </c>
      <c r="T54" s="843">
        <v>1</v>
      </c>
    </row>
    <row r="55" spans="3:20" ht="21.95" customHeight="1">
      <c r="C55" s="843">
        <v>28</v>
      </c>
      <c r="D55" s="843">
        <v>14</v>
      </c>
      <c r="E55" s="843" t="s">
        <v>2331</v>
      </c>
      <c r="F55" s="868" t="s">
        <v>2990</v>
      </c>
      <c r="G55" s="843">
        <v>1</v>
      </c>
      <c r="H55" s="843">
        <v>2</v>
      </c>
      <c r="I55" s="843">
        <v>2</v>
      </c>
      <c r="K55" s="868" t="s">
        <v>1588</v>
      </c>
      <c r="L55" s="884">
        <v>3.3</v>
      </c>
      <c r="M55" s="884">
        <v>3.75</v>
      </c>
      <c r="N55" s="1142">
        <v>3.75</v>
      </c>
      <c r="O55" s="843">
        <v>0</v>
      </c>
      <c r="P55" s="843">
        <v>0</v>
      </c>
      <c r="Q55" s="843">
        <v>1</v>
      </c>
      <c r="R55" s="1143">
        <v>46198.752997685187</v>
      </c>
      <c r="S55" s="843">
        <v>1</v>
      </c>
      <c r="T55" s="843">
        <v>1</v>
      </c>
    </row>
    <row r="56" spans="3:20" ht="21.95" customHeight="1">
      <c r="C56" s="843">
        <v>29</v>
      </c>
      <c r="D56" s="843">
        <v>15</v>
      </c>
      <c r="E56" s="843" t="s">
        <v>2332</v>
      </c>
      <c r="F56" s="868" t="s">
        <v>2991</v>
      </c>
      <c r="G56" s="843">
        <v>1</v>
      </c>
      <c r="H56" s="843">
        <v>1</v>
      </c>
      <c r="I56" s="843">
        <v>2</v>
      </c>
      <c r="K56" s="868" t="s">
        <v>2793</v>
      </c>
      <c r="L56" s="884">
        <v>2.7</v>
      </c>
      <c r="M56" s="884">
        <v>3</v>
      </c>
      <c r="N56" s="1142">
        <v>3</v>
      </c>
      <c r="O56" s="843">
        <v>0</v>
      </c>
      <c r="P56" s="843">
        <v>0</v>
      </c>
      <c r="Q56" s="843">
        <v>1</v>
      </c>
      <c r="R56" s="1143">
        <v>46198.752997685187</v>
      </c>
      <c r="S56" s="843">
        <v>1</v>
      </c>
      <c r="T56" s="843">
        <v>1</v>
      </c>
    </row>
    <row r="57" spans="3:20" ht="21.95" customHeight="1">
      <c r="C57" s="843">
        <v>30</v>
      </c>
      <c r="D57" s="843">
        <v>15</v>
      </c>
      <c r="E57" s="843" t="s">
        <v>2332</v>
      </c>
      <c r="F57" s="868" t="s">
        <v>2991</v>
      </c>
      <c r="G57" s="843">
        <v>1</v>
      </c>
      <c r="H57" s="843">
        <v>2</v>
      </c>
      <c r="I57" s="843">
        <v>2</v>
      </c>
      <c r="K57" s="868" t="s">
        <v>1588</v>
      </c>
      <c r="L57" s="884">
        <v>2.7</v>
      </c>
      <c r="M57" s="884">
        <v>3.5</v>
      </c>
      <c r="N57" s="1142">
        <v>3.5</v>
      </c>
      <c r="O57" s="843">
        <v>0</v>
      </c>
      <c r="P57" s="843">
        <v>0</v>
      </c>
      <c r="Q57" s="843">
        <v>1</v>
      </c>
      <c r="R57" s="1143">
        <v>46198.752997685187</v>
      </c>
      <c r="S57" s="843">
        <v>1</v>
      </c>
      <c r="T57" s="843">
        <v>1</v>
      </c>
    </row>
    <row r="58" spans="3:20" ht="21.95" customHeight="1">
      <c r="C58" s="843">
        <v>31</v>
      </c>
      <c r="D58" s="843">
        <v>16</v>
      </c>
      <c r="E58" s="843" t="s">
        <v>2333</v>
      </c>
      <c r="F58" s="868" t="s">
        <v>2992</v>
      </c>
      <c r="G58" s="843">
        <v>1</v>
      </c>
      <c r="H58" s="843">
        <v>1</v>
      </c>
      <c r="I58" s="843">
        <v>2</v>
      </c>
      <c r="K58" s="868" t="s">
        <v>2793</v>
      </c>
      <c r="L58" s="884">
        <v>2.1</v>
      </c>
      <c r="M58" s="884">
        <v>2.5</v>
      </c>
      <c r="N58" s="1142">
        <v>2.5</v>
      </c>
      <c r="O58" s="843">
        <v>0</v>
      </c>
      <c r="P58" s="843">
        <v>0</v>
      </c>
      <c r="Q58" s="843">
        <v>1</v>
      </c>
      <c r="R58" s="1143">
        <v>46198.752997685187</v>
      </c>
      <c r="S58" s="843">
        <v>1</v>
      </c>
      <c r="T58" s="843">
        <v>1</v>
      </c>
    </row>
    <row r="59" spans="3:20" ht="21.95" customHeight="1">
      <c r="C59" s="843">
        <v>32</v>
      </c>
      <c r="D59" s="843">
        <v>16</v>
      </c>
      <c r="E59" s="843" t="s">
        <v>2333</v>
      </c>
      <c r="F59" s="868" t="s">
        <v>2992</v>
      </c>
      <c r="G59" s="843">
        <v>1</v>
      </c>
      <c r="H59" s="843">
        <v>2</v>
      </c>
      <c r="I59" s="843">
        <v>2</v>
      </c>
      <c r="K59" s="868" t="s">
        <v>1588</v>
      </c>
      <c r="L59" s="884">
        <v>2.1</v>
      </c>
      <c r="M59" s="884">
        <v>2.75</v>
      </c>
      <c r="N59" s="1142">
        <v>2.75</v>
      </c>
      <c r="O59" s="843">
        <v>0</v>
      </c>
      <c r="P59" s="843">
        <v>0</v>
      </c>
      <c r="Q59" s="843">
        <v>1</v>
      </c>
      <c r="R59" s="1143">
        <v>46198.752997685187</v>
      </c>
      <c r="S59" s="843">
        <v>1</v>
      </c>
      <c r="T59" s="843">
        <v>1</v>
      </c>
    </row>
    <row r="60" spans="3:20" ht="21.95" customHeight="1">
      <c r="C60" s="843">
        <v>33</v>
      </c>
      <c r="D60" s="843">
        <v>17</v>
      </c>
      <c r="E60" s="843" t="s">
        <v>2334</v>
      </c>
      <c r="F60" s="868" t="s">
        <v>2993</v>
      </c>
      <c r="G60" s="843">
        <v>1</v>
      </c>
      <c r="H60" s="843">
        <v>1</v>
      </c>
      <c r="I60" s="843">
        <v>2</v>
      </c>
      <c r="K60" s="868" t="s">
        <v>2793</v>
      </c>
      <c r="L60" s="884">
        <v>1.63</v>
      </c>
      <c r="M60" s="884">
        <v>1.85</v>
      </c>
      <c r="N60" s="1142">
        <v>1.85</v>
      </c>
      <c r="O60" s="843">
        <v>0</v>
      </c>
      <c r="P60" s="843">
        <v>0</v>
      </c>
      <c r="Q60" s="843">
        <v>1</v>
      </c>
      <c r="R60" s="1143">
        <v>46198.752997685187</v>
      </c>
      <c r="S60" s="843">
        <v>1</v>
      </c>
      <c r="T60" s="843">
        <v>1</v>
      </c>
    </row>
    <row r="61" spans="3:20" ht="21.95" customHeight="1">
      <c r="C61" s="843">
        <v>34</v>
      </c>
      <c r="D61" s="843">
        <v>17</v>
      </c>
      <c r="E61" s="843" t="s">
        <v>2334</v>
      </c>
      <c r="F61" s="868" t="s">
        <v>2993</v>
      </c>
      <c r="G61" s="843">
        <v>1</v>
      </c>
      <c r="H61" s="843">
        <v>2</v>
      </c>
      <c r="I61" s="843">
        <v>2</v>
      </c>
      <c r="K61" s="868" t="s">
        <v>1588</v>
      </c>
      <c r="L61" s="884">
        <v>1.63</v>
      </c>
      <c r="M61" s="884">
        <v>2.25</v>
      </c>
      <c r="N61" s="1142">
        <v>2.25</v>
      </c>
      <c r="O61" s="843">
        <v>0</v>
      </c>
      <c r="P61" s="843">
        <v>0</v>
      </c>
      <c r="Q61" s="843">
        <v>1</v>
      </c>
      <c r="R61" s="1143">
        <v>46198.752997685187</v>
      </c>
      <c r="S61" s="843">
        <v>1</v>
      </c>
      <c r="T61" s="843">
        <v>1</v>
      </c>
    </row>
    <row r="62" spans="3:20" ht="21.95" customHeight="1">
      <c r="C62" s="843">
        <v>35</v>
      </c>
      <c r="D62" s="843">
        <v>18</v>
      </c>
      <c r="E62" s="843" t="s">
        <v>2335</v>
      </c>
      <c r="F62" s="868" t="s">
        <v>2994</v>
      </c>
      <c r="G62" s="843">
        <v>1</v>
      </c>
      <c r="H62" s="843">
        <v>1</v>
      </c>
      <c r="I62" s="843">
        <v>2</v>
      </c>
      <c r="K62" s="868" t="s">
        <v>2793</v>
      </c>
      <c r="L62" s="884">
        <v>1.35</v>
      </c>
      <c r="M62" s="884">
        <v>1.75</v>
      </c>
      <c r="N62" s="1142">
        <v>1.75</v>
      </c>
      <c r="O62" s="843">
        <v>0</v>
      </c>
      <c r="P62" s="843">
        <v>0</v>
      </c>
      <c r="Q62" s="843">
        <v>1</v>
      </c>
      <c r="R62" s="1143">
        <v>46198.752997685187</v>
      </c>
      <c r="S62" s="843">
        <v>1</v>
      </c>
      <c r="T62" s="843">
        <v>1</v>
      </c>
    </row>
    <row r="63" spans="3:20" ht="21.95" customHeight="1">
      <c r="C63" s="843">
        <v>36</v>
      </c>
      <c r="D63" s="843">
        <v>18</v>
      </c>
      <c r="E63" s="843" t="s">
        <v>2335</v>
      </c>
      <c r="F63" s="868" t="s">
        <v>2994</v>
      </c>
      <c r="G63" s="843">
        <v>1</v>
      </c>
      <c r="H63" s="843">
        <v>2</v>
      </c>
      <c r="I63" s="843">
        <v>2</v>
      </c>
      <c r="K63" s="868" t="s">
        <v>1588</v>
      </c>
      <c r="L63" s="884">
        <v>1.35</v>
      </c>
      <c r="M63" s="884">
        <v>2</v>
      </c>
      <c r="N63" s="1142">
        <v>2</v>
      </c>
      <c r="O63" s="843">
        <v>0</v>
      </c>
      <c r="P63" s="843">
        <v>0</v>
      </c>
      <c r="Q63" s="843">
        <v>1</v>
      </c>
      <c r="R63" s="1143">
        <v>46198.752997685187</v>
      </c>
      <c r="S63" s="843">
        <v>1</v>
      </c>
      <c r="T63" s="843">
        <v>1</v>
      </c>
    </row>
    <row r="64" spans="3:20" ht="21.95" customHeight="1">
      <c r="C64" s="843">
        <v>37</v>
      </c>
      <c r="D64" s="843">
        <v>19</v>
      </c>
      <c r="E64" s="843" t="s">
        <v>2337</v>
      </c>
      <c r="F64" s="868" t="s">
        <v>2995</v>
      </c>
      <c r="G64" s="843">
        <v>1</v>
      </c>
      <c r="H64" s="843">
        <v>1</v>
      </c>
      <c r="I64" s="843">
        <v>2</v>
      </c>
      <c r="K64" s="868" t="s">
        <v>2793</v>
      </c>
      <c r="L64" s="884">
        <v>7.49</v>
      </c>
      <c r="M64" s="884">
        <v>7.75</v>
      </c>
      <c r="N64" s="1142">
        <v>7.75</v>
      </c>
      <c r="O64" s="843">
        <v>0</v>
      </c>
      <c r="P64" s="843">
        <v>0</v>
      </c>
      <c r="Q64" s="843">
        <v>1</v>
      </c>
      <c r="R64" s="1143">
        <v>46198.752997685187</v>
      </c>
      <c r="S64" s="843">
        <v>1</v>
      </c>
      <c r="T64" s="843">
        <v>1</v>
      </c>
    </row>
    <row r="65" spans="3:20" ht="21.95" customHeight="1">
      <c r="C65" s="843">
        <v>38</v>
      </c>
      <c r="D65" s="843">
        <v>19</v>
      </c>
      <c r="E65" s="843" t="s">
        <v>2337</v>
      </c>
      <c r="F65" s="868" t="s">
        <v>2995</v>
      </c>
      <c r="G65" s="843">
        <v>1</v>
      </c>
      <c r="H65" s="843">
        <v>2</v>
      </c>
      <c r="I65" s="843">
        <v>2</v>
      </c>
      <c r="K65" s="868" t="s">
        <v>1588</v>
      </c>
      <c r="L65" s="884">
        <v>7.49</v>
      </c>
      <c r="M65" s="884">
        <v>8</v>
      </c>
      <c r="N65" s="1142">
        <v>8</v>
      </c>
      <c r="O65" s="843">
        <v>0</v>
      </c>
      <c r="P65" s="843">
        <v>0</v>
      </c>
      <c r="Q65" s="843">
        <v>1</v>
      </c>
      <c r="R65" s="1143">
        <v>46198.752997685187</v>
      </c>
      <c r="S65" s="843">
        <v>1</v>
      </c>
      <c r="T65" s="843">
        <v>1</v>
      </c>
    </row>
    <row r="66" spans="3:20" ht="21.95" customHeight="1">
      <c r="C66" s="843">
        <v>39</v>
      </c>
      <c r="D66" s="843">
        <v>20</v>
      </c>
      <c r="E66" s="843" t="s">
        <v>2339</v>
      </c>
      <c r="F66" s="868" t="s">
        <v>2996</v>
      </c>
      <c r="G66" s="843">
        <v>1</v>
      </c>
      <c r="H66" s="843">
        <v>1</v>
      </c>
      <c r="I66" s="843">
        <v>2</v>
      </c>
      <c r="K66" s="868" t="s">
        <v>2793</v>
      </c>
      <c r="L66" s="884">
        <v>5.03</v>
      </c>
      <c r="M66" s="884">
        <v>5.45</v>
      </c>
      <c r="N66" s="1142">
        <v>5.45</v>
      </c>
      <c r="O66" s="843">
        <v>0</v>
      </c>
      <c r="P66" s="843">
        <v>0</v>
      </c>
      <c r="Q66" s="843">
        <v>1</v>
      </c>
      <c r="R66" s="1143">
        <v>46198.752997685187</v>
      </c>
      <c r="S66" s="843">
        <v>1</v>
      </c>
      <c r="T66" s="843">
        <v>1</v>
      </c>
    </row>
    <row r="67" spans="3:20" ht="21.95" customHeight="1">
      <c r="C67" s="843">
        <v>40</v>
      </c>
      <c r="D67" s="843">
        <v>20</v>
      </c>
      <c r="E67" s="843" t="s">
        <v>2339</v>
      </c>
      <c r="F67" s="868" t="s">
        <v>2996</v>
      </c>
      <c r="G67" s="843">
        <v>1</v>
      </c>
      <c r="H67" s="843">
        <v>2</v>
      </c>
      <c r="I67" s="843">
        <v>2</v>
      </c>
      <c r="K67" s="868" t="s">
        <v>1588</v>
      </c>
      <c r="L67" s="884">
        <v>5.03</v>
      </c>
      <c r="M67" s="884">
        <v>5.25</v>
      </c>
      <c r="N67" s="1142">
        <v>5.25</v>
      </c>
      <c r="O67" s="843">
        <v>0</v>
      </c>
      <c r="P67" s="843">
        <v>0</v>
      </c>
      <c r="Q67" s="843">
        <v>1</v>
      </c>
      <c r="R67" s="1143">
        <v>46198.752997685187</v>
      </c>
      <c r="S67" s="843">
        <v>1</v>
      </c>
      <c r="T67" s="843">
        <v>1</v>
      </c>
    </row>
    <row r="68" spans="3:20" ht="21.95" customHeight="1">
      <c r="C68" s="843">
        <v>41</v>
      </c>
      <c r="D68" s="843">
        <v>21</v>
      </c>
      <c r="E68" s="843" t="s">
        <v>2341</v>
      </c>
      <c r="F68" s="868" t="s">
        <v>2997</v>
      </c>
      <c r="G68" s="843">
        <v>1</v>
      </c>
      <c r="H68" s="843">
        <v>1</v>
      </c>
      <c r="I68" s="843">
        <v>2</v>
      </c>
      <c r="K68" s="868" t="s">
        <v>2793</v>
      </c>
      <c r="L68" s="884">
        <v>4.3099999999999996</v>
      </c>
      <c r="M68" s="884">
        <v>4.55</v>
      </c>
      <c r="N68" s="1142">
        <v>4.55</v>
      </c>
      <c r="O68" s="843">
        <v>0</v>
      </c>
      <c r="P68" s="843">
        <v>0</v>
      </c>
      <c r="Q68" s="843">
        <v>1</v>
      </c>
      <c r="R68" s="1143">
        <v>46198.752997685187</v>
      </c>
      <c r="S68" s="843">
        <v>1</v>
      </c>
      <c r="T68" s="843">
        <v>1</v>
      </c>
    </row>
    <row r="69" spans="3:20" ht="21.95" customHeight="1">
      <c r="C69" s="843">
        <v>42</v>
      </c>
      <c r="D69" s="843">
        <v>21</v>
      </c>
      <c r="E69" s="843" t="s">
        <v>2341</v>
      </c>
      <c r="F69" s="868" t="s">
        <v>2997</v>
      </c>
      <c r="G69" s="843">
        <v>1</v>
      </c>
      <c r="H69" s="843">
        <v>2</v>
      </c>
      <c r="I69" s="843">
        <v>2</v>
      </c>
      <c r="K69" s="868" t="s">
        <v>1588</v>
      </c>
      <c r="L69" s="884">
        <v>4.3099999999999996</v>
      </c>
      <c r="M69" s="884">
        <v>4.75</v>
      </c>
      <c r="N69" s="1142">
        <v>4.75</v>
      </c>
      <c r="O69" s="843">
        <v>0</v>
      </c>
      <c r="P69" s="843">
        <v>0</v>
      </c>
      <c r="Q69" s="843">
        <v>1</v>
      </c>
      <c r="R69" s="1143">
        <v>46198.752997685187</v>
      </c>
      <c r="S69" s="843">
        <v>1</v>
      </c>
      <c r="T69" s="843">
        <v>1</v>
      </c>
    </row>
    <row r="70" spans="3:20" ht="21.95" customHeight="1">
      <c r="C70" s="843">
        <v>43</v>
      </c>
      <c r="D70" s="843">
        <v>22</v>
      </c>
      <c r="E70" s="843" t="s">
        <v>2343</v>
      </c>
      <c r="F70" s="868" t="s">
        <v>2998</v>
      </c>
      <c r="G70" s="843">
        <v>1</v>
      </c>
      <c r="H70" s="843">
        <v>1</v>
      </c>
      <c r="I70" s="843">
        <v>2</v>
      </c>
      <c r="K70" s="868" t="s">
        <v>2793</v>
      </c>
      <c r="L70" s="884">
        <v>2.9</v>
      </c>
      <c r="M70" s="884">
        <v>3.1</v>
      </c>
      <c r="N70" s="1142">
        <v>3.1</v>
      </c>
      <c r="O70" s="843">
        <v>0</v>
      </c>
      <c r="P70" s="843">
        <v>0</v>
      </c>
      <c r="Q70" s="843">
        <v>1</v>
      </c>
      <c r="R70" s="1143">
        <v>46198.752997685187</v>
      </c>
      <c r="S70" s="843">
        <v>1</v>
      </c>
      <c r="T70" s="843">
        <v>1</v>
      </c>
    </row>
    <row r="71" spans="3:20" ht="21.95" customHeight="1">
      <c r="C71" s="843">
        <v>44</v>
      </c>
      <c r="D71" s="843">
        <v>22</v>
      </c>
      <c r="E71" s="843" t="s">
        <v>2343</v>
      </c>
      <c r="F71" s="868" t="s">
        <v>2998</v>
      </c>
      <c r="G71" s="843">
        <v>1</v>
      </c>
      <c r="H71" s="843">
        <v>2</v>
      </c>
      <c r="I71" s="843">
        <v>2</v>
      </c>
      <c r="K71" s="868" t="s">
        <v>1588</v>
      </c>
      <c r="L71" s="884">
        <v>2.9</v>
      </c>
      <c r="M71" s="884">
        <v>3.25</v>
      </c>
      <c r="N71" s="1142">
        <v>3.25</v>
      </c>
      <c r="O71" s="843">
        <v>0</v>
      </c>
      <c r="P71" s="843">
        <v>0</v>
      </c>
      <c r="Q71" s="843">
        <v>1</v>
      </c>
      <c r="R71" s="1143">
        <v>46198.752997685187</v>
      </c>
      <c r="S71" s="843">
        <v>1</v>
      </c>
      <c r="T71" s="843">
        <v>1</v>
      </c>
    </row>
    <row r="72" spans="3:20" ht="21.95" customHeight="1">
      <c r="C72" s="843">
        <v>45</v>
      </c>
      <c r="D72" s="843">
        <v>23</v>
      </c>
      <c r="E72" s="843" t="s">
        <v>2345</v>
      </c>
      <c r="F72" s="868" t="s">
        <v>2999</v>
      </c>
      <c r="G72" s="843">
        <v>1</v>
      </c>
      <c r="H72" s="843">
        <v>1</v>
      </c>
      <c r="I72" s="843">
        <v>2</v>
      </c>
      <c r="K72" s="868" t="s">
        <v>2793</v>
      </c>
      <c r="L72" s="884">
        <v>2.12</v>
      </c>
      <c r="M72" s="884">
        <v>2.5</v>
      </c>
      <c r="N72" s="1142">
        <v>2.5</v>
      </c>
      <c r="O72" s="843">
        <v>0</v>
      </c>
      <c r="P72" s="843">
        <v>0</v>
      </c>
      <c r="Q72" s="843">
        <v>1</v>
      </c>
      <c r="R72" s="1143">
        <v>46198.752997685187</v>
      </c>
      <c r="S72" s="843">
        <v>1</v>
      </c>
      <c r="T72" s="843">
        <v>1</v>
      </c>
    </row>
    <row r="73" spans="3:20" ht="21.95" customHeight="1">
      <c r="C73" s="843">
        <v>46</v>
      </c>
      <c r="D73" s="843">
        <v>23</v>
      </c>
      <c r="E73" s="843" t="s">
        <v>2345</v>
      </c>
      <c r="F73" s="868" t="s">
        <v>2999</v>
      </c>
      <c r="G73" s="843">
        <v>1</v>
      </c>
      <c r="H73" s="843">
        <v>2</v>
      </c>
      <c r="I73" s="843">
        <v>2</v>
      </c>
      <c r="K73" s="868" t="s">
        <v>1588</v>
      </c>
      <c r="L73" s="884">
        <v>2.12</v>
      </c>
      <c r="M73" s="884">
        <v>2.75</v>
      </c>
      <c r="N73" s="1142">
        <v>2.75</v>
      </c>
      <c r="O73" s="843">
        <v>0</v>
      </c>
      <c r="P73" s="843">
        <v>0</v>
      </c>
      <c r="Q73" s="843">
        <v>1</v>
      </c>
      <c r="R73" s="1143">
        <v>46198.752997685187</v>
      </c>
      <c r="S73" s="843">
        <v>1</v>
      </c>
      <c r="T73" s="843">
        <v>1</v>
      </c>
    </row>
    <row r="74" spans="3:20" ht="21.95" customHeight="1">
      <c r="C74" s="843">
        <v>47</v>
      </c>
      <c r="D74" s="843">
        <v>24</v>
      </c>
      <c r="E74" s="843" t="s">
        <v>2347</v>
      </c>
      <c r="F74" s="868" t="s">
        <v>3000</v>
      </c>
      <c r="G74" s="843">
        <v>1</v>
      </c>
      <c r="H74" s="843">
        <v>1</v>
      </c>
      <c r="I74" s="843">
        <v>2</v>
      </c>
      <c r="K74" s="868" t="s">
        <v>2793</v>
      </c>
      <c r="L74" s="884">
        <v>1.73</v>
      </c>
      <c r="M74" s="884">
        <v>2</v>
      </c>
      <c r="N74" s="1142">
        <v>2</v>
      </c>
      <c r="O74" s="843">
        <v>0</v>
      </c>
      <c r="P74" s="843">
        <v>0</v>
      </c>
      <c r="Q74" s="843">
        <v>1</v>
      </c>
      <c r="R74" s="1143">
        <v>46198.752997685187</v>
      </c>
      <c r="S74" s="843">
        <v>1</v>
      </c>
      <c r="T74" s="843">
        <v>1</v>
      </c>
    </row>
    <row r="75" spans="3:20" ht="21.95" customHeight="1">
      <c r="C75" s="843">
        <v>48</v>
      </c>
      <c r="D75" s="843">
        <v>24</v>
      </c>
      <c r="E75" s="843" t="s">
        <v>2347</v>
      </c>
      <c r="F75" s="868" t="s">
        <v>3000</v>
      </c>
      <c r="G75" s="843">
        <v>1</v>
      </c>
      <c r="H75" s="843">
        <v>2</v>
      </c>
      <c r="I75" s="843">
        <v>2</v>
      </c>
      <c r="K75" s="868" t="s">
        <v>1588</v>
      </c>
      <c r="L75" s="884">
        <v>1.73</v>
      </c>
      <c r="M75" s="884">
        <v>2.25</v>
      </c>
      <c r="N75" s="1142">
        <v>2.25</v>
      </c>
      <c r="O75" s="843">
        <v>0</v>
      </c>
      <c r="P75" s="843">
        <v>0</v>
      </c>
      <c r="Q75" s="843">
        <v>1</v>
      </c>
      <c r="R75" s="1143">
        <v>46198.752997685187</v>
      </c>
      <c r="S75" s="843">
        <v>1</v>
      </c>
      <c r="T75" s="843">
        <v>1</v>
      </c>
    </row>
    <row r="76" spans="3:20" ht="21.95" customHeight="1">
      <c r="C76" s="843">
        <v>49</v>
      </c>
      <c r="D76" s="843">
        <v>25</v>
      </c>
      <c r="E76" s="843" t="s">
        <v>2349</v>
      </c>
      <c r="F76" s="868" t="s">
        <v>3001</v>
      </c>
      <c r="G76" s="843">
        <v>1</v>
      </c>
      <c r="H76" s="843">
        <v>1</v>
      </c>
      <c r="I76" s="843">
        <v>2</v>
      </c>
      <c r="K76" s="868" t="s">
        <v>2793</v>
      </c>
      <c r="L76" s="884">
        <v>1.51</v>
      </c>
      <c r="M76" s="884">
        <v>1.75</v>
      </c>
      <c r="N76" s="1142">
        <v>1.75</v>
      </c>
      <c r="O76" s="843">
        <v>0</v>
      </c>
      <c r="P76" s="843">
        <v>0</v>
      </c>
      <c r="Q76" s="843">
        <v>1</v>
      </c>
      <c r="R76" s="1143">
        <v>46198.752997685187</v>
      </c>
      <c r="S76" s="843">
        <v>1</v>
      </c>
      <c r="T76" s="843">
        <v>1</v>
      </c>
    </row>
    <row r="77" spans="3:20" ht="21.95" customHeight="1">
      <c r="C77" s="843">
        <v>50</v>
      </c>
      <c r="D77" s="843">
        <v>25</v>
      </c>
      <c r="E77" s="843" t="s">
        <v>2349</v>
      </c>
      <c r="F77" s="868" t="s">
        <v>3001</v>
      </c>
      <c r="G77" s="843">
        <v>1</v>
      </c>
      <c r="H77" s="843">
        <v>2</v>
      </c>
      <c r="I77" s="843">
        <v>2</v>
      </c>
      <c r="K77" s="868" t="s">
        <v>1588</v>
      </c>
      <c r="L77" s="884">
        <v>1.51</v>
      </c>
      <c r="M77" s="884">
        <v>2</v>
      </c>
      <c r="N77" s="1142">
        <v>2</v>
      </c>
      <c r="O77" s="843">
        <v>0</v>
      </c>
      <c r="P77" s="843">
        <v>0</v>
      </c>
      <c r="Q77" s="843">
        <v>1</v>
      </c>
      <c r="R77" s="1143">
        <v>46198.752997685187</v>
      </c>
      <c r="S77" s="843">
        <v>1</v>
      </c>
      <c r="T77" s="843">
        <v>1</v>
      </c>
    </row>
    <row r="78" spans="3:20" ht="21.95" customHeight="1">
      <c r="C78" s="843">
        <v>51</v>
      </c>
      <c r="D78" s="843">
        <v>26</v>
      </c>
      <c r="E78" s="843" t="s">
        <v>2355</v>
      </c>
      <c r="F78" s="868" t="s">
        <v>3002</v>
      </c>
      <c r="G78" s="843">
        <v>1</v>
      </c>
      <c r="H78" s="843">
        <v>2</v>
      </c>
      <c r="I78" s="843">
        <v>2</v>
      </c>
      <c r="K78" s="868" t="s">
        <v>1588</v>
      </c>
      <c r="L78" s="884">
        <v>3.0129999999999999</v>
      </c>
      <c r="M78" s="884">
        <v>3.5</v>
      </c>
      <c r="N78" s="1142">
        <v>3.5</v>
      </c>
      <c r="O78" s="843">
        <v>0</v>
      </c>
      <c r="P78" s="843">
        <v>0</v>
      </c>
      <c r="Q78" s="843">
        <v>1</v>
      </c>
      <c r="R78" s="1143">
        <v>46198.752997685187</v>
      </c>
      <c r="S78" s="843">
        <v>1</v>
      </c>
      <c r="T78" s="843">
        <v>1</v>
      </c>
    </row>
    <row r="79" spans="3:20" ht="21.95" customHeight="1">
      <c r="C79" s="843">
        <v>52</v>
      </c>
      <c r="D79" s="843">
        <v>27</v>
      </c>
      <c r="E79" s="843" t="s">
        <v>2357</v>
      </c>
      <c r="F79" s="868" t="s">
        <v>3003</v>
      </c>
      <c r="G79" s="843">
        <v>1</v>
      </c>
      <c r="H79" s="843">
        <v>2</v>
      </c>
      <c r="I79" s="843">
        <v>2</v>
      </c>
      <c r="K79" s="868" t="s">
        <v>1588</v>
      </c>
      <c r="L79" s="884">
        <v>3.0129999999999999</v>
      </c>
      <c r="M79" s="884">
        <v>3.5</v>
      </c>
      <c r="N79" s="1142">
        <v>3.5</v>
      </c>
      <c r="O79" s="843">
        <v>0</v>
      </c>
      <c r="P79" s="843">
        <v>0</v>
      </c>
      <c r="Q79" s="843">
        <v>1</v>
      </c>
      <c r="R79" s="1143">
        <v>46198.752997685187</v>
      </c>
      <c r="S79" s="843">
        <v>1</v>
      </c>
      <c r="T79" s="843">
        <v>1</v>
      </c>
    </row>
    <row r="80" spans="3:20" ht="21.95" customHeight="1">
      <c r="C80" s="843">
        <v>53</v>
      </c>
      <c r="D80" s="843">
        <v>28</v>
      </c>
      <c r="E80" s="843" t="s">
        <v>2359</v>
      </c>
      <c r="F80" s="868" t="s">
        <v>3004</v>
      </c>
      <c r="G80" s="843">
        <v>1</v>
      </c>
      <c r="H80" s="843">
        <v>2</v>
      </c>
      <c r="I80" s="843">
        <v>2</v>
      </c>
      <c r="K80" s="868" t="s">
        <v>1588</v>
      </c>
      <c r="L80" s="884">
        <v>1.49</v>
      </c>
      <c r="M80" s="884">
        <v>2</v>
      </c>
      <c r="N80" s="1142">
        <v>2</v>
      </c>
      <c r="O80" s="843">
        <v>0</v>
      </c>
      <c r="P80" s="843">
        <v>0</v>
      </c>
      <c r="Q80" s="843">
        <v>1</v>
      </c>
      <c r="R80" s="1143">
        <v>46198.752997685187</v>
      </c>
      <c r="S80" s="843">
        <v>1</v>
      </c>
      <c r="T80" s="843">
        <v>1</v>
      </c>
    </row>
    <row r="81" spans="3:20" ht="21.95" customHeight="1">
      <c r="C81" s="843">
        <v>54</v>
      </c>
      <c r="D81" s="843">
        <v>29</v>
      </c>
      <c r="E81" s="843" t="s">
        <v>2362</v>
      </c>
      <c r="F81" s="868" t="s">
        <v>3005</v>
      </c>
      <c r="G81" s="843">
        <v>1</v>
      </c>
      <c r="H81" s="843">
        <v>2</v>
      </c>
      <c r="I81" s="843">
        <v>2</v>
      </c>
      <c r="K81" s="868" t="s">
        <v>1588</v>
      </c>
      <c r="L81" s="884">
        <v>4.2300000000000004</v>
      </c>
      <c r="M81" s="884">
        <v>5</v>
      </c>
      <c r="N81" s="1142">
        <v>5</v>
      </c>
      <c r="O81" s="843">
        <v>0</v>
      </c>
      <c r="P81" s="843">
        <v>0</v>
      </c>
      <c r="Q81" s="843">
        <v>1</v>
      </c>
      <c r="R81" s="1143">
        <v>46198.752997685187</v>
      </c>
      <c r="S81" s="843">
        <v>1</v>
      </c>
      <c r="T81" s="843">
        <v>1</v>
      </c>
    </row>
    <row r="82" spans="3:20" ht="21.95" customHeight="1">
      <c r="C82" s="843">
        <v>55</v>
      </c>
      <c r="D82" s="843">
        <v>30</v>
      </c>
      <c r="E82" s="843" t="s">
        <v>2364</v>
      </c>
      <c r="F82" s="868" t="s">
        <v>3006</v>
      </c>
      <c r="G82" s="843">
        <v>1</v>
      </c>
      <c r="H82" s="843">
        <v>2</v>
      </c>
      <c r="I82" s="843">
        <v>2</v>
      </c>
      <c r="K82" s="868" t="s">
        <v>1588</v>
      </c>
      <c r="L82" s="884">
        <v>1.4910000000000001</v>
      </c>
      <c r="M82" s="884">
        <v>2</v>
      </c>
      <c r="N82" s="1142">
        <v>2</v>
      </c>
      <c r="O82" s="843">
        <v>0</v>
      </c>
      <c r="P82" s="843">
        <v>0</v>
      </c>
      <c r="Q82" s="843">
        <v>1</v>
      </c>
      <c r="R82" s="1143">
        <v>46198.752997685187</v>
      </c>
      <c r="S82" s="843">
        <v>1</v>
      </c>
      <c r="T82" s="843">
        <v>1</v>
      </c>
    </row>
    <row r="83" spans="3:20" ht="21.95" customHeight="1">
      <c r="C83" s="843">
        <v>56</v>
      </c>
      <c r="D83" s="843">
        <v>31</v>
      </c>
      <c r="E83" s="843" t="s">
        <v>2366</v>
      </c>
      <c r="F83" s="868" t="s">
        <v>3007</v>
      </c>
      <c r="G83" s="843">
        <v>1</v>
      </c>
      <c r="H83" s="843">
        <v>2</v>
      </c>
      <c r="I83" s="843">
        <v>2</v>
      </c>
      <c r="K83" s="868" t="s">
        <v>1588</v>
      </c>
      <c r="L83" s="884">
        <v>1.21</v>
      </c>
      <c r="M83" s="884">
        <v>1.75</v>
      </c>
      <c r="N83" s="1142">
        <v>1.75</v>
      </c>
      <c r="O83" s="843">
        <v>0</v>
      </c>
      <c r="P83" s="843">
        <v>0</v>
      </c>
      <c r="Q83" s="843">
        <v>1</v>
      </c>
      <c r="R83" s="1143">
        <v>46198.752997685187</v>
      </c>
      <c r="S83" s="843">
        <v>1</v>
      </c>
      <c r="T83" s="843">
        <v>1</v>
      </c>
    </row>
    <row r="84" spans="3:20" ht="21.95" customHeight="1">
      <c r="C84" s="843">
        <v>57</v>
      </c>
      <c r="D84" s="843">
        <v>32</v>
      </c>
      <c r="E84" s="843" t="s">
        <v>2368</v>
      </c>
      <c r="F84" s="868" t="s">
        <v>3008</v>
      </c>
      <c r="G84" s="843">
        <v>1</v>
      </c>
      <c r="H84" s="843">
        <v>2</v>
      </c>
      <c r="I84" s="843">
        <v>2</v>
      </c>
      <c r="K84" s="868" t="s">
        <v>1588</v>
      </c>
      <c r="L84" s="884">
        <v>1.04</v>
      </c>
      <c r="M84" s="884">
        <v>1.5</v>
      </c>
      <c r="N84" s="1142">
        <v>1.5</v>
      </c>
      <c r="O84" s="843">
        <v>0</v>
      </c>
      <c r="P84" s="843">
        <v>0</v>
      </c>
      <c r="Q84" s="843">
        <v>1</v>
      </c>
      <c r="R84" s="1143">
        <v>46198.752997685187</v>
      </c>
      <c r="S84" s="843">
        <v>1</v>
      </c>
      <c r="T84" s="843">
        <v>1</v>
      </c>
    </row>
    <row r="85" spans="3:20" ht="21.95" customHeight="1">
      <c r="C85" s="843">
        <v>58</v>
      </c>
      <c r="D85" s="843">
        <v>33</v>
      </c>
      <c r="E85" s="843" t="s">
        <v>2371</v>
      </c>
      <c r="F85" s="868" t="s">
        <v>3009</v>
      </c>
      <c r="G85" s="843">
        <v>1</v>
      </c>
      <c r="H85" s="843">
        <v>2</v>
      </c>
      <c r="I85" s="843">
        <v>2</v>
      </c>
      <c r="K85" s="868" t="s">
        <v>1588</v>
      </c>
      <c r="L85" s="884">
        <v>1.748</v>
      </c>
      <c r="M85" s="884">
        <v>2.25</v>
      </c>
      <c r="N85" s="1142">
        <v>2.25</v>
      </c>
      <c r="O85" s="843">
        <v>0</v>
      </c>
      <c r="P85" s="843">
        <v>0</v>
      </c>
      <c r="Q85" s="843">
        <v>1</v>
      </c>
      <c r="R85" s="1143">
        <v>46198.752997685187</v>
      </c>
      <c r="S85" s="843">
        <v>1</v>
      </c>
      <c r="T85" s="843">
        <v>1</v>
      </c>
    </row>
    <row r="86" spans="3:20" ht="21.95" customHeight="1">
      <c r="C86" s="843">
        <v>59</v>
      </c>
      <c r="D86" s="843">
        <v>34</v>
      </c>
      <c r="E86" s="843" t="s">
        <v>2373</v>
      </c>
      <c r="F86" s="868" t="s">
        <v>3010</v>
      </c>
      <c r="G86" s="843">
        <v>1</v>
      </c>
      <c r="H86" s="843">
        <v>2</v>
      </c>
      <c r="I86" s="843">
        <v>2</v>
      </c>
      <c r="K86" s="868" t="s">
        <v>1588</v>
      </c>
      <c r="L86" s="884">
        <v>0.496</v>
      </c>
      <c r="M86" s="884">
        <v>0.75</v>
      </c>
      <c r="N86" s="1142">
        <v>0.75</v>
      </c>
      <c r="O86" s="843">
        <v>0</v>
      </c>
      <c r="P86" s="843">
        <v>0</v>
      </c>
      <c r="Q86" s="843">
        <v>1</v>
      </c>
      <c r="R86" s="1143">
        <v>46198.752997685187</v>
      </c>
      <c r="S86" s="843">
        <v>1</v>
      </c>
      <c r="T86" s="843">
        <v>1</v>
      </c>
    </row>
    <row r="87" spans="3:20" ht="21.95" customHeight="1">
      <c r="C87" s="843">
        <v>60</v>
      </c>
      <c r="D87" s="843">
        <v>35</v>
      </c>
      <c r="E87" s="843" t="s">
        <v>2375</v>
      </c>
      <c r="F87" s="868" t="s">
        <v>3011</v>
      </c>
      <c r="G87" s="843">
        <v>1</v>
      </c>
      <c r="H87" s="843">
        <v>2</v>
      </c>
      <c r="I87" s="843">
        <v>2</v>
      </c>
      <c r="K87" s="868" t="s">
        <v>1588</v>
      </c>
      <c r="L87" s="884">
        <v>0.5</v>
      </c>
      <c r="M87" s="884">
        <v>0.75</v>
      </c>
      <c r="N87" s="1142">
        <v>0.75</v>
      </c>
      <c r="O87" s="843">
        <v>0</v>
      </c>
      <c r="P87" s="843">
        <v>0</v>
      </c>
      <c r="Q87" s="843">
        <v>1</v>
      </c>
      <c r="R87" s="1143">
        <v>46198.752997685187</v>
      </c>
      <c r="S87" s="843">
        <v>1</v>
      </c>
      <c r="T87" s="843">
        <v>1</v>
      </c>
    </row>
    <row r="88" spans="3:20" ht="21.95" customHeight="1">
      <c r="C88" s="843">
        <v>61</v>
      </c>
      <c r="D88" s="843">
        <v>36</v>
      </c>
      <c r="E88" s="843" t="s">
        <v>2377</v>
      </c>
      <c r="F88" s="868" t="s">
        <v>3012</v>
      </c>
      <c r="G88" s="843">
        <v>1</v>
      </c>
      <c r="H88" s="843">
        <v>2</v>
      </c>
      <c r="I88" s="843">
        <v>2</v>
      </c>
      <c r="K88" s="868" t="s">
        <v>1588</v>
      </c>
      <c r="L88" s="884">
        <v>0.32</v>
      </c>
      <c r="M88" s="884">
        <v>0.5</v>
      </c>
      <c r="N88" s="1142">
        <v>0.5</v>
      </c>
      <c r="O88" s="843">
        <v>0</v>
      </c>
      <c r="P88" s="843">
        <v>0</v>
      </c>
      <c r="Q88" s="843">
        <v>1</v>
      </c>
      <c r="R88" s="1143">
        <v>46198.752997685187</v>
      </c>
      <c r="S88" s="843">
        <v>1</v>
      </c>
      <c r="T88" s="843">
        <v>1</v>
      </c>
    </row>
    <row r="89" spans="3:20" ht="21.95" customHeight="1">
      <c r="C89" s="843">
        <v>62</v>
      </c>
      <c r="D89" s="843">
        <v>37</v>
      </c>
      <c r="E89" s="843" t="s">
        <v>2380</v>
      </c>
      <c r="F89" s="868" t="s">
        <v>3013</v>
      </c>
      <c r="G89" s="843">
        <v>1</v>
      </c>
      <c r="H89" s="843">
        <v>2</v>
      </c>
      <c r="I89" s="843">
        <v>2</v>
      </c>
      <c r="K89" s="868" t="s">
        <v>1588</v>
      </c>
      <c r="L89" s="884">
        <v>0.66</v>
      </c>
      <c r="M89" s="884">
        <v>1</v>
      </c>
      <c r="N89" s="1142">
        <v>1</v>
      </c>
      <c r="O89" s="843">
        <v>0</v>
      </c>
      <c r="P89" s="843">
        <v>0</v>
      </c>
      <c r="Q89" s="843">
        <v>1</v>
      </c>
      <c r="R89" s="1143">
        <v>46198.752997685187</v>
      </c>
      <c r="S89" s="843">
        <v>1</v>
      </c>
      <c r="T89" s="843">
        <v>1</v>
      </c>
    </row>
    <row r="90" spans="3:20" ht="21.95" customHeight="1">
      <c r="C90" s="843">
        <v>63</v>
      </c>
      <c r="D90" s="843">
        <v>38</v>
      </c>
      <c r="E90" s="843" t="s">
        <v>2382</v>
      </c>
      <c r="F90" s="868" t="s">
        <v>3014</v>
      </c>
      <c r="G90" s="843">
        <v>1</v>
      </c>
      <c r="H90" s="843">
        <v>2</v>
      </c>
      <c r="I90" s="843">
        <v>2</v>
      </c>
      <c r="K90" s="868" t="s">
        <v>1588</v>
      </c>
      <c r="L90" s="884">
        <v>0.28599999999999998</v>
      </c>
      <c r="M90" s="884">
        <v>0.5</v>
      </c>
      <c r="N90" s="1142">
        <v>0.5</v>
      </c>
      <c r="O90" s="843">
        <v>0</v>
      </c>
      <c r="P90" s="843">
        <v>0</v>
      </c>
      <c r="Q90" s="843">
        <v>1</v>
      </c>
      <c r="R90" s="1143">
        <v>46198.752997685187</v>
      </c>
      <c r="S90" s="843">
        <v>1</v>
      </c>
      <c r="T90" s="843">
        <v>1</v>
      </c>
    </row>
    <row r="91" spans="3:20" ht="21.95" customHeight="1">
      <c r="C91" s="843">
        <v>64</v>
      </c>
      <c r="D91" s="843">
        <v>39</v>
      </c>
      <c r="E91" s="843" t="s">
        <v>2384</v>
      </c>
      <c r="F91" s="868" t="s">
        <v>3015</v>
      </c>
      <c r="G91" s="843">
        <v>1</v>
      </c>
      <c r="H91" s="843">
        <v>2</v>
      </c>
      <c r="I91" s="843">
        <v>2</v>
      </c>
      <c r="K91" s="868" t="s">
        <v>1588</v>
      </c>
      <c r="L91" s="884">
        <v>0.28999999999999998</v>
      </c>
      <c r="M91" s="884">
        <v>0.5</v>
      </c>
      <c r="N91" s="1142">
        <v>0.5</v>
      </c>
      <c r="O91" s="843">
        <v>0</v>
      </c>
      <c r="P91" s="843">
        <v>0</v>
      </c>
      <c r="Q91" s="843">
        <v>1</v>
      </c>
      <c r="R91" s="1143">
        <v>46198.752997685187</v>
      </c>
      <c r="S91" s="843">
        <v>1</v>
      </c>
      <c r="T91" s="843">
        <v>1</v>
      </c>
    </row>
    <row r="92" spans="3:20" ht="21.95" customHeight="1">
      <c r="C92" s="843">
        <v>65</v>
      </c>
      <c r="D92" s="843">
        <v>40</v>
      </c>
      <c r="E92" s="843" t="s">
        <v>2386</v>
      </c>
      <c r="F92" s="868" t="s">
        <v>3016</v>
      </c>
      <c r="G92" s="843">
        <v>1</v>
      </c>
      <c r="H92" s="843">
        <v>2</v>
      </c>
      <c r="I92" s="843">
        <v>2</v>
      </c>
      <c r="K92" s="868" t="s">
        <v>1588</v>
      </c>
      <c r="L92" s="884">
        <v>0.23</v>
      </c>
      <c r="M92" s="884">
        <v>0.5</v>
      </c>
      <c r="N92" s="1142">
        <v>0.5</v>
      </c>
      <c r="O92" s="843">
        <v>0</v>
      </c>
      <c r="P92" s="843">
        <v>0</v>
      </c>
      <c r="Q92" s="843">
        <v>1</v>
      </c>
      <c r="R92" s="1143">
        <v>46198.752997685187</v>
      </c>
      <c r="S92" s="843">
        <v>1</v>
      </c>
      <c r="T92" s="843">
        <v>1</v>
      </c>
    </row>
    <row r="93" spans="3:20" ht="21.95" customHeight="1">
      <c r="C93" s="843">
        <v>66</v>
      </c>
      <c r="D93" s="843">
        <v>41</v>
      </c>
      <c r="E93" s="843" t="s">
        <v>2389</v>
      </c>
      <c r="F93" s="868" t="s">
        <v>3017</v>
      </c>
      <c r="G93" s="843">
        <v>1</v>
      </c>
      <c r="H93" s="843">
        <v>2</v>
      </c>
      <c r="I93" s="843">
        <v>2</v>
      </c>
      <c r="K93" s="868" t="s">
        <v>1588</v>
      </c>
      <c r="L93" s="884">
        <v>0.53</v>
      </c>
      <c r="M93" s="884">
        <v>0.75</v>
      </c>
      <c r="N93" s="1142">
        <v>0.75</v>
      </c>
      <c r="O93" s="843">
        <v>0</v>
      </c>
      <c r="P93" s="843">
        <v>0</v>
      </c>
      <c r="Q93" s="843">
        <v>1</v>
      </c>
      <c r="R93" s="1143">
        <v>46198.752997685187</v>
      </c>
      <c r="S93" s="843">
        <v>1</v>
      </c>
      <c r="T93" s="843">
        <v>1</v>
      </c>
    </row>
    <row r="94" spans="3:20" ht="21.95" customHeight="1">
      <c r="C94" s="843">
        <v>67</v>
      </c>
      <c r="D94" s="843">
        <v>42</v>
      </c>
      <c r="E94" s="843" t="s">
        <v>2391</v>
      </c>
      <c r="F94" s="868" t="s">
        <v>3018</v>
      </c>
      <c r="G94" s="843">
        <v>1</v>
      </c>
      <c r="H94" s="843">
        <v>2</v>
      </c>
      <c r="I94" s="843">
        <v>2</v>
      </c>
      <c r="K94" s="868" t="s">
        <v>1588</v>
      </c>
      <c r="L94" s="884">
        <v>0.24299999999999999</v>
      </c>
      <c r="M94" s="884">
        <v>0.5</v>
      </c>
      <c r="N94" s="1142">
        <v>0.5</v>
      </c>
      <c r="O94" s="843">
        <v>0</v>
      </c>
      <c r="P94" s="843">
        <v>0</v>
      </c>
      <c r="Q94" s="843">
        <v>1</v>
      </c>
      <c r="R94" s="1143">
        <v>46198.752997685187</v>
      </c>
      <c r="S94" s="843">
        <v>1</v>
      </c>
      <c r="T94" s="843">
        <v>1</v>
      </c>
    </row>
    <row r="95" spans="3:20" ht="21.95" customHeight="1">
      <c r="C95" s="843">
        <v>68</v>
      </c>
      <c r="D95" s="843">
        <v>43</v>
      </c>
      <c r="E95" s="843" t="s">
        <v>2393</v>
      </c>
      <c r="F95" s="868" t="s">
        <v>3019</v>
      </c>
      <c r="G95" s="843">
        <v>1</v>
      </c>
      <c r="H95" s="843">
        <v>2</v>
      </c>
      <c r="I95" s="843">
        <v>2</v>
      </c>
      <c r="K95" s="868" t="s">
        <v>1588</v>
      </c>
      <c r="L95" s="884">
        <v>0.24</v>
      </c>
      <c r="M95" s="884">
        <v>0.5</v>
      </c>
      <c r="N95" s="1142">
        <v>0.5</v>
      </c>
      <c r="O95" s="843">
        <v>0</v>
      </c>
      <c r="P95" s="843">
        <v>0</v>
      </c>
      <c r="Q95" s="843">
        <v>1</v>
      </c>
      <c r="R95" s="1143">
        <v>46198.752997685187</v>
      </c>
      <c r="S95" s="843">
        <v>1</v>
      </c>
      <c r="T95" s="843">
        <v>1</v>
      </c>
    </row>
    <row r="96" spans="3:20" ht="21.95" customHeight="1">
      <c r="C96" s="843">
        <v>69</v>
      </c>
      <c r="D96" s="843">
        <v>44</v>
      </c>
      <c r="E96" s="843" t="s">
        <v>2395</v>
      </c>
      <c r="F96" s="868" t="s">
        <v>3020</v>
      </c>
      <c r="G96" s="843">
        <v>1</v>
      </c>
      <c r="H96" s="843">
        <v>2</v>
      </c>
      <c r="I96" s="843">
        <v>2</v>
      </c>
      <c r="K96" s="868" t="s">
        <v>1588</v>
      </c>
      <c r="L96" s="884">
        <v>0.22</v>
      </c>
      <c r="M96" s="884">
        <v>0.38</v>
      </c>
      <c r="N96" s="1142">
        <v>0.38</v>
      </c>
      <c r="O96" s="843">
        <v>0</v>
      </c>
      <c r="P96" s="843">
        <v>0</v>
      </c>
      <c r="Q96" s="843">
        <v>1</v>
      </c>
      <c r="R96" s="1143">
        <v>46198.752997685187</v>
      </c>
      <c r="S96" s="843">
        <v>1</v>
      </c>
      <c r="T96" s="843">
        <v>1</v>
      </c>
    </row>
    <row r="97" spans="3:20" ht="21.95" customHeight="1">
      <c r="C97" s="843">
        <v>70</v>
      </c>
      <c r="D97" s="843">
        <v>45</v>
      </c>
      <c r="E97" s="843" t="s">
        <v>2398</v>
      </c>
      <c r="F97" s="868" t="s">
        <v>3021</v>
      </c>
      <c r="G97" s="843">
        <v>1</v>
      </c>
      <c r="H97" s="843">
        <v>2</v>
      </c>
      <c r="I97" s="843">
        <v>2</v>
      </c>
      <c r="K97" s="868" t="s">
        <v>1588</v>
      </c>
      <c r="L97" s="884">
        <v>0.34</v>
      </c>
      <c r="M97" s="884">
        <v>0.5</v>
      </c>
      <c r="N97" s="1142">
        <v>0.5</v>
      </c>
      <c r="O97" s="843">
        <v>0</v>
      </c>
      <c r="P97" s="843">
        <v>0</v>
      </c>
      <c r="Q97" s="843">
        <v>1</v>
      </c>
      <c r="R97" s="1143">
        <v>46198.752997685187</v>
      </c>
      <c r="S97" s="843">
        <v>1</v>
      </c>
      <c r="T97" s="843">
        <v>1</v>
      </c>
    </row>
    <row r="98" spans="3:20" ht="21.95" customHeight="1">
      <c r="C98" s="843">
        <v>71</v>
      </c>
      <c r="D98" s="843">
        <v>46</v>
      </c>
      <c r="E98" s="843" t="s">
        <v>2400</v>
      </c>
      <c r="F98" s="868" t="s">
        <v>3022</v>
      </c>
      <c r="G98" s="843">
        <v>1</v>
      </c>
      <c r="H98" s="843">
        <v>2</v>
      </c>
      <c r="I98" s="843">
        <v>2</v>
      </c>
      <c r="K98" s="868" t="s">
        <v>1588</v>
      </c>
      <c r="L98" s="884">
        <v>0.15</v>
      </c>
      <c r="M98" s="884">
        <v>0.38</v>
      </c>
      <c r="N98" s="1142">
        <v>0.38</v>
      </c>
      <c r="O98" s="843">
        <v>0</v>
      </c>
      <c r="P98" s="843">
        <v>0</v>
      </c>
      <c r="Q98" s="843">
        <v>1</v>
      </c>
      <c r="R98" s="1143">
        <v>46198.752997685187</v>
      </c>
      <c r="S98" s="843">
        <v>1</v>
      </c>
      <c r="T98" s="843">
        <v>1</v>
      </c>
    </row>
    <row r="99" spans="3:20" ht="21.95" customHeight="1">
      <c r="C99" s="843">
        <v>72</v>
      </c>
      <c r="D99" s="843">
        <v>47</v>
      </c>
      <c r="E99" s="843" t="s">
        <v>2402</v>
      </c>
      <c r="F99" s="868" t="s">
        <v>3023</v>
      </c>
      <c r="G99" s="843">
        <v>1</v>
      </c>
      <c r="H99" s="843">
        <v>2</v>
      </c>
      <c r="I99" s="843">
        <v>2</v>
      </c>
      <c r="K99" s="868" t="s">
        <v>1588</v>
      </c>
      <c r="L99" s="884">
        <v>0.15</v>
      </c>
      <c r="M99" s="884">
        <v>38</v>
      </c>
      <c r="N99" s="1142">
        <v>38</v>
      </c>
      <c r="O99" s="843">
        <v>0</v>
      </c>
      <c r="P99" s="843">
        <v>0</v>
      </c>
      <c r="Q99" s="843">
        <v>1</v>
      </c>
      <c r="R99" s="1143">
        <v>46198.752997685187</v>
      </c>
      <c r="S99" s="843">
        <v>1</v>
      </c>
      <c r="T99" s="843">
        <v>1</v>
      </c>
    </row>
    <row r="100" spans="3:20" ht="21.95" customHeight="1">
      <c r="C100" s="843">
        <v>73</v>
      </c>
      <c r="D100" s="843">
        <v>48</v>
      </c>
      <c r="E100" s="843" t="s">
        <v>2404</v>
      </c>
      <c r="F100" s="868" t="s">
        <v>3024</v>
      </c>
      <c r="G100" s="843">
        <v>1</v>
      </c>
      <c r="H100" s="843">
        <v>2</v>
      </c>
      <c r="I100" s="843">
        <v>2</v>
      </c>
      <c r="K100" s="868" t="s">
        <v>1588</v>
      </c>
      <c r="L100" s="884">
        <v>0.12</v>
      </c>
      <c r="M100" s="884">
        <v>0.25</v>
      </c>
      <c r="N100" s="1142">
        <v>0.25</v>
      </c>
      <c r="O100" s="843">
        <v>0</v>
      </c>
      <c r="P100" s="843">
        <v>0</v>
      </c>
      <c r="Q100" s="843">
        <v>1</v>
      </c>
      <c r="R100" s="1143">
        <v>46198.752997685187</v>
      </c>
      <c r="S100" s="843">
        <v>1</v>
      </c>
      <c r="T100" s="843">
        <v>1</v>
      </c>
    </row>
    <row r="101" spans="3:20" ht="21.95" customHeight="1">
      <c r="C101" s="843">
        <v>74</v>
      </c>
      <c r="D101" s="843">
        <v>49</v>
      </c>
      <c r="E101" s="843" t="s">
        <v>2407</v>
      </c>
      <c r="F101" s="868" t="s">
        <v>3025</v>
      </c>
      <c r="G101" s="843">
        <v>1</v>
      </c>
      <c r="H101" s="843">
        <v>2</v>
      </c>
      <c r="I101" s="843">
        <v>2</v>
      </c>
      <c r="K101" s="868" t="s">
        <v>1588</v>
      </c>
      <c r="L101" s="884">
        <v>0.28000000000000003</v>
      </c>
      <c r="M101" s="884">
        <v>0.38</v>
      </c>
      <c r="N101" s="1142">
        <v>0.38</v>
      </c>
      <c r="O101" s="843">
        <v>0</v>
      </c>
      <c r="P101" s="843">
        <v>0</v>
      </c>
      <c r="Q101" s="843">
        <v>1</v>
      </c>
      <c r="R101" s="1143">
        <v>46198.752997685187</v>
      </c>
      <c r="S101" s="843">
        <v>1</v>
      </c>
      <c r="T101" s="843">
        <v>1</v>
      </c>
    </row>
    <row r="102" spans="3:20" ht="21.95" customHeight="1">
      <c r="C102" s="843">
        <v>75</v>
      </c>
      <c r="D102" s="843">
        <v>50</v>
      </c>
      <c r="E102" s="843" t="s">
        <v>2410</v>
      </c>
      <c r="F102" s="868" t="s">
        <v>3026</v>
      </c>
      <c r="G102" s="843">
        <v>1</v>
      </c>
      <c r="H102" s="843">
        <v>2</v>
      </c>
      <c r="I102" s="843">
        <v>2</v>
      </c>
      <c r="K102" s="868" t="s">
        <v>1588</v>
      </c>
      <c r="L102" s="884">
        <v>0.123</v>
      </c>
      <c r="M102" s="884">
        <v>0.25</v>
      </c>
      <c r="N102" s="1142">
        <v>0.25</v>
      </c>
      <c r="O102" s="843">
        <v>0</v>
      </c>
      <c r="P102" s="843">
        <v>0</v>
      </c>
      <c r="Q102" s="843">
        <v>1</v>
      </c>
      <c r="R102" s="1143">
        <v>46198.752997685187</v>
      </c>
      <c r="S102" s="843">
        <v>1</v>
      </c>
      <c r="T102" s="843">
        <v>1</v>
      </c>
    </row>
    <row r="103" spans="3:20" ht="21.95" customHeight="1">
      <c r="C103" s="843">
        <v>76</v>
      </c>
      <c r="D103" s="843">
        <v>51</v>
      </c>
      <c r="E103" s="843" t="s">
        <v>2413</v>
      </c>
      <c r="F103" s="868" t="s">
        <v>3027</v>
      </c>
      <c r="G103" s="843">
        <v>1</v>
      </c>
      <c r="H103" s="843">
        <v>2</v>
      </c>
      <c r="I103" s="843">
        <v>2</v>
      </c>
      <c r="K103" s="868" t="s">
        <v>1588</v>
      </c>
      <c r="L103" s="884">
        <v>4.4859999999999998</v>
      </c>
      <c r="M103" s="884">
        <v>5</v>
      </c>
      <c r="N103" s="1142">
        <v>5</v>
      </c>
      <c r="O103" s="843">
        <v>0</v>
      </c>
      <c r="P103" s="843">
        <v>0</v>
      </c>
      <c r="Q103" s="843">
        <v>1</v>
      </c>
      <c r="R103" s="1143">
        <v>46198.752997685187</v>
      </c>
      <c r="S103" s="843">
        <v>1</v>
      </c>
      <c r="T103" s="843">
        <v>1</v>
      </c>
    </row>
    <row r="104" spans="3:20" ht="21.95" customHeight="1">
      <c r="C104" s="843">
        <v>77</v>
      </c>
      <c r="D104" s="843">
        <v>52</v>
      </c>
      <c r="E104" s="843" t="s">
        <v>2416</v>
      </c>
      <c r="F104" s="868" t="s">
        <v>3028</v>
      </c>
      <c r="G104" s="843">
        <v>1</v>
      </c>
      <c r="H104" s="843">
        <v>2</v>
      </c>
      <c r="I104" s="843">
        <v>2</v>
      </c>
      <c r="K104" s="868" t="s">
        <v>1588</v>
      </c>
      <c r="L104" s="884">
        <v>1.91</v>
      </c>
      <c r="M104" s="884">
        <v>2.5</v>
      </c>
      <c r="N104" s="1142">
        <v>2.5</v>
      </c>
      <c r="O104" s="843">
        <v>0</v>
      </c>
      <c r="P104" s="843">
        <v>0</v>
      </c>
      <c r="Q104" s="843">
        <v>1</v>
      </c>
      <c r="R104" s="1143">
        <v>46198.752997685187</v>
      </c>
      <c r="S104" s="843">
        <v>1</v>
      </c>
      <c r="T104" s="843">
        <v>1</v>
      </c>
    </row>
    <row r="105" spans="3:20" ht="21.95" customHeight="1">
      <c r="C105" s="843">
        <v>78</v>
      </c>
      <c r="D105" s="843">
        <v>53</v>
      </c>
      <c r="E105" s="843" t="s">
        <v>2419</v>
      </c>
      <c r="F105" s="868" t="s">
        <v>3029</v>
      </c>
      <c r="G105" s="843">
        <v>1</v>
      </c>
      <c r="H105" s="843">
        <v>2</v>
      </c>
      <c r="I105" s="843">
        <v>2</v>
      </c>
      <c r="K105" s="868" t="s">
        <v>1588</v>
      </c>
      <c r="L105" s="884">
        <v>0.95099999999999996</v>
      </c>
      <c r="M105" s="884">
        <v>1.5</v>
      </c>
      <c r="N105" s="1142">
        <v>1.5</v>
      </c>
      <c r="O105" s="843">
        <v>0</v>
      </c>
      <c r="P105" s="843">
        <v>0</v>
      </c>
      <c r="Q105" s="843">
        <v>1</v>
      </c>
      <c r="R105" s="1143">
        <v>46198.752997685187</v>
      </c>
      <c r="S105" s="843">
        <v>1</v>
      </c>
      <c r="T105" s="843">
        <v>1</v>
      </c>
    </row>
    <row r="106" spans="3:20" ht="21.95" customHeight="1">
      <c r="C106" s="843">
        <v>79</v>
      </c>
      <c r="D106" s="843">
        <v>54</v>
      </c>
      <c r="E106" s="843" t="s">
        <v>2421</v>
      </c>
      <c r="F106" s="868" t="s">
        <v>3030</v>
      </c>
      <c r="G106" s="843">
        <v>1</v>
      </c>
      <c r="H106" s="843">
        <v>2</v>
      </c>
      <c r="I106" s="843">
        <v>2</v>
      </c>
      <c r="K106" s="868" t="s">
        <v>1588</v>
      </c>
      <c r="L106" s="884">
        <v>2.1240000000000001</v>
      </c>
      <c r="M106" s="884">
        <v>2.5</v>
      </c>
      <c r="N106" s="1142">
        <v>2.5</v>
      </c>
      <c r="O106" s="843">
        <v>0</v>
      </c>
      <c r="P106" s="843">
        <v>0</v>
      </c>
      <c r="Q106" s="843">
        <v>1</v>
      </c>
      <c r="R106" s="1143">
        <v>46198.752997685187</v>
      </c>
      <c r="S106" s="843">
        <v>1</v>
      </c>
      <c r="T106" s="843">
        <v>1</v>
      </c>
    </row>
    <row r="107" spans="3:20" ht="21.95" customHeight="1">
      <c r="C107" s="843">
        <v>80</v>
      </c>
      <c r="D107" s="843">
        <v>55</v>
      </c>
      <c r="E107" s="843" t="s">
        <v>2423</v>
      </c>
      <c r="F107" s="868" t="s">
        <v>3031</v>
      </c>
      <c r="G107" s="843">
        <v>1</v>
      </c>
      <c r="H107" s="843">
        <v>2</v>
      </c>
      <c r="I107" s="843">
        <v>2</v>
      </c>
      <c r="K107" s="868" t="s">
        <v>1588</v>
      </c>
      <c r="L107" s="884">
        <v>1.077</v>
      </c>
      <c r="M107" s="884">
        <v>1.5</v>
      </c>
      <c r="N107" s="1142">
        <v>1.5</v>
      </c>
      <c r="O107" s="843">
        <v>0</v>
      </c>
      <c r="P107" s="843">
        <v>0</v>
      </c>
      <c r="Q107" s="843">
        <v>1</v>
      </c>
      <c r="R107" s="1143">
        <v>46198.752997685187</v>
      </c>
      <c r="S107" s="843">
        <v>1</v>
      </c>
      <c r="T107" s="843">
        <v>1</v>
      </c>
    </row>
    <row r="108" spans="3:20" ht="21.95" customHeight="1">
      <c r="C108" s="843">
        <v>81</v>
      </c>
      <c r="D108" s="843">
        <v>56</v>
      </c>
      <c r="E108" s="843" t="s">
        <v>2425</v>
      </c>
      <c r="F108" s="868" t="s">
        <v>3032</v>
      </c>
      <c r="G108" s="843">
        <v>1</v>
      </c>
      <c r="H108" s="843">
        <v>2</v>
      </c>
      <c r="I108" s="843">
        <v>2</v>
      </c>
      <c r="K108" s="868" t="s">
        <v>1588</v>
      </c>
      <c r="L108" s="884">
        <v>0.55000000000000004</v>
      </c>
      <c r="M108" s="884">
        <v>0.75</v>
      </c>
      <c r="N108" s="1142">
        <v>0.75</v>
      </c>
      <c r="O108" s="843">
        <v>0</v>
      </c>
      <c r="P108" s="843">
        <v>0</v>
      </c>
      <c r="Q108" s="843">
        <v>1</v>
      </c>
      <c r="R108" s="1143">
        <v>46198.752997685187</v>
      </c>
      <c r="S108" s="843">
        <v>1</v>
      </c>
      <c r="T108" s="843">
        <v>1</v>
      </c>
    </row>
    <row r="109" spans="3:20" ht="21.95" customHeight="1">
      <c r="C109" s="843">
        <v>82</v>
      </c>
      <c r="D109" s="843">
        <v>57</v>
      </c>
      <c r="E109" s="843" t="s">
        <v>2427</v>
      </c>
      <c r="F109" s="868" t="s">
        <v>3033</v>
      </c>
      <c r="G109" s="843">
        <v>1</v>
      </c>
      <c r="H109" s="843">
        <v>2</v>
      </c>
      <c r="I109" s="843">
        <v>2</v>
      </c>
      <c r="K109" s="868" t="s">
        <v>1588</v>
      </c>
      <c r="L109" s="884">
        <v>7.44</v>
      </c>
      <c r="M109" s="884">
        <v>8</v>
      </c>
      <c r="N109" s="1142">
        <v>8</v>
      </c>
      <c r="O109" s="843">
        <v>0</v>
      </c>
      <c r="P109" s="843">
        <v>0</v>
      </c>
      <c r="Q109" s="843">
        <v>1</v>
      </c>
      <c r="R109" s="1143">
        <v>46198.752997685187</v>
      </c>
      <c r="S109" s="843">
        <v>1</v>
      </c>
      <c r="T109" s="843">
        <v>1</v>
      </c>
    </row>
    <row r="110" spans="3:20" ht="21.95" customHeight="1">
      <c r="C110" s="843">
        <v>83</v>
      </c>
      <c r="D110" s="843">
        <v>58</v>
      </c>
      <c r="E110" s="843" t="s">
        <v>2429</v>
      </c>
      <c r="F110" s="868" t="s">
        <v>3034</v>
      </c>
      <c r="G110" s="843">
        <v>1</v>
      </c>
      <c r="H110" s="843">
        <v>2</v>
      </c>
      <c r="I110" s="843">
        <v>2</v>
      </c>
      <c r="K110" s="868" t="s">
        <v>1588</v>
      </c>
      <c r="L110" s="884">
        <v>3.9729999999999999</v>
      </c>
      <c r="M110" s="884">
        <v>4.5</v>
      </c>
      <c r="N110" s="1142">
        <v>4.5</v>
      </c>
      <c r="O110" s="843">
        <v>0</v>
      </c>
      <c r="P110" s="843">
        <v>0</v>
      </c>
      <c r="Q110" s="843">
        <v>1</v>
      </c>
      <c r="R110" s="1143">
        <v>46198.752997685187</v>
      </c>
      <c r="S110" s="843">
        <v>1</v>
      </c>
      <c r="T110" s="843">
        <v>1</v>
      </c>
    </row>
    <row r="111" spans="3:20" ht="21.95" customHeight="1">
      <c r="C111" s="843">
        <v>84</v>
      </c>
      <c r="D111" s="843">
        <v>59</v>
      </c>
      <c r="E111" s="843" t="s">
        <v>2431</v>
      </c>
      <c r="F111" s="868" t="s">
        <v>3035</v>
      </c>
      <c r="G111" s="843">
        <v>1</v>
      </c>
      <c r="H111" s="843">
        <v>2</v>
      </c>
      <c r="I111" s="843">
        <v>2</v>
      </c>
      <c r="K111" s="868" t="s">
        <v>1588</v>
      </c>
      <c r="L111" s="884">
        <v>1.4450000000000001</v>
      </c>
      <c r="M111" s="884">
        <v>2</v>
      </c>
      <c r="N111" s="1142">
        <v>2</v>
      </c>
      <c r="O111" s="843">
        <v>0</v>
      </c>
      <c r="P111" s="843">
        <v>0</v>
      </c>
      <c r="Q111" s="843">
        <v>1</v>
      </c>
      <c r="R111" s="1143">
        <v>46198.752997685187</v>
      </c>
      <c r="S111" s="843">
        <v>1</v>
      </c>
      <c r="T111" s="843">
        <v>1</v>
      </c>
    </row>
    <row r="112" spans="3:20" ht="21.95" customHeight="1">
      <c r="C112" s="843">
        <v>85</v>
      </c>
      <c r="D112" s="843">
        <v>60</v>
      </c>
      <c r="E112" s="843" t="s">
        <v>2434</v>
      </c>
      <c r="F112" s="868" t="s">
        <v>3036</v>
      </c>
      <c r="G112" s="843">
        <v>1</v>
      </c>
      <c r="H112" s="843">
        <v>2</v>
      </c>
      <c r="I112" s="843">
        <v>2</v>
      </c>
      <c r="K112" s="868" t="s">
        <v>1588</v>
      </c>
      <c r="L112" s="884">
        <v>7.7779999999999996</v>
      </c>
      <c r="M112" s="884">
        <v>8</v>
      </c>
      <c r="N112" s="1142">
        <v>8</v>
      </c>
      <c r="O112" s="843">
        <v>0</v>
      </c>
      <c r="P112" s="843">
        <v>0</v>
      </c>
      <c r="Q112" s="843">
        <v>1</v>
      </c>
      <c r="R112" s="1143">
        <v>46198.752997685187</v>
      </c>
      <c r="S112" s="843">
        <v>1</v>
      </c>
      <c r="T112" s="843">
        <v>1</v>
      </c>
    </row>
    <row r="113" spans="3:20" ht="21.95" customHeight="1">
      <c r="C113" s="843">
        <v>86</v>
      </c>
      <c r="D113" s="843">
        <v>61</v>
      </c>
      <c r="E113" s="843" t="s">
        <v>2437</v>
      </c>
      <c r="F113" s="868" t="s">
        <v>3037</v>
      </c>
      <c r="G113" s="843">
        <v>1</v>
      </c>
      <c r="H113" s="843">
        <v>2</v>
      </c>
      <c r="I113" s="843">
        <v>2</v>
      </c>
      <c r="K113" s="868" t="s">
        <v>1588</v>
      </c>
      <c r="L113" s="884">
        <v>6.4080000000000004</v>
      </c>
      <c r="M113" s="884">
        <v>7</v>
      </c>
      <c r="N113" s="1142">
        <v>7</v>
      </c>
      <c r="O113" s="843">
        <v>0</v>
      </c>
      <c r="P113" s="843">
        <v>0</v>
      </c>
      <c r="Q113" s="843">
        <v>1</v>
      </c>
      <c r="R113" s="1143">
        <v>46198.752997685187</v>
      </c>
      <c r="S113" s="843">
        <v>1</v>
      </c>
      <c r="T113" s="843">
        <v>1</v>
      </c>
    </row>
    <row r="114" spans="3:20" ht="21.95" customHeight="1">
      <c r="C114" s="843">
        <v>87</v>
      </c>
      <c r="D114" s="843">
        <v>62</v>
      </c>
      <c r="E114" s="843" t="s">
        <v>2440</v>
      </c>
      <c r="F114" s="868" t="s">
        <v>3038</v>
      </c>
      <c r="G114" s="843">
        <v>1</v>
      </c>
      <c r="H114" s="843">
        <v>2</v>
      </c>
      <c r="I114" s="843">
        <v>2</v>
      </c>
      <c r="K114" s="868" t="s">
        <v>1588</v>
      </c>
      <c r="L114" s="884">
        <v>4.327</v>
      </c>
      <c r="M114" s="884">
        <v>5</v>
      </c>
      <c r="N114" s="1142">
        <v>5</v>
      </c>
      <c r="O114" s="843">
        <v>0</v>
      </c>
      <c r="P114" s="843">
        <v>0</v>
      </c>
      <c r="Q114" s="843">
        <v>1</v>
      </c>
      <c r="R114" s="1143">
        <v>46198.752997685187</v>
      </c>
      <c r="S114" s="843">
        <v>1</v>
      </c>
      <c r="T114" s="843">
        <v>1</v>
      </c>
    </row>
    <row r="115" spans="3:20" ht="21.95" customHeight="1">
      <c r="C115" s="843">
        <v>88</v>
      </c>
      <c r="D115" s="843">
        <v>63</v>
      </c>
      <c r="E115" s="843" t="s">
        <v>2442</v>
      </c>
      <c r="F115" s="868" t="s">
        <v>3039</v>
      </c>
      <c r="G115" s="843">
        <v>1</v>
      </c>
      <c r="H115" s="843">
        <v>2</v>
      </c>
      <c r="I115" s="843">
        <v>2</v>
      </c>
      <c r="K115" s="868" t="s">
        <v>1588</v>
      </c>
      <c r="L115" s="884">
        <v>4.327</v>
      </c>
      <c r="M115" s="884">
        <v>6</v>
      </c>
      <c r="N115" s="1142">
        <v>6</v>
      </c>
      <c r="O115" s="843">
        <v>0</v>
      </c>
      <c r="P115" s="843">
        <v>0</v>
      </c>
      <c r="Q115" s="843">
        <v>1</v>
      </c>
      <c r="R115" s="1143">
        <v>46198.752997685187</v>
      </c>
      <c r="S115" s="843">
        <v>1</v>
      </c>
      <c r="T115" s="843">
        <v>1</v>
      </c>
    </row>
    <row r="116" spans="3:20" ht="21.95" customHeight="1">
      <c r="C116" s="843">
        <v>89</v>
      </c>
      <c r="D116" s="843">
        <v>64</v>
      </c>
      <c r="E116" s="843" t="s">
        <v>2444</v>
      </c>
      <c r="F116" s="868" t="s">
        <v>3040</v>
      </c>
      <c r="G116" s="843">
        <v>1</v>
      </c>
      <c r="H116" s="843">
        <v>2</v>
      </c>
      <c r="I116" s="843">
        <v>2</v>
      </c>
      <c r="K116" s="868" t="s">
        <v>1588</v>
      </c>
      <c r="L116" s="884">
        <v>1.9</v>
      </c>
      <c r="M116" s="884">
        <v>2.25</v>
      </c>
      <c r="N116" s="1142">
        <v>2.25</v>
      </c>
      <c r="O116" s="843">
        <v>0</v>
      </c>
      <c r="P116" s="843">
        <v>0</v>
      </c>
      <c r="Q116" s="843">
        <v>1</v>
      </c>
      <c r="R116" s="1143">
        <v>46198.752997685187</v>
      </c>
      <c r="S116" s="843">
        <v>1</v>
      </c>
      <c r="T116" s="843">
        <v>1</v>
      </c>
    </row>
    <row r="117" spans="3:20" ht="21.95" customHeight="1">
      <c r="C117" s="843">
        <v>90</v>
      </c>
      <c r="D117" s="843">
        <v>65</v>
      </c>
      <c r="E117" s="843" t="s">
        <v>2447</v>
      </c>
      <c r="F117" s="868" t="s">
        <v>3041</v>
      </c>
      <c r="G117" s="843">
        <v>1</v>
      </c>
      <c r="H117" s="843">
        <v>2</v>
      </c>
      <c r="I117" s="843">
        <v>2</v>
      </c>
      <c r="K117" s="868" t="s">
        <v>1588</v>
      </c>
      <c r="L117" s="884">
        <v>1.18</v>
      </c>
      <c r="M117" s="884">
        <v>1.5</v>
      </c>
      <c r="N117" s="1142">
        <v>1.5</v>
      </c>
      <c r="O117" s="843">
        <v>0</v>
      </c>
      <c r="P117" s="843">
        <v>0</v>
      </c>
      <c r="Q117" s="843">
        <v>1</v>
      </c>
      <c r="R117" s="1143">
        <v>46198.752997685187</v>
      </c>
      <c r="S117" s="843">
        <v>1</v>
      </c>
      <c r="T117" s="843">
        <v>1</v>
      </c>
    </row>
    <row r="118" spans="3:20" ht="21.95" customHeight="1">
      <c r="C118" s="843">
        <v>91</v>
      </c>
      <c r="D118" s="843">
        <v>66</v>
      </c>
      <c r="E118" s="843" t="s">
        <v>2449</v>
      </c>
      <c r="F118" s="868" t="s">
        <v>3042</v>
      </c>
      <c r="G118" s="843">
        <v>1</v>
      </c>
      <c r="H118" s="843">
        <v>2</v>
      </c>
      <c r="I118" s="843">
        <v>2</v>
      </c>
      <c r="K118" s="868" t="s">
        <v>1588</v>
      </c>
      <c r="L118" s="884">
        <v>0.40899999999999997</v>
      </c>
      <c r="M118" s="884">
        <v>0.75</v>
      </c>
      <c r="N118" s="1142">
        <v>0.75</v>
      </c>
      <c r="O118" s="843">
        <v>0</v>
      </c>
      <c r="P118" s="843">
        <v>0</v>
      </c>
      <c r="Q118" s="843">
        <v>1</v>
      </c>
      <c r="R118" s="1143">
        <v>46198.752997685187</v>
      </c>
      <c r="S118" s="843">
        <v>1</v>
      </c>
      <c r="T118" s="843">
        <v>1</v>
      </c>
    </row>
    <row r="119" spans="3:20" ht="21.95" customHeight="1">
      <c r="C119" s="843">
        <v>92</v>
      </c>
      <c r="D119" s="843">
        <v>67</v>
      </c>
      <c r="E119" s="843" t="s">
        <v>2451</v>
      </c>
      <c r="F119" s="868" t="s">
        <v>3043</v>
      </c>
      <c r="G119" s="843">
        <v>1</v>
      </c>
      <c r="H119" s="843">
        <v>2</v>
      </c>
      <c r="I119" s="843">
        <v>2</v>
      </c>
      <c r="K119" s="868" t="s">
        <v>1588</v>
      </c>
      <c r="L119" s="884">
        <v>0.75</v>
      </c>
      <c r="M119" s="884">
        <v>1</v>
      </c>
      <c r="N119" s="1142">
        <v>1</v>
      </c>
      <c r="O119" s="843">
        <v>0</v>
      </c>
      <c r="P119" s="843">
        <v>0</v>
      </c>
      <c r="Q119" s="843">
        <v>1</v>
      </c>
      <c r="R119" s="1143">
        <v>46198.752997685187</v>
      </c>
      <c r="S119" s="843">
        <v>1</v>
      </c>
      <c r="T119" s="843">
        <v>1</v>
      </c>
    </row>
    <row r="120" spans="3:20" ht="21.95" customHeight="1">
      <c r="C120" s="843">
        <v>93</v>
      </c>
      <c r="D120" s="843">
        <v>68</v>
      </c>
      <c r="E120" s="843" t="s">
        <v>2454</v>
      </c>
      <c r="F120" s="868" t="s">
        <v>3044</v>
      </c>
      <c r="G120" s="843">
        <v>1</v>
      </c>
      <c r="H120" s="843">
        <v>2</v>
      </c>
      <c r="I120" s="843">
        <v>2</v>
      </c>
      <c r="K120" s="868" t="s">
        <v>1588</v>
      </c>
      <c r="L120" s="884">
        <v>0.52500000000000002</v>
      </c>
      <c r="M120" s="884">
        <v>0.75</v>
      </c>
      <c r="N120" s="1142">
        <v>0.75</v>
      </c>
      <c r="O120" s="843">
        <v>0</v>
      </c>
      <c r="P120" s="843">
        <v>0</v>
      </c>
      <c r="Q120" s="843">
        <v>1</v>
      </c>
      <c r="R120" s="1143">
        <v>46198.752997685187</v>
      </c>
      <c r="S120" s="843">
        <v>1</v>
      </c>
      <c r="T120" s="843">
        <v>1</v>
      </c>
    </row>
    <row r="121" spans="3:20" ht="21.95" customHeight="1">
      <c r="C121" s="843">
        <v>94</v>
      </c>
      <c r="D121" s="843">
        <v>69</v>
      </c>
      <c r="E121" s="843" t="s">
        <v>2457</v>
      </c>
      <c r="F121" s="868" t="s">
        <v>3045</v>
      </c>
      <c r="G121" s="843">
        <v>1</v>
      </c>
      <c r="H121" s="843">
        <v>2</v>
      </c>
      <c r="I121" s="843">
        <v>2</v>
      </c>
      <c r="K121" s="868" t="s">
        <v>1588</v>
      </c>
      <c r="L121" s="884">
        <v>0.25</v>
      </c>
      <c r="M121" s="884">
        <v>0.5</v>
      </c>
      <c r="N121" s="1142">
        <v>0.5</v>
      </c>
      <c r="O121" s="843">
        <v>0</v>
      </c>
      <c r="P121" s="843">
        <v>0</v>
      </c>
      <c r="Q121" s="843">
        <v>1</v>
      </c>
      <c r="R121" s="1143">
        <v>46198.752997685187</v>
      </c>
      <c r="S121" s="843">
        <v>1</v>
      </c>
      <c r="T121" s="843">
        <v>1</v>
      </c>
    </row>
    <row r="122" spans="3:20" ht="21.95" customHeight="1">
      <c r="C122" s="843">
        <v>95</v>
      </c>
      <c r="D122" s="843">
        <v>70</v>
      </c>
      <c r="E122" s="843" t="s">
        <v>2460</v>
      </c>
      <c r="F122" s="868" t="s">
        <v>3046</v>
      </c>
      <c r="G122" s="843">
        <v>1</v>
      </c>
      <c r="H122" s="843">
        <v>2</v>
      </c>
      <c r="I122" s="843">
        <v>2</v>
      </c>
      <c r="K122" s="868" t="s">
        <v>1588</v>
      </c>
      <c r="L122" s="884">
        <v>0.15</v>
      </c>
      <c r="M122" s="884">
        <v>0.25</v>
      </c>
      <c r="N122" s="1142">
        <v>0.25</v>
      </c>
      <c r="O122" s="843">
        <v>0</v>
      </c>
      <c r="P122" s="843">
        <v>0</v>
      </c>
      <c r="Q122" s="843">
        <v>1</v>
      </c>
      <c r="R122" s="1143">
        <v>46198.752997685187</v>
      </c>
      <c r="S122" s="843">
        <v>1</v>
      </c>
      <c r="T122" s="843">
        <v>1</v>
      </c>
    </row>
    <row r="123" spans="3:20" ht="21.95" customHeight="1">
      <c r="C123" s="843">
        <v>96</v>
      </c>
      <c r="D123" s="843">
        <v>71</v>
      </c>
      <c r="E123" s="843" t="s">
        <v>2462</v>
      </c>
      <c r="F123" s="868" t="s">
        <v>3047</v>
      </c>
      <c r="G123" s="843">
        <v>1</v>
      </c>
      <c r="H123" s="843">
        <v>2</v>
      </c>
      <c r="I123" s="843">
        <v>2</v>
      </c>
      <c r="K123" s="868" t="s">
        <v>1588</v>
      </c>
      <c r="L123" s="884">
        <v>0.11</v>
      </c>
      <c r="M123" s="884">
        <v>0.2</v>
      </c>
      <c r="N123" s="1142">
        <v>0.2</v>
      </c>
      <c r="O123" s="843">
        <v>0</v>
      </c>
      <c r="P123" s="843">
        <v>0</v>
      </c>
      <c r="Q123" s="843">
        <v>1</v>
      </c>
      <c r="R123" s="1143">
        <v>46198.752997685187</v>
      </c>
      <c r="S123" s="843">
        <v>1</v>
      </c>
      <c r="T123" s="843">
        <v>1</v>
      </c>
    </row>
    <row r="124" spans="3:20" ht="21.95" customHeight="1">
      <c r="C124" s="843">
        <v>97</v>
      </c>
      <c r="D124" s="843">
        <v>72</v>
      </c>
      <c r="E124" s="843" t="s">
        <v>2464</v>
      </c>
      <c r="F124" s="868" t="s">
        <v>3048</v>
      </c>
      <c r="G124" s="843">
        <v>1</v>
      </c>
      <c r="H124" s="843">
        <v>2</v>
      </c>
      <c r="I124" s="843">
        <v>2</v>
      </c>
      <c r="K124" s="868" t="s">
        <v>1588</v>
      </c>
      <c r="L124" s="884">
        <v>2.4500000000000002</v>
      </c>
      <c r="M124" s="884">
        <v>2.8</v>
      </c>
      <c r="N124" s="1142">
        <v>2.8</v>
      </c>
      <c r="O124" s="843">
        <v>0</v>
      </c>
      <c r="P124" s="843">
        <v>0</v>
      </c>
      <c r="Q124" s="843">
        <v>1</v>
      </c>
      <c r="R124" s="1143">
        <v>46198.752997685187</v>
      </c>
      <c r="S124" s="843">
        <v>1</v>
      </c>
      <c r="T124" s="843">
        <v>1</v>
      </c>
    </row>
    <row r="125" spans="3:20" ht="21.95" customHeight="1">
      <c r="C125" s="843">
        <v>98</v>
      </c>
      <c r="D125" s="843">
        <v>73</v>
      </c>
      <c r="E125" s="843" t="s">
        <v>2466</v>
      </c>
      <c r="F125" s="868" t="s">
        <v>3049</v>
      </c>
      <c r="G125" s="843">
        <v>1</v>
      </c>
      <c r="H125" s="843">
        <v>2</v>
      </c>
      <c r="I125" s="843">
        <v>2</v>
      </c>
      <c r="K125" s="868" t="s">
        <v>1588</v>
      </c>
      <c r="L125" s="884">
        <v>0.34</v>
      </c>
      <c r="M125" s="884">
        <v>0.5</v>
      </c>
      <c r="N125" s="1142">
        <v>0.5</v>
      </c>
      <c r="O125" s="843">
        <v>0</v>
      </c>
      <c r="P125" s="843">
        <v>0</v>
      </c>
      <c r="Q125" s="843">
        <v>1</v>
      </c>
      <c r="R125" s="1143">
        <v>46198.752997685187</v>
      </c>
      <c r="S125" s="843">
        <v>1</v>
      </c>
      <c r="T125" s="843">
        <v>1</v>
      </c>
    </row>
    <row r="126" spans="3:20" ht="21.95" customHeight="1">
      <c r="C126" s="843">
        <v>99</v>
      </c>
      <c r="D126" s="843">
        <v>74</v>
      </c>
      <c r="E126" s="843" t="s">
        <v>2468</v>
      </c>
      <c r="F126" s="868" t="s">
        <v>3050</v>
      </c>
      <c r="G126" s="843">
        <v>1</v>
      </c>
      <c r="H126" s="843">
        <v>2</v>
      </c>
      <c r="I126" s="843">
        <v>2</v>
      </c>
      <c r="K126" s="868" t="s">
        <v>1588</v>
      </c>
      <c r="L126" s="884">
        <v>0.187</v>
      </c>
      <c r="M126" s="884">
        <v>0.25</v>
      </c>
      <c r="N126" s="1142">
        <v>0.25</v>
      </c>
      <c r="O126" s="843">
        <v>0</v>
      </c>
      <c r="P126" s="843">
        <v>0</v>
      </c>
      <c r="Q126" s="843">
        <v>1</v>
      </c>
      <c r="R126" s="1143">
        <v>46198.752997685187</v>
      </c>
      <c r="S126" s="843">
        <v>1</v>
      </c>
      <c r="T126" s="843">
        <v>1</v>
      </c>
    </row>
    <row r="127" spans="3:20" ht="21.95" customHeight="1">
      <c r="C127" s="843">
        <v>100</v>
      </c>
      <c r="D127" s="843">
        <v>75</v>
      </c>
      <c r="E127" s="843" t="s">
        <v>2470</v>
      </c>
      <c r="F127" s="868" t="s">
        <v>3051</v>
      </c>
      <c r="G127" s="843">
        <v>1</v>
      </c>
      <c r="H127" s="843">
        <v>2</v>
      </c>
      <c r="I127" s="843">
        <v>2</v>
      </c>
      <c r="K127" s="868" t="s">
        <v>1588</v>
      </c>
      <c r="L127" s="884">
        <v>0.128</v>
      </c>
      <c r="M127" s="884">
        <v>0.2</v>
      </c>
      <c r="N127" s="1142">
        <v>0.2</v>
      </c>
      <c r="O127" s="843">
        <v>0</v>
      </c>
      <c r="P127" s="843">
        <v>0</v>
      </c>
      <c r="Q127" s="843">
        <v>1</v>
      </c>
      <c r="R127" s="1143">
        <v>46198.752997685187</v>
      </c>
      <c r="S127" s="843">
        <v>1</v>
      </c>
      <c r="T127" s="843">
        <v>1</v>
      </c>
    </row>
    <row r="128" spans="3:20" ht="21.95" customHeight="1">
      <c r="C128" s="843">
        <v>101</v>
      </c>
      <c r="D128" s="843">
        <v>76</v>
      </c>
      <c r="E128" s="843" t="s">
        <v>2471</v>
      </c>
      <c r="F128" s="868" t="s">
        <v>3052</v>
      </c>
      <c r="G128" s="843">
        <v>1</v>
      </c>
      <c r="H128" s="843">
        <v>2</v>
      </c>
      <c r="I128" s="843">
        <v>52</v>
      </c>
      <c r="K128" s="868" t="s">
        <v>1588</v>
      </c>
      <c r="L128" s="884">
        <v>1.35</v>
      </c>
      <c r="M128" s="884">
        <v>1.75</v>
      </c>
      <c r="N128" s="1142">
        <v>1.75</v>
      </c>
      <c r="O128" s="843">
        <v>0</v>
      </c>
      <c r="P128" s="843">
        <v>0</v>
      </c>
      <c r="Q128" s="843">
        <v>1</v>
      </c>
      <c r="R128" s="1143">
        <v>46198.752997685187</v>
      </c>
      <c r="S128" s="843">
        <v>1</v>
      </c>
      <c r="T128" s="843">
        <v>1</v>
      </c>
    </row>
    <row r="129" spans="3:20" ht="21.95" customHeight="1">
      <c r="C129" s="843">
        <v>102</v>
      </c>
      <c r="D129" s="843">
        <v>77</v>
      </c>
      <c r="E129" s="843" t="s">
        <v>2472</v>
      </c>
      <c r="F129" s="868" t="s">
        <v>3053</v>
      </c>
      <c r="G129" s="843">
        <v>1</v>
      </c>
      <c r="H129" s="843">
        <v>2</v>
      </c>
      <c r="I129" s="843">
        <v>45</v>
      </c>
      <c r="K129" s="868" t="s">
        <v>1588</v>
      </c>
      <c r="L129" s="884">
        <v>8.8000000000000007</v>
      </c>
      <c r="M129" s="884">
        <v>9.5</v>
      </c>
      <c r="N129" s="1142">
        <v>9.5</v>
      </c>
      <c r="O129" s="843">
        <v>0</v>
      </c>
      <c r="P129" s="843">
        <v>0</v>
      </c>
      <c r="Q129" s="843">
        <v>1</v>
      </c>
      <c r="R129" s="1143">
        <v>46198.752997685187</v>
      </c>
      <c r="S129" s="843">
        <v>1</v>
      </c>
      <c r="T129" s="843">
        <v>1</v>
      </c>
    </row>
    <row r="130" spans="3:20" ht="21.95" customHeight="1">
      <c r="C130" s="843">
        <v>103</v>
      </c>
      <c r="D130" s="843">
        <v>77</v>
      </c>
      <c r="E130" s="843" t="s">
        <v>2472</v>
      </c>
      <c r="F130" s="868" t="s">
        <v>3053</v>
      </c>
      <c r="G130" s="843">
        <v>1</v>
      </c>
      <c r="H130" s="843">
        <v>2</v>
      </c>
      <c r="I130" s="843">
        <v>16</v>
      </c>
      <c r="K130" s="868" t="s">
        <v>1588</v>
      </c>
      <c r="L130" s="884">
        <v>8.8000000000000007</v>
      </c>
      <c r="M130" s="884">
        <v>0.19</v>
      </c>
      <c r="N130" s="1142">
        <v>0.19</v>
      </c>
      <c r="O130" s="843">
        <v>0</v>
      </c>
      <c r="P130" s="843">
        <v>0</v>
      </c>
      <c r="Q130" s="843">
        <v>1</v>
      </c>
      <c r="R130" s="1143">
        <v>46198.752997685187</v>
      </c>
      <c r="S130" s="843">
        <v>1</v>
      </c>
      <c r="T130" s="843">
        <v>1</v>
      </c>
    </row>
    <row r="131" spans="3:20" ht="21.95" customHeight="1">
      <c r="C131" s="843">
        <v>104</v>
      </c>
      <c r="D131" s="843">
        <v>78</v>
      </c>
      <c r="E131" s="843" t="s">
        <v>2473</v>
      </c>
      <c r="F131" s="868" t="s">
        <v>3054</v>
      </c>
      <c r="G131" s="843">
        <v>1</v>
      </c>
      <c r="H131" s="843">
        <v>2</v>
      </c>
      <c r="I131" s="843">
        <v>45</v>
      </c>
      <c r="K131" s="868" t="s">
        <v>1588</v>
      </c>
      <c r="L131" s="884">
        <v>6</v>
      </c>
      <c r="M131" s="884">
        <v>6.5</v>
      </c>
      <c r="N131" s="1142">
        <v>6.5</v>
      </c>
      <c r="O131" s="843">
        <v>0</v>
      </c>
      <c r="P131" s="843">
        <v>0</v>
      </c>
      <c r="Q131" s="843">
        <v>1</v>
      </c>
      <c r="R131" s="1143">
        <v>46198.752997685187</v>
      </c>
      <c r="S131" s="843">
        <v>1</v>
      </c>
      <c r="T131" s="843">
        <v>1</v>
      </c>
    </row>
    <row r="132" spans="3:20" ht="21.95" customHeight="1">
      <c r="C132" s="843">
        <v>105</v>
      </c>
      <c r="D132" s="843">
        <v>78</v>
      </c>
      <c r="E132" s="843" t="s">
        <v>2473</v>
      </c>
      <c r="F132" s="868" t="s">
        <v>3054</v>
      </c>
      <c r="G132" s="843">
        <v>1</v>
      </c>
      <c r="H132" s="843">
        <v>2</v>
      </c>
      <c r="I132" s="843">
        <v>16</v>
      </c>
      <c r="K132" s="868" t="s">
        <v>1588</v>
      </c>
      <c r="L132" s="884">
        <v>6</v>
      </c>
      <c r="M132" s="884">
        <v>0.13</v>
      </c>
      <c r="N132" s="1142">
        <v>0.13</v>
      </c>
      <c r="O132" s="843">
        <v>0</v>
      </c>
      <c r="P132" s="843">
        <v>0</v>
      </c>
      <c r="Q132" s="843">
        <v>1</v>
      </c>
      <c r="R132" s="1143">
        <v>46198.752997685187</v>
      </c>
      <c r="S132" s="843">
        <v>1</v>
      </c>
      <c r="T132" s="843">
        <v>1</v>
      </c>
    </row>
    <row r="133" spans="3:20" ht="21.95" customHeight="1">
      <c r="C133" s="843">
        <v>106</v>
      </c>
      <c r="D133" s="843">
        <v>79</v>
      </c>
      <c r="E133" s="843" t="s">
        <v>2475</v>
      </c>
      <c r="F133" s="868" t="s">
        <v>3055</v>
      </c>
      <c r="G133" s="843">
        <v>1</v>
      </c>
      <c r="H133" s="843">
        <v>2</v>
      </c>
      <c r="I133" s="843">
        <v>45</v>
      </c>
      <c r="K133" s="868" t="s">
        <v>1588</v>
      </c>
      <c r="L133" s="884">
        <v>5</v>
      </c>
      <c r="M133" s="884">
        <v>5.5</v>
      </c>
      <c r="N133" s="1142">
        <v>5.5</v>
      </c>
      <c r="O133" s="843">
        <v>0</v>
      </c>
      <c r="P133" s="843">
        <v>0</v>
      </c>
      <c r="Q133" s="843">
        <v>1</v>
      </c>
      <c r="R133" s="1143">
        <v>46198.752997685187</v>
      </c>
      <c r="S133" s="843">
        <v>1</v>
      </c>
      <c r="T133" s="843">
        <v>1</v>
      </c>
    </row>
    <row r="134" spans="3:20" ht="21.95" customHeight="1">
      <c r="C134" s="843">
        <v>107</v>
      </c>
      <c r="D134" s="843">
        <v>79</v>
      </c>
      <c r="E134" s="843" t="s">
        <v>2475</v>
      </c>
      <c r="F134" s="868" t="s">
        <v>3055</v>
      </c>
      <c r="G134" s="843">
        <v>1</v>
      </c>
      <c r="H134" s="843">
        <v>2</v>
      </c>
      <c r="I134" s="843">
        <v>16</v>
      </c>
      <c r="K134" s="868" t="s">
        <v>1588</v>
      </c>
      <c r="L134" s="884">
        <v>5</v>
      </c>
      <c r="M134" s="884">
        <v>0.11</v>
      </c>
      <c r="N134" s="1142">
        <v>0.11</v>
      </c>
      <c r="O134" s="843">
        <v>0</v>
      </c>
      <c r="P134" s="843">
        <v>0</v>
      </c>
      <c r="Q134" s="843">
        <v>1</v>
      </c>
      <c r="R134" s="1143">
        <v>46198.752997685187</v>
      </c>
      <c r="S134" s="843">
        <v>1</v>
      </c>
      <c r="T134" s="843">
        <v>1</v>
      </c>
    </row>
    <row r="135" spans="3:20" ht="21.95" customHeight="1">
      <c r="C135" s="843">
        <v>108</v>
      </c>
      <c r="D135" s="843">
        <v>80</v>
      </c>
      <c r="E135" s="843" t="s">
        <v>2477</v>
      </c>
      <c r="F135" s="868" t="s">
        <v>3056</v>
      </c>
      <c r="G135" s="843">
        <v>1</v>
      </c>
      <c r="H135" s="843">
        <v>2</v>
      </c>
      <c r="I135" s="843">
        <v>36</v>
      </c>
      <c r="K135" s="868" t="s">
        <v>1588</v>
      </c>
      <c r="L135" s="884">
        <v>21</v>
      </c>
      <c r="M135" s="884">
        <v>30</v>
      </c>
      <c r="N135" s="1142">
        <v>30</v>
      </c>
      <c r="O135" s="843">
        <v>0</v>
      </c>
      <c r="P135" s="843">
        <v>0</v>
      </c>
      <c r="Q135" s="843">
        <v>1</v>
      </c>
      <c r="R135" s="1143">
        <v>46198.752997685187</v>
      </c>
      <c r="S135" s="843">
        <v>1</v>
      </c>
      <c r="T135" s="843">
        <v>1</v>
      </c>
    </row>
    <row r="136" spans="3:20" ht="21.95" customHeight="1">
      <c r="C136" s="843">
        <v>109</v>
      </c>
      <c r="D136" s="843">
        <v>80</v>
      </c>
      <c r="E136" s="843" t="s">
        <v>2477</v>
      </c>
      <c r="F136" s="868" t="s">
        <v>3056</v>
      </c>
      <c r="G136" s="843">
        <v>1</v>
      </c>
      <c r="H136" s="843">
        <v>2</v>
      </c>
      <c r="I136" s="843">
        <v>2</v>
      </c>
      <c r="K136" s="868" t="s">
        <v>1588</v>
      </c>
      <c r="L136" s="884">
        <v>21</v>
      </c>
      <c r="M136" s="884">
        <v>0.2</v>
      </c>
      <c r="N136" s="1142">
        <v>0.2</v>
      </c>
      <c r="O136" s="843">
        <v>0</v>
      </c>
      <c r="P136" s="843">
        <v>0</v>
      </c>
      <c r="Q136" s="843">
        <v>1</v>
      </c>
      <c r="R136" s="1143">
        <v>46198.752997685187</v>
      </c>
      <c r="S136" s="843">
        <v>1</v>
      </c>
      <c r="T136" s="843">
        <v>1</v>
      </c>
    </row>
    <row r="137" spans="3:20" ht="21.95" customHeight="1">
      <c r="C137" s="843">
        <v>110</v>
      </c>
      <c r="D137" s="843">
        <v>81</v>
      </c>
      <c r="E137" s="843" t="s">
        <v>2479</v>
      </c>
      <c r="F137" s="868" t="s">
        <v>3057</v>
      </c>
      <c r="G137" s="843">
        <v>1</v>
      </c>
      <c r="H137" s="843">
        <v>2</v>
      </c>
      <c r="I137" s="843">
        <v>26</v>
      </c>
      <c r="K137" s="868" t="s">
        <v>1588</v>
      </c>
      <c r="L137" s="884">
        <v>74.400000000000006</v>
      </c>
      <c r="M137" s="884">
        <v>84</v>
      </c>
      <c r="N137" s="1142">
        <v>84</v>
      </c>
      <c r="O137" s="843">
        <v>0</v>
      </c>
      <c r="P137" s="843">
        <v>0</v>
      </c>
      <c r="Q137" s="843">
        <v>1</v>
      </c>
      <c r="R137" s="1143">
        <v>46198.752997685187</v>
      </c>
      <c r="S137" s="843">
        <v>1</v>
      </c>
      <c r="T137" s="843">
        <v>1</v>
      </c>
    </row>
    <row r="138" spans="3:20" ht="21.95" customHeight="1">
      <c r="C138" s="843">
        <v>111</v>
      </c>
      <c r="D138" s="843">
        <v>81</v>
      </c>
      <c r="E138" s="843" t="s">
        <v>2479</v>
      </c>
      <c r="F138" s="868" t="s">
        <v>3057</v>
      </c>
      <c r="G138" s="843">
        <v>1</v>
      </c>
      <c r="H138" s="843">
        <v>2</v>
      </c>
      <c r="I138" s="843">
        <v>2</v>
      </c>
      <c r="K138" s="868" t="s">
        <v>1588</v>
      </c>
      <c r="L138" s="884">
        <v>74.400000000000006</v>
      </c>
      <c r="M138" s="884">
        <v>7</v>
      </c>
      <c r="N138" s="1142">
        <v>7</v>
      </c>
      <c r="O138" s="843">
        <v>0</v>
      </c>
      <c r="P138" s="843">
        <v>0</v>
      </c>
      <c r="Q138" s="843">
        <v>1</v>
      </c>
      <c r="R138" s="1143">
        <v>46198.752997685187</v>
      </c>
      <c r="S138" s="843">
        <v>1</v>
      </c>
      <c r="T138" s="843">
        <v>1</v>
      </c>
    </row>
    <row r="139" spans="3:20" ht="21.95" customHeight="1">
      <c r="C139" s="843">
        <v>112</v>
      </c>
      <c r="D139" s="843">
        <v>82</v>
      </c>
      <c r="E139" s="843" t="s">
        <v>2481</v>
      </c>
      <c r="F139" s="868" t="s">
        <v>3058</v>
      </c>
      <c r="G139" s="843">
        <v>1</v>
      </c>
      <c r="H139" s="843">
        <v>2</v>
      </c>
      <c r="I139" s="843">
        <v>32</v>
      </c>
      <c r="K139" s="868" t="s">
        <v>1588</v>
      </c>
      <c r="L139" s="884">
        <v>31.2</v>
      </c>
      <c r="M139" s="884">
        <v>38.400000000000006</v>
      </c>
      <c r="N139" s="1142">
        <v>38.400000000000006</v>
      </c>
      <c r="O139" s="843">
        <v>0</v>
      </c>
      <c r="P139" s="843">
        <v>0</v>
      </c>
      <c r="Q139" s="843">
        <v>1</v>
      </c>
      <c r="R139" s="1143">
        <v>46198.752997685187</v>
      </c>
      <c r="S139" s="843">
        <v>1</v>
      </c>
      <c r="T139" s="843">
        <v>1</v>
      </c>
    </row>
    <row r="140" spans="3:20" ht="21.95" customHeight="1">
      <c r="C140" s="843">
        <v>113</v>
      </c>
      <c r="D140" s="843">
        <v>82</v>
      </c>
      <c r="E140" s="843" t="s">
        <v>2481</v>
      </c>
      <c r="F140" s="868" t="s">
        <v>3058</v>
      </c>
      <c r="G140" s="843">
        <v>1</v>
      </c>
      <c r="H140" s="843">
        <v>2</v>
      </c>
      <c r="I140" s="843">
        <v>2</v>
      </c>
      <c r="K140" s="868" t="s">
        <v>1588</v>
      </c>
      <c r="L140" s="884">
        <v>31.2</v>
      </c>
      <c r="M140" s="884">
        <v>1.6</v>
      </c>
      <c r="N140" s="1142">
        <v>1.6</v>
      </c>
      <c r="O140" s="843">
        <v>0</v>
      </c>
      <c r="P140" s="843">
        <v>0</v>
      </c>
      <c r="Q140" s="843">
        <v>1</v>
      </c>
      <c r="R140" s="1143">
        <v>46198.752997685187</v>
      </c>
      <c r="S140" s="843">
        <v>1</v>
      </c>
      <c r="T140" s="843">
        <v>1</v>
      </c>
    </row>
    <row r="141" spans="3:20" ht="21.95" customHeight="1">
      <c r="C141" s="843">
        <v>114</v>
      </c>
      <c r="D141" s="843">
        <v>83</v>
      </c>
      <c r="E141" s="843" t="s">
        <v>2482</v>
      </c>
      <c r="F141" s="868" t="s">
        <v>3059</v>
      </c>
      <c r="G141" s="843">
        <v>1</v>
      </c>
      <c r="H141" s="843">
        <v>2</v>
      </c>
      <c r="I141" s="843">
        <v>32</v>
      </c>
      <c r="K141" s="868" t="s">
        <v>1588</v>
      </c>
      <c r="L141" s="884">
        <v>24</v>
      </c>
      <c r="M141" s="884">
        <v>30</v>
      </c>
      <c r="N141" s="1142">
        <v>30</v>
      </c>
      <c r="O141" s="843">
        <v>0</v>
      </c>
      <c r="P141" s="843">
        <v>0</v>
      </c>
      <c r="Q141" s="843">
        <v>1</v>
      </c>
      <c r="R141" s="1143">
        <v>46198.752997685187</v>
      </c>
      <c r="S141" s="843">
        <v>1</v>
      </c>
      <c r="T141" s="843">
        <v>1</v>
      </c>
    </row>
    <row r="142" spans="3:20" ht="21.95" customHeight="1">
      <c r="C142" s="843">
        <v>115</v>
      </c>
      <c r="D142" s="843">
        <v>83</v>
      </c>
      <c r="E142" s="843" t="s">
        <v>2482</v>
      </c>
      <c r="F142" s="868" t="s">
        <v>3059</v>
      </c>
      <c r="G142" s="843">
        <v>1</v>
      </c>
      <c r="H142" s="843">
        <v>2</v>
      </c>
      <c r="I142" s="843">
        <v>2</v>
      </c>
      <c r="K142" s="868" t="s">
        <v>1588</v>
      </c>
      <c r="L142" s="884">
        <v>24</v>
      </c>
      <c r="M142" s="884">
        <v>1.25</v>
      </c>
      <c r="N142" s="1142">
        <v>1.25</v>
      </c>
      <c r="O142" s="843">
        <v>0</v>
      </c>
      <c r="P142" s="843">
        <v>0</v>
      </c>
      <c r="Q142" s="843">
        <v>1</v>
      </c>
      <c r="R142" s="1143">
        <v>46198.752997685187</v>
      </c>
      <c r="S142" s="843">
        <v>1</v>
      </c>
      <c r="T142" s="843">
        <v>1</v>
      </c>
    </row>
    <row r="143" spans="3:20" ht="21.95" customHeight="1">
      <c r="C143" s="843">
        <v>116</v>
      </c>
      <c r="D143" s="843">
        <v>84</v>
      </c>
      <c r="E143" s="843" t="s">
        <v>2484</v>
      </c>
      <c r="F143" s="868" t="s">
        <v>3060</v>
      </c>
      <c r="G143" s="843">
        <v>1</v>
      </c>
      <c r="H143" s="843">
        <v>2</v>
      </c>
      <c r="I143" s="843">
        <v>26</v>
      </c>
      <c r="K143" s="868" t="s">
        <v>1588</v>
      </c>
      <c r="L143" s="884">
        <v>14.4</v>
      </c>
      <c r="M143" s="884">
        <v>24</v>
      </c>
      <c r="N143" s="1142">
        <v>24</v>
      </c>
      <c r="O143" s="843">
        <v>0</v>
      </c>
      <c r="P143" s="843">
        <v>0</v>
      </c>
      <c r="Q143" s="843">
        <v>1</v>
      </c>
      <c r="R143" s="1143">
        <v>46198.752997685187</v>
      </c>
      <c r="S143" s="843">
        <v>1</v>
      </c>
      <c r="T143" s="843">
        <v>1</v>
      </c>
    </row>
    <row r="144" spans="3:20" ht="21.95" customHeight="1">
      <c r="C144" s="843">
        <v>117</v>
      </c>
      <c r="D144" s="843">
        <v>84</v>
      </c>
      <c r="E144" s="843" t="s">
        <v>2484</v>
      </c>
      <c r="F144" s="868" t="s">
        <v>3060</v>
      </c>
      <c r="G144" s="843">
        <v>1</v>
      </c>
      <c r="H144" s="843">
        <v>2</v>
      </c>
      <c r="I144" s="843">
        <v>2</v>
      </c>
      <c r="K144" s="868" t="s">
        <v>1588</v>
      </c>
      <c r="L144" s="884">
        <v>14.4</v>
      </c>
      <c r="M144" s="884">
        <v>2</v>
      </c>
      <c r="N144" s="1142">
        <v>2</v>
      </c>
      <c r="O144" s="843">
        <v>0</v>
      </c>
      <c r="P144" s="843">
        <v>0</v>
      </c>
      <c r="Q144" s="843">
        <v>1</v>
      </c>
      <c r="R144" s="1143">
        <v>46198.752997685187</v>
      </c>
      <c r="S144" s="843">
        <v>1</v>
      </c>
      <c r="T144" s="843">
        <v>1</v>
      </c>
    </row>
    <row r="145" spans="3:20" ht="21.95" customHeight="1">
      <c r="C145" s="843">
        <v>118</v>
      </c>
      <c r="D145" s="843">
        <v>85</v>
      </c>
      <c r="E145" s="843" t="s">
        <v>2486</v>
      </c>
      <c r="F145" s="868" t="s">
        <v>3061</v>
      </c>
      <c r="G145" s="843">
        <v>1</v>
      </c>
      <c r="H145" s="843">
        <v>2</v>
      </c>
      <c r="I145" s="843">
        <v>52</v>
      </c>
      <c r="K145" s="868" t="s">
        <v>1588</v>
      </c>
      <c r="L145" s="884">
        <v>1</v>
      </c>
      <c r="M145" s="884">
        <v>1.5</v>
      </c>
      <c r="N145" s="1142">
        <v>1.5</v>
      </c>
      <c r="O145" s="843">
        <v>0</v>
      </c>
      <c r="P145" s="843">
        <v>0</v>
      </c>
      <c r="Q145" s="843">
        <v>1</v>
      </c>
      <c r="R145" s="1143">
        <v>46198.752997685187</v>
      </c>
      <c r="S145" s="843">
        <v>1</v>
      </c>
      <c r="T145" s="843">
        <v>1</v>
      </c>
    </row>
    <row r="146" spans="3:20" ht="21.95" customHeight="1">
      <c r="C146" s="843">
        <v>119</v>
      </c>
      <c r="D146" s="843">
        <v>86</v>
      </c>
      <c r="E146" s="843" t="s">
        <v>2488</v>
      </c>
      <c r="F146" s="868" t="s">
        <v>3062</v>
      </c>
      <c r="G146" s="843">
        <v>1</v>
      </c>
      <c r="H146" s="843">
        <v>2</v>
      </c>
      <c r="I146" s="843">
        <v>40</v>
      </c>
      <c r="K146" s="868" t="s">
        <v>1588</v>
      </c>
      <c r="L146" s="884">
        <v>92.16</v>
      </c>
      <c r="M146" s="884">
        <v>144</v>
      </c>
      <c r="N146" s="1142">
        <v>144</v>
      </c>
      <c r="O146" s="843">
        <v>0</v>
      </c>
      <c r="P146" s="843">
        <v>0</v>
      </c>
      <c r="Q146" s="843">
        <v>1</v>
      </c>
      <c r="R146" s="1143">
        <v>46198.752997685187</v>
      </c>
      <c r="S146" s="843">
        <v>1</v>
      </c>
      <c r="T146" s="843">
        <v>1</v>
      </c>
    </row>
    <row r="147" spans="3:20" ht="21.95" customHeight="1">
      <c r="C147" s="843">
        <v>120</v>
      </c>
      <c r="D147" s="843">
        <v>86</v>
      </c>
      <c r="E147" s="843" t="s">
        <v>2488</v>
      </c>
      <c r="F147" s="868" t="s">
        <v>3062</v>
      </c>
      <c r="G147" s="843">
        <v>1</v>
      </c>
      <c r="H147" s="843">
        <v>2</v>
      </c>
      <c r="I147" s="843">
        <v>2</v>
      </c>
      <c r="K147" s="868" t="s">
        <v>1588</v>
      </c>
      <c r="L147" s="884">
        <v>92.16</v>
      </c>
      <c r="M147" s="884">
        <v>0.5</v>
      </c>
      <c r="N147" s="1142">
        <v>0.5</v>
      </c>
      <c r="O147" s="843">
        <v>0</v>
      </c>
      <c r="P147" s="843">
        <v>0</v>
      </c>
      <c r="Q147" s="843">
        <v>1</v>
      </c>
      <c r="R147" s="1143">
        <v>46198.752997685187</v>
      </c>
      <c r="S147" s="843">
        <v>1</v>
      </c>
      <c r="T147" s="843">
        <v>1</v>
      </c>
    </row>
    <row r="148" spans="3:20" ht="21.95" customHeight="1">
      <c r="C148" s="843">
        <v>121</v>
      </c>
      <c r="D148" s="843">
        <v>87</v>
      </c>
      <c r="E148" s="843" t="s">
        <v>2490</v>
      </c>
      <c r="F148" s="868" t="s">
        <v>3063</v>
      </c>
      <c r="G148" s="843">
        <v>1</v>
      </c>
      <c r="H148" s="843">
        <v>2</v>
      </c>
      <c r="I148" s="843">
        <v>41</v>
      </c>
      <c r="K148" s="868" t="s">
        <v>1588</v>
      </c>
      <c r="L148" s="884">
        <v>0.317</v>
      </c>
      <c r="M148" s="884">
        <v>189</v>
      </c>
      <c r="N148" s="1142">
        <v>189</v>
      </c>
      <c r="O148" s="843">
        <v>0</v>
      </c>
      <c r="P148" s="843">
        <v>0</v>
      </c>
      <c r="Q148" s="843">
        <v>1</v>
      </c>
      <c r="R148" s="1143">
        <v>46198.752997685187</v>
      </c>
      <c r="S148" s="843">
        <v>1</v>
      </c>
      <c r="T148" s="843">
        <v>1</v>
      </c>
    </row>
    <row r="149" spans="3:20" ht="21.95" customHeight="1">
      <c r="C149" s="843">
        <v>122</v>
      </c>
      <c r="D149" s="843">
        <v>87</v>
      </c>
      <c r="E149" s="843" t="s">
        <v>2490</v>
      </c>
      <c r="F149" s="868" t="s">
        <v>3063</v>
      </c>
      <c r="G149" s="843">
        <v>1</v>
      </c>
      <c r="H149" s="843">
        <v>2</v>
      </c>
      <c r="I149" s="843">
        <v>2</v>
      </c>
      <c r="K149" s="868" t="s">
        <v>1588</v>
      </c>
      <c r="L149" s="884">
        <v>0.317</v>
      </c>
      <c r="M149" s="884">
        <v>0.5</v>
      </c>
      <c r="N149" s="1142">
        <v>0.5</v>
      </c>
      <c r="O149" s="843">
        <v>0</v>
      </c>
      <c r="P149" s="843">
        <v>0</v>
      </c>
      <c r="Q149" s="843">
        <v>1</v>
      </c>
      <c r="R149" s="1143">
        <v>46198.752997685187</v>
      </c>
      <c r="S149" s="843">
        <v>1</v>
      </c>
      <c r="T149" s="843">
        <v>1</v>
      </c>
    </row>
    <row r="150" spans="3:20" ht="21.95" customHeight="1">
      <c r="C150" s="843">
        <v>123</v>
      </c>
      <c r="D150" s="843">
        <v>88</v>
      </c>
      <c r="E150" s="843" t="s">
        <v>2492</v>
      </c>
      <c r="F150" s="868" t="s">
        <v>3064</v>
      </c>
      <c r="G150" s="843">
        <v>1</v>
      </c>
      <c r="H150" s="843">
        <v>2</v>
      </c>
      <c r="I150" s="843">
        <v>38</v>
      </c>
      <c r="K150" s="868" t="s">
        <v>1588</v>
      </c>
      <c r="L150" s="884">
        <v>82.08</v>
      </c>
      <c r="M150" s="884">
        <v>108</v>
      </c>
      <c r="N150" s="1142">
        <v>108</v>
      </c>
      <c r="O150" s="843">
        <v>0</v>
      </c>
      <c r="P150" s="843">
        <v>0</v>
      </c>
      <c r="Q150" s="843">
        <v>1</v>
      </c>
      <c r="R150" s="1143">
        <v>46198.752997685187</v>
      </c>
      <c r="S150" s="843">
        <v>1</v>
      </c>
      <c r="T150" s="843">
        <v>1</v>
      </c>
    </row>
    <row r="151" spans="3:20" ht="21.95" customHeight="1">
      <c r="C151" s="843">
        <v>124</v>
      </c>
      <c r="D151" s="843">
        <v>88</v>
      </c>
      <c r="E151" s="843" t="s">
        <v>2492</v>
      </c>
      <c r="F151" s="868" t="s">
        <v>3064</v>
      </c>
      <c r="G151" s="843">
        <v>1</v>
      </c>
      <c r="H151" s="843">
        <v>2</v>
      </c>
      <c r="I151" s="843">
        <v>2</v>
      </c>
      <c r="K151" s="868" t="s">
        <v>1588</v>
      </c>
      <c r="L151" s="884">
        <v>82.08</v>
      </c>
      <c r="M151" s="884">
        <v>0.5</v>
      </c>
      <c r="N151" s="1142">
        <v>0.5</v>
      </c>
      <c r="O151" s="843">
        <v>0</v>
      </c>
      <c r="P151" s="843">
        <v>0</v>
      </c>
      <c r="Q151" s="843">
        <v>1</v>
      </c>
      <c r="R151" s="1143">
        <v>46198.752997685187</v>
      </c>
      <c r="S151" s="843">
        <v>1</v>
      </c>
      <c r="T151" s="843">
        <v>1</v>
      </c>
    </row>
    <row r="152" spans="3:20" ht="21.95" customHeight="1">
      <c r="C152" s="843">
        <v>125</v>
      </c>
      <c r="D152" s="843">
        <v>89</v>
      </c>
      <c r="E152" s="843" t="s">
        <v>2494</v>
      </c>
      <c r="F152" s="868" t="s">
        <v>3065</v>
      </c>
      <c r="G152" s="843">
        <v>1</v>
      </c>
      <c r="H152" s="843">
        <v>2</v>
      </c>
      <c r="I152" s="843">
        <v>39</v>
      </c>
      <c r="K152" s="868" t="s">
        <v>1588</v>
      </c>
      <c r="L152" s="884">
        <v>99.1</v>
      </c>
      <c r="M152" s="884">
        <v>135</v>
      </c>
      <c r="N152" s="1142">
        <v>135</v>
      </c>
      <c r="O152" s="843">
        <v>0</v>
      </c>
      <c r="P152" s="843">
        <v>0</v>
      </c>
      <c r="Q152" s="843">
        <v>1</v>
      </c>
      <c r="R152" s="1143">
        <v>46198.752997685187</v>
      </c>
      <c r="S152" s="843">
        <v>1</v>
      </c>
      <c r="T152" s="843">
        <v>1</v>
      </c>
    </row>
    <row r="153" spans="3:20" ht="21.95" customHeight="1">
      <c r="C153" s="843">
        <v>126</v>
      </c>
      <c r="D153" s="843">
        <v>89</v>
      </c>
      <c r="E153" s="843" t="s">
        <v>2494</v>
      </c>
      <c r="F153" s="868" t="s">
        <v>3065</v>
      </c>
      <c r="G153" s="843">
        <v>1</v>
      </c>
      <c r="H153" s="843">
        <v>2</v>
      </c>
      <c r="I153" s="843">
        <v>2</v>
      </c>
      <c r="K153" s="868" t="s">
        <v>1588</v>
      </c>
      <c r="L153" s="884">
        <v>99.1</v>
      </c>
      <c r="M153" s="884">
        <v>0.5</v>
      </c>
      <c r="N153" s="1142">
        <v>0.5</v>
      </c>
      <c r="O153" s="843">
        <v>0</v>
      </c>
      <c r="P153" s="843">
        <v>0</v>
      </c>
      <c r="Q153" s="843">
        <v>1</v>
      </c>
      <c r="R153" s="1143">
        <v>46198.752997685187</v>
      </c>
      <c r="S153" s="843">
        <v>1</v>
      </c>
      <c r="T153" s="843">
        <v>1</v>
      </c>
    </row>
    <row r="154" spans="3:20" ht="21.95" customHeight="1">
      <c r="C154" s="843">
        <v>127</v>
      </c>
      <c r="D154" s="843">
        <v>90</v>
      </c>
      <c r="E154" s="843" t="s">
        <v>2496</v>
      </c>
      <c r="F154" s="868" t="s">
        <v>3066</v>
      </c>
      <c r="G154" s="843">
        <v>1</v>
      </c>
      <c r="H154" s="843">
        <v>2</v>
      </c>
      <c r="I154" s="843">
        <v>35</v>
      </c>
      <c r="K154" s="868" t="s">
        <v>1588</v>
      </c>
      <c r="L154" s="884">
        <v>18</v>
      </c>
      <c r="M154" s="884">
        <v>50</v>
      </c>
      <c r="N154" s="1142">
        <v>50</v>
      </c>
      <c r="O154" s="843">
        <v>0</v>
      </c>
      <c r="P154" s="843">
        <v>0</v>
      </c>
      <c r="Q154" s="843">
        <v>1</v>
      </c>
      <c r="R154" s="1143">
        <v>46198.752997685187</v>
      </c>
      <c r="S154" s="843">
        <v>1</v>
      </c>
      <c r="T154" s="843">
        <v>1</v>
      </c>
    </row>
    <row r="155" spans="3:20" ht="21.95" customHeight="1">
      <c r="C155" s="843">
        <v>128</v>
      </c>
      <c r="D155" s="843">
        <v>90</v>
      </c>
      <c r="E155" s="843" t="s">
        <v>2496</v>
      </c>
      <c r="F155" s="868" t="s">
        <v>3066</v>
      </c>
      <c r="G155" s="843">
        <v>1</v>
      </c>
      <c r="H155" s="843">
        <v>2</v>
      </c>
      <c r="I155" s="843">
        <v>2</v>
      </c>
      <c r="K155" s="868" t="s">
        <v>1588</v>
      </c>
      <c r="L155" s="884">
        <v>18</v>
      </c>
      <c r="M155" s="884">
        <v>0.5</v>
      </c>
      <c r="N155" s="1142">
        <v>0.5</v>
      </c>
      <c r="O155" s="843">
        <v>0</v>
      </c>
      <c r="P155" s="843">
        <v>0</v>
      </c>
      <c r="Q155" s="843">
        <v>1</v>
      </c>
      <c r="R155" s="1143">
        <v>46198.752997685187</v>
      </c>
      <c r="S155" s="843">
        <v>1</v>
      </c>
      <c r="T155" s="843">
        <v>1</v>
      </c>
    </row>
    <row r="156" spans="3:20" ht="21.95" customHeight="1">
      <c r="C156" s="843">
        <v>129</v>
      </c>
      <c r="D156" s="843">
        <v>91</v>
      </c>
      <c r="E156" s="843" t="s">
        <v>2498</v>
      </c>
      <c r="F156" s="868" t="s">
        <v>3067</v>
      </c>
      <c r="G156" s="843">
        <v>1</v>
      </c>
      <c r="H156" s="843">
        <v>2</v>
      </c>
      <c r="I156" s="843">
        <v>31</v>
      </c>
      <c r="K156" s="868" t="s">
        <v>1588</v>
      </c>
      <c r="L156" s="884">
        <v>4</v>
      </c>
      <c r="M156" s="884">
        <v>8</v>
      </c>
      <c r="N156" s="1142">
        <v>8</v>
      </c>
      <c r="O156" s="843">
        <v>0</v>
      </c>
      <c r="P156" s="843">
        <v>0</v>
      </c>
      <c r="Q156" s="843">
        <v>1</v>
      </c>
      <c r="R156" s="1143">
        <v>46198.752997685187</v>
      </c>
      <c r="S156" s="843">
        <v>1</v>
      </c>
      <c r="T156" s="843">
        <v>1</v>
      </c>
    </row>
    <row r="157" spans="3:20" ht="21.95" customHeight="1">
      <c r="C157" s="843">
        <v>130</v>
      </c>
      <c r="D157" s="843">
        <v>91</v>
      </c>
      <c r="E157" s="843" t="s">
        <v>2498</v>
      </c>
      <c r="F157" s="868" t="s">
        <v>3067</v>
      </c>
      <c r="G157" s="843">
        <v>1</v>
      </c>
      <c r="H157" s="843">
        <v>2</v>
      </c>
      <c r="I157" s="843">
        <v>2</v>
      </c>
      <c r="K157" s="868" t="s">
        <v>1588</v>
      </c>
      <c r="L157" s="884">
        <v>4</v>
      </c>
      <c r="M157" s="884">
        <v>0.4</v>
      </c>
      <c r="N157" s="1142">
        <v>0.4</v>
      </c>
      <c r="O157" s="843">
        <v>0</v>
      </c>
      <c r="P157" s="843">
        <v>0</v>
      </c>
      <c r="Q157" s="843">
        <v>1</v>
      </c>
      <c r="R157" s="1143">
        <v>46198.752997685187</v>
      </c>
      <c r="S157" s="843">
        <v>1</v>
      </c>
      <c r="T157" s="843">
        <v>1</v>
      </c>
    </row>
    <row r="158" spans="3:20" ht="21.95" customHeight="1">
      <c r="C158" s="843">
        <v>131</v>
      </c>
      <c r="D158" s="843">
        <v>92</v>
      </c>
      <c r="E158" s="843" t="s">
        <v>2499</v>
      </c>
      <c r="F158" s="868" t="s">
        <v>3068</v>
      </c>
      <c r="G158" s="843">
        <v>1</v>
      </c>
      <c r="H158" s="843">
        <v>2</v>
      </c>
      <c r="I158" s="843">
        <v>52</v>
      </c>
      <c r="K158" s="868" t="s">
        <v>1588</v>
      </c>
      <c r="L158" s="884">
        <v>0.78</v>
      </c>
      <c r="M158" s="884">
        <v>1</v>
      </c>
      <c r="N158" s="1142">
        <v>1</v>
      </c>
      <c r="O158" s="843">
        <v>0</v>
      </c>
      <c r="P158" s="843">
        <v>0</v>
      </c>
      <c r="Q158" s="843">
        <v>1</v>
      </c>
      <c r="R158" s="1143">
        <v>46198.752997685187</v>
      </c>
      <c r="S158" s="843">
        <v>1</v>
      </c>
      <c r="T158" s="843">
        <v>1</v>
      </c>
    </row>
    <row r="159" spans="3:20" ht="21.95" customHeight="1">
      <c r="C159" s="843">
        <v>132</v>
      </c>
      <c r="D159" s="843">
        <v>93</v>
      </c>
      <c r="E159" s="843" t="s">
        <v>2501</v>
      </c>
      <c r="F159" s="868" t="s">
        <v>3069</v>
      </c>
      <c r="G159" s="843">
        <v>1</v>
      </c>
      <c r="H159" s="843">
        <v>2</v>
      </c>
      <c r="I159" s="843">
        <v>32</v>
      </c>
      <c r="K159" s="868" t="s">
        <v>1588</v>
      </c>
      <c r="L159" s="884">
        <v>11.76</v>
      </c>
      <c r="M159" s="884">
        <v>24</v>
      </c>
      <c r="N159" s="1142">
        <v>24</v>
      </c>
      <c r="O159" s="843">
        <v>0</v>
      </c>
      <c r="P159" s="843">
        <v>0</v>
      </c>
      <c r="Q159" s="843">
        <v>1</v>
      </c>
      <c r="R159" s="1143">
        <v>46198.752997685187</v>
      </c>
      <c r="S159" s="843">
        <v>1</v>
      </c>
      <c r="T159" s="843">
        <v>1</v>
      </c>
    </row>
    <row r="160" spans="3:20" ht="21.95" customHeight="1">
      <c r="C160" s="843">
        <v>133</v>
      </c>
      <c r="D160" s="843">
        <v>93</v>
      </c>
      <c r="E160" s="843" t="s">
        <v>2501</v>
      </c>
      <c r="F160" s="868" t="s">
        <v>3069</v>
      </c>
      <c r="G160" s="843">
        <v>1</v>
      </c>
      <c r="H160" s="843">
        <v>2</v>
      </c>
      <c r="I160" s="843">
        <v>2</v>
      </c>
      <c r="K160" s="868" t="s">
        <v>1588</v>
      </c>
      <c r="L160" s="884">
        <v>11.76</v>
      </c>
      <c r="M160" s="884">
        <v>1</v>
      </c>
      <c r="N160" s="1142">
        <v>1</v>
      </c>
      <c r="O160" s="843">
        <v>0</v>
      </c>
      <c r="P160" s="843">
        <v>0</v>
      </c>
      <c r="Q160" s="843">
        <v>1</v>
      </c>
      <c r="R160" s="1143">
        <v>46198.752997685187</v>
      </c>
      <c r="S160" s="843">
        <v>1</v>
      </c>
      <c r="T160" s="843">
        <v>1</v>
      </c>
    </row>
    <row r="161" spans="3:20" ht="21.95" customHeight="1">
      <c r="C161" s="843">
        <v>134</v>
      </c>
      <c r="D161" s="843">
        <v>94</v>
      </c>
      <c r="E161" s="843" t="s">
        <v>2503</v>
      </c>
      <c r="F161" s="868" t="s">
        <v>3070</v>
      </c>
      <c r="G161" s="843">
        <v>1</v>
      </c>
      <c r="H161" s="843">
        <v>2</v>
      </c>
      <c r="I161" s="843">
        <v>37</v>
      </c>
      <c r="K161" s="868" t="s">
        <v>1588</v>
      </c>
      <c r="L161" s="884">
        <v>18</v>
      </c>
      <c r="M161" s="884">
        <v>23.400000000000002</v>
      </c>
      <c r="N161" s="1142">
        <v>23.400000000000002</v>
      </c>
      <c r="O161" s="843">
        <v>0</v>
      </c>
      <c r="P161" s="843">
        <v>0</v>
      </c>
      <c r="Q161" s="843">
        <v>1</v>
      </c>
      <c r="R161" s="1143">
        <v>46198.752997685187</v>
      </c>
      <c r="S161" s="843">
        <v>1</v>
      </c>
      <c r="T161" s="843">
        <v>1</v>
      </c>
    </row>
    <row r="162" spans="3:20" ht="21.95" customHeight="1">
      <c r="C162" s="843">
        <v>135</v>
      </c>
      <c r="D162" s="843">
        <v>94</v>
      </c>
      <c r="E162" s="843" t="s">
        <v>2503</v>
      </c>
      <c r="F162" s="868" t="s">
        <v>3070</v>
      </c>
      <c r="G162" s="843">
        <v>1</v>
      </c>
      <c r="H162" s="843">
        <v>2</v>
      </c>
      <c r="I162" s="843">
        <v>2</v>
      </c>
      <c r="K162" s="868" t="s">
        <v>1588</v>
      </c>
      <c r="L162" s="884">
        <v>18</v>
      </c>
      <c r="M162" s="884">
        <v>0.13</v>
      </c>
      <c r="N162" s="1142">
        <v>0.13</v>
      </c>
      <c r="O162" s="843">
        <v>0</v>
      </c>
      <c r="P162" s="843">
        <v>0</v>
      </c>
      <c r="Q162" s="843">
        <v>1</v>
      </c>
      <c r="R162" s="1143">
        <v>46198.752997685187</v>
      </c>
      <c r="S162" s="843">
        <v>1</v>
      </c>
      <c r="T162" s="843">
        <v>1</v>
      </c>
    </row>
    <row r="163" spans="3:20" ht="21.95" customHeight="1">
      <c r="C163" s="843">
        <v>136</v>
      </c>
      <c r="D163" s="843">
        <v>95</v>
      </c>
      <c r="E163" s="843" t="s">
        <v>2505</v>
      </c>
      <c r="F163" s="868" t="s">
        <v>3071</v>
      </c>
      <c r="G163" s="843">
        <v>1</v>
      </c>
      <c r="H163" s="843">
        <v>2</v>
      </c>
      <c r="I163" s="843">
        <v>26</v>
      </c>
      <c r="K163" s="868" t="s">
        <v>1588</v>
      </c>
      <c r="L163" s="884">
        <v>4.5599999999999996</v>
      </c>
      <c r="M163" s="884">
        <v>9</v>
      </c>
      <c r="N163" s="1142">
        <v>9</v>
      </c>
      <c r="O163" s="843">
        <v>0</v>
      </c>
      <c r="P163" s="843">
        <v>0</v>
      </c>
      <c r="Q163" s="843">
        <v>1</v>
      </c>
      <c r="R163" s="1143">
        <v>46198.752997685187</v>
      </c>
      <c r="S163" s="843">
        <v>1</v>
      </c>
      <c r="T163" s="843">
        <v>1</v>
      </c>
    </row>
    <row r="164" spans="3:20" ht="21.95" customHeight="1">
      <c r="C164" s="843">
        <v>137</v>
      </c>
      <c r="D164" s="843">
        <v>95</v>
      </c>
      <c r="E164" s="843" t="s">
        <v>2505</v>
      </c>
      <c r="F164" s="868" t="s">
        <v>3071</v>
      </c>
      <c r="G164" s="843">
        <v>1</v>
      </c>
      <c r="H164" s="843">
        <v>2</v>
      </c>
      <c r="I164" s="843">
        <v>2</v>
      </c>
      <c r="K164" s="868" t="s">
        <v>1588</v>
      </c>
      <c r="L164" s="884">
        <v>4.5599999999999996</v>
      </c>
      <c r="M164" s="884">
        <v>0.75</v>
      </c>
      <c r="N164" s="1142">
        <v>0.75</v>
      </c>
      <c r="O164" s="843">
        <v>0</v>
      </c>
      <c r="P164" s="843">
        <v>0</v>
      </c>
      <c r="Q164" s="843">
        <v>1</v>
      </c>
      <c r="R164" s="1143">
        <v>46198.752997685187</v>
      </c>
      <c r="S164" s="843">
        <v>1</v>
      </c>
      <c r="T164" s="843">
        <v>1</v>
      </c>
    </row>
    <row r="165" spans="3:20" ht="21.95" customHeight="1">
      <c r="C165" s="843">
        <v>138</v>
      </c>
      <c r="D165" s="843">
        <v>96</v>
      </c>
      <c r="E165" s="843" t="s">
        <v>2507</v>
      </c>
      <c r="F165" s="868" t="s">
        <v>3072</v>
      </c>
      <c r="G165" s="843">
        <v>1</v>
      </c>
      <c r="H165" s="843">
        <v>2</v>
      </c>
      <c r="I165" s="843">
        <v>26</v>
      </c>
      <c r="K165" s="868" t="s">
        <v>1588</v>
      </c>
      <c r="L165" s="884">
        <v>3.24</v>
      </c>
      <c r="M165" s="884">
        <v>4.5600000000000005</v>
      </c>
      <c r="N165" s="1142">
        <v>4.5600000000000005</v>
      </c>
      <c r="O165" s="843">
        <v>0</v>
      </c>
      <c r="P165" s="843">
        <v>0</v>
      </c>
      <c r="Q165" s="843">
        <v>1</v>
      </c>
      <c r="R165" s="1143">
        <v>46198.752997685187</v>
      </c>
      <c r="S165" s="843">
        <v>1</v>
      </c>
      <c r="T165" s="843">
        <v>1</v>
      </c>
    </row>
    <row r="166" spans="3:20" ht="21.95" customHeight="1">
      <c r="C166" s="843">
        <v>139</v>
      </c>
      <c r="D166" s="843">
        <v>96</v>
      </c>
      <c r="E166" s="843" t="s">
        <v>2507</v>
      </c>
      <c r="F166" s="868" t="s">
        <v>3072</v>
      </c>
      <c r="G166" s="843">
        <v>1</v>
      </c>
      <c r="H166" s="843">
        <v>2</v>
      </c>
      <c r="I166" s="843">
        <v>2</v>
      </c>
      <c r="K166" s="868" t="s">
        <v>1588</v>
      </c>
      <c r="L166" s="884">
        <v>3.24</v>
      </c>
      <c r="M166" s="884">
        <v>0.38</v>
      </c>
      <c r="N166" s="1142">
        <v>0.38</v>
      </c>
      <c r="O166" s="843">
        <v>0</v>
      </c>
      <c r="P166" s="843">
        <v>0</v>
      </c>
      <c r="Q166" s="843">
        <v>1</v>
      </c>
      <c r="R166" s="1143">
        <v>46198.752997685187</v>
      </c>
      <c r="S166" s="843">
        <v>1</v>
      </c>
      <c r="T166" s="843">
        <v>1</v>
      </c>
    </row>
    <row r="167" spans="3:20" ht="21.95" customHeight="1">
      <c r="C167" s="843">
        <v>140</v>
      </c>
      <c r="D167" s="843">
        <v>97</v>
      </c>
      <c r="E167" s="843" t="s">
        <v>2509</v>
      </c>
      <c r="F167" s="868" t="s">
        <v>3073</v>
      </c>
      <c r="G167" s="843">
        <v>1</v>
      </c>
      <c r="H167" s="843">
        <v>2</v>
      </c>
      <c r="I167" s="843">
        <v>26</v>
      </c>
      <c r="K167" s="868" t="s">
        <v>1588</v>
      </c>
      <c r="L167" s="884">
        <v>3.6</v>
      </c>
      <c r="M167" s="884">
        <v>6</v>
      </c>
      <c r="N167" s="1142">
        <v>6</v>
      </c>
      <c r="O167" s="843">
        <v>0</v>
      </c>
      <c r="P167" s="843">
        <v>0</v>
      </c>
      <c r="Q167" s="843">
        <v>1</v>
      </c>
      <c r="R167" s="1143">
        <v>46198.752997685187</v>
      </c>
      <c r="S167" s="843">
        <v>1</v>
      </c>
      <c r="T167" s="843">
        <v>1</v>
      </c>
    </row>
    <row r="168" spans="3:20" ht="21.95" customHeight="1">
      <c r="C168" s="843">
        <v>141</v>
      </c>
      <c r="D168" s="843">
        <v>97</v>
      </c>
      <c r="E168" s="843" t="s">
        <v>2509</v>
      </c>
      <c r="F168" s="868" t="s">
        <v>3073</v>
      </c>
      <c r="G168" s="843">
        <v>1</v>
      </c>
      <c r="H168" s="843">
        <v>2</v>
      </c>
      <c r="I168" s="843">
        <v>2</v>
      </c>
      <c r="K168" s="868" t="s">
        <v>1588</v>
      </c>
      <c r="L168" s="884">
        <v>3.6</v>
      </c>
      <c r="M168" s="884">
        <v>0.5</v>
      </c>
      <c r="N168" s="1142">
        <v>0.5</v>
      </c>
      <c r="O168" s="843">
        <v>0</v>
      </c>
      <c r="P168" s="843">
        <v>0</v>
      </c>
      <c r="Q168" s="843">
        <v>1</v>
      </c>
      <c r="R168" s="1143">
        <v>46198.752997685187</v>
      </c>
      <c r="S168" s="843">
        <v>1</v>
      </c>
      <c r="T168" s="843">
        <v>1</v>
      </c>
    </row>
    <row r="169" spans="3:20" ht="21.95" customHeight="1">
      <c r="C169" s="843">
        <v>142</v>
      </c>
      <c r="D169" s="843">
        <v>98</v>
      </c>
      <c r="E169" s="843" t="s">
        <v>2511</v>
      </c>
      <c r="F169" s="868" t="s">
        <v>3074</v>
      </c>
      <c r="G169" s="843">
        <v>1</v>
      </c>
      <c r="H169" s="843">
        <v>2</v>
      </c>
      <c r="I169" s="843">
        <v>32</v>
      </c>
      <c r="K169" s="868" t="s">
        <v>1588</v>
      </c>
      <c r="L169" s="884">
        <v>9.6</v>
      </c>
      <c r="M169" s="884">
        <v>18</v>
      </c>
      <c r="N169" s="1142">
        <v>18</v>
      </c>
      <c r="O169" s="843">
        <v>0</v>
      </c>
      <c r="P169" s="843">
        <v>0</v>
      </c>
      <c r="Q169" s="843">
        <v>1</v>
      </c>
      <c r="R169" s="1143">
        <v>46198.752997685187</v>
      </c>
      <c r="S169" s="843">
        <v>1</v>
      </c>
      <c r="T169" s="843">
        <v>1</v>
      </c>
    </row>
    <row r="170" spans="3:20" ht="21.95" customHeight="1">
      <c r="C170" s="843">
        <v>143</v>
      </c>
      <c r="D170" s="843">
        <v>98</v>
      </c>
      <c r="E170" s="843" t="s">
        <v>2511</v>
      </c>
      <c r="F170" s="868" t="s">
        <v>3074</v>
      </c>
      <c r="G170" s="843">
        <v>1</v>
      </c>
      <c r="H170" s="843">
        <v>2</v>
      </c>
      <c r="I170" s="843">
        <v>2</v>
      </c>
      <c r="K170" s="868" t="s">
        <v>1588</v>
      </c>
      <c r="L170" s="884">
        <v>9.6</v>
      </c>
      <c r="M170" s="884">
        <v>0.75</v>
      </c>
      <c r="N170" s="1142">
        <v>0.75</v>
      </c>
      <c r="O170" s="843">
        <v>0</v>
      </c>
      <c r="P170" s="843">
        <v>0</v>
      </c>
      <c r="Q170" s="843">
        <v>1</v>
      </c>
      <c r="R170" s="1143">
        <v>46198.752997685187</v>
      </c>
      <c r="S170" s="843">
        <v>1</v>
      </c>
      <c r="T170" s="843">
        <v>1</v>
      </c>
    </row>
    <row r="171" spans="3:20" ht="21.95" customHeight="1">
      <c r="C171" s="843">
        <v>144</v>
      </c>
      <c r="D171" s="843">
        <v>99</v>
      </c>
      <c r="E171" s="843" t="s">
        <v>2514</v>
      </c>
      <c r="F171" s="868" t="s">
        <v>3075</v>
      </c>
      <c r="G171" s="843">
        <v>1</v>
      </c>
      <c r="H171" s="843">
        <v>2</v>
      </c>
      <c r="I171" s="843">
        <v>31</v>
      </c>
      <c r="K171" s="868" t="s">
        <v>1588</v>
      </c>
      <c r="L171" s="884">
        <v>4.8</v>
      </c>
      <c r="M171" s="884">
        <v>10</v>
      </c>
      <c r="N171" s="1142">
        <v>10</v>
      </c>
      <c r="O171" s="843">
        <v>0</v>
      </c>
      <c r="P171" s="843">
        <v>0</v>
      </c>
      <c r="Q171" s="843">
        <v>1</v>
      </c>
      <c r="R171" s="1143">
        <v>46198.752997685187</v>
      </c>
      <c r="S171" s="843">
        <v>1</v>
      </c>
      <c r="T171" s="843">
        <v>1</v>
      </c>
    </row>
    <row r="172" spans="3:20" ht="21.95" customHeight="1">
      <c r="C172" s="843">
        <v>145</v>
      </c>
      <c r="D172" s="843">
        <v>99</v>
      </c>
      <c r="E172" s="843" t="s">
        <v>2514</v>
      </c>
      <c r="F172" s="868" t="s">
        <v>3075</v>
      </c>
      <c r="G172" s="843">
        <v>1</v>
      </c>
      <c r="H172" s="843">
        <v>2</v>
      </c>
      <c r="I172" s="843">
        <v>2</v>
      </c>
      <c r="K172" s="868" t="s">
        <v>1588</v>
      </c>
      <c r="L172" s="884">
        <v>4.8</v>
      </c>
      <c r="M172" s="884">
        <v>0.5</v>
      </c>
      <c r="N172" s="1142">
        <v>0.5</v>
      </c>
      <c r="O172" s="843">
        <v>0</v>
      </c>
      <c r="P172" s="843">
        <v>0</v>
      </c>
      <c r="Q172" s="843">
        <v>1</v>
      </c>
      <c r="R172" s="1143">
        <v>46198.752997685187</v>
      </c>
      <c r="S172" s="843">
        <v>1</v>
      </c>
      <c r="T172" s="843">
        <v>1</v>
      </c>
    </row>
    <row r="173" spans="3:20" ht="21.95" customHeight="1">
      <c r="C173" s="843">
        <v>146</v>
      </c>
      <c r="D173" s="843">
        <v>100</v>
      </c>
      <c r="E173" s="843" t="s">
        <v>2516</v>
      </c>
      <c r="F173" s="868" t="s">
        <v>3076</v>
      </c>
      <c r="G173" s="843">
        <v>1</v>
      </c>
      <c r="H173" s="843">
        <v>2</v>
      </c>
      <c r="I173" s="843">
        <v>26</v>
      </c>
      <c r="K173" s="868" t="s">
        <v>1588</v>
      </c>
      <c r="L173" s="884">
        <v>66</v>
      </c>
      <c r="M173" s="884">
        <v>72</v>
      </c>
      <c r="N173" s="1142">
        <v>72</v>
      </c>
      <c r="O173" s="843">
        <v>0</v>
      </c>
      <c r="P173" s="843">
        <v>0</v>
      </c>
      <c r="Q173" s="843">
        <v>1</v>
      </c>
      <c r="R173" s="1143">
        <v>46198.752997685187</v>
      </c>
      <c r="S173" s="843">
        <v>1</v>
      </c>
      <c r="T173" s="843">
        <v>1</v>
      </c>
    </row>
    <row r="174" spans="3:20" ht="21.95" customHeight="1">
      <c r="C174" s="843">
        <v>147</v>
      </c>
      <c r="D174" s="843">
        <v>100</v>
      </c>
      <c r="E174" s="843" t="s">
        <v>2516</v>
      </c>
      <c r="F174" s="868" t="s">
        <v>3076</v>
      </c>
      <c r="G174" s="843">
        <v>1</v>
      </c>
      <c r="H174" s="843">
        <v>2</v>
      </c>
      <c r="I174" s="843">
        <v>2</v>
      </c>
      <c r="K174" s="868" t="s">
        <v>1588</v>
      </c>
      <c r="L174" s="884">
        <v>66</v>
      </c>
      <c r="M174" s="884">
        <v>6</v>
      </c>
      <c r="N174" s="1142">
        <v>6</v>
      </c>
      <c r="O174" s="843">
        <v>0</v>
      </c>
      <c r="P174" s="843">
        <v>0</v>
      </c>
      <c r="Q174" s="843">
        <v>1</v>
      </c>
      <c r="R174" s="1143">
        <v>46198.752997685187</v>
      </c>
      <c r="S174" s="843">
        <v>1</v>
      </c>
      <c r="T174" s="843">
        <v>1</v>
      </c>
    </row>
    <row r="175" spans="3:20" ht="21.95" customHeight="1">
      <c r="C175" s="843">
        <v>148</v>
      </c>
      <c r="D175" s="843">
        <v>101</v>
      </c>
      <c r="E175" s="843" t="s">
        <v>2518</v>
      </c>
      <c r="F175" s="868" t="s">
        <v>3077</v>
      </c>
      <c r="G175" s="843">
        <v>1</v>
      </c>
      <c r="H175" s="843">
        <v>2</v>
      </c>
      <c r="I175" s="843">
        <v>46</v>
      </c>
      <c r="K175" s="868" t="s">
        <v>1588</v>
      </c>
      <c r="L175" s="884">
        <v>5</v>
      </c>
      <c r="M175" s="884">
        <v>4.5</v>
      </c>
      <c r="N175" s="1142">
        <v>4.5</v>
      </c>
      <c r="O175" s="843">
        <v>0</v>
      </c>
      <c r="P175" s="843">
        <v>0</v>
      </c>
      <c r="Q175" s="843">
        <v>1</v>
      </c>
      <c r="R175" s="1143">
        <v>46198.752997685187</v>
      </c>
      <c r="S175" s="843">
        <v>1</v>
      </c>
      <c r="T175" s="843">
        <v>1</v>
      </c>
    </row>
    <row r="176" spans="3:20" ht="21.95" customHeight="1">
      <c r="C176" s="843">
        <v>149</v>
      </c>
      <c r="D176" s="843">
        <v>101</v>
      </c>
      <c r="E176" s="843" t="s">
        <v>2518</v>
      </c>
      <c r="F176" s="868" t="s">
        <v>3077</v>
      </c>
      <c r="G176" s="843">
        <v>1</v>
      </c>
      <c r="H176" s="843">
        <v>2</v>
      </c>
      <c r="I176" s="843">
        <v>11</v>
      </c>
      <c r="K176" s="868" t="s">
        <v>1588</v>
      </c>
      <c r="L176" s="884">
        <v>5</v>
      </c>
      <c r="M176" s="884">
        <v>1E-3</v>
      </c>
      <c r="N176" s="1142">
        <v>1E-3</v>
      </c>
      <c r="O176" s="843">
        <v>0</v>
      </c>
      <c r="P176" s="843">
        <v>0</v>
      </c>
      <c r="Q176" s="843">
        <v>1</v>
      </c>
      <c r="R176" s="1143">
        <v>46198.752997685187</v>
      </c>
      <c r="S176" s="843">
        <v>1</v>
      </c>
      <c r="T176" s="843">
        <v>1</v>
      </c>
    </row>
    <row r="177" spans="3:20" ht="21.95" customHeight="1">
      <c r="C177" s="843">
        <v>150</v>
      </c>
      <c r="D177" s="843">
        <v>102</v>
      </c>
      <c r="E177" s="843" t="s">
        <v>2520</v>
      </c>
      <c r="F177" s="868" t="s">
        <v>3078</v>
      </c>
      <c r="G177" s="843">
        <v>1</v>
      </c>
      <c r="H177" s="843">
        <v>2</v>
      </c>
      <c r="I177" s="843">
        <v>44</v>
      </c>
      <c r="K177" s="868" t="s">
        <v>1588</v>
      </c>
      <c r="L177" s="884">
        <v>108</v>
      </c>
      <c r="M177" s="884">
        <v>120</v>
      </c>
      <c r="N177" s="1142">
        <v>120</v>
      </c>
      <c r="O177" s="843">
        <v>0</v>
      </c>
      <c r="P177" s="843">
        <v>0</v>
      </c>
      <c r="Q177" s="843">
        <v>1</v>
      </c>
      <c r="R177" s="1143">
        <v>46198.752997685187</v>
      </c>
      <c r="S177" s="843">
        <v>1</v>
      </c>
      <c r="T177" s="843">
        <v>1</v>
      </c>
    </row>
    <row r="178" spans="3:20" ht="21.95" customHeight="1">
      <c r="C178" s="843">
        <v>151</v>
      </c>
      <c r="D178" s="843">
        <v>102</v>
      </c>
      <c r="E178" s="843" t="s">
        <v>2520</v>
      </c>
      <c r="F178" s="868" t="s">
        <v>3078</v>
      </c>
      <c r="G178" s="843">
        <v>1</v>
      </c>
      <c r="H178" s="843">
        <v>2</v>
      </c>
      <c r="I178" s="843">
        <v>3</v>
      </c>
      <c r="K178" s="868" t="s">
        <v>1588</v>
      </c>
      <c r="L178" s="884">
        <v>108</v>
      </c>
      <c r="M178" s="884">
        <v>5</v>
      </c>
      <c r="N178" s="1142">
        <v>5</v>
      </c>
      <c r="O178" s="843">
        <v>0</v>
      </c>
      <c r="P178" s="843">
        <v>0</v>
      </c>
      <c r="Q178" s="843">
        <v>1</v>
      </c>
      <c r="R178" s="1143">
        <v>46198.752997685187</v>
      </c>
      <c r="S178" s="843">
        <v>1</v>
      </c>
      <c r="T178" s="843">
        <v>1</v>
      </c>
    </row>
    <row r="179" spans="3:20" ht="21.95" customHeight="1">
      <c r="C179" s="843">
        <v>152</v>
      </c>
      <c r="D179" s="843">
        <v>103</v>
      </c>
      <c r="E179" s="843" t="s">
        <v>2522</v>
      </c>
      <c r="F179" s="868" t="s">
        <v>3079</v>
      </c>
      <c r="G179" s="843">
        <v>1</v>
      </c>
      <c r="H179" s="843">
        <v>2</v>
      </c>
      <c r="I179" s="843">
        <v>26</v>
      </c>
      <c r="K179" s="868" t="s">
        <v>1588</v>
      </c>
      <c r="L179" s="884">
        <v>9</v>
      </c>
      <c r="M179" s="884">
        <v>12</v>
      </c>
      <c r="N179" s="1142">
        <v>12</v>
      </c>
      <c r="O179" s="843">
        <v>0</v>
      </c>
      <c r="P179" s="843">
        <v>0</v>
      </c>
      <c r="Q179" s="843">
        <v>1</v>
      </c>
      <c r="R179" s="1143">
        <v>46198.752997685187</v>
      </c>
      <c r="S179" s="843">
        <v>1</v>
      </c>
      <c r="T179" s="843">
        <v>1</v>
      </c>
    </row>
    <row r="180" spans="3:20" ht="21.95" customHeight="1">
      <c r="C180" s="843">
        <v>153</v>
      </c>
      <c r="D180" s="843">
        <v>103</v>
      </c>
      <c r="E180" s="843" t="s">
        <v>2522</v>
      </c>
      <c r="F180" s="868" t="s">
        <v>3079</v>
      </c>
      <c r="G180" s="843">
        <v>1</v>
      </c>
      <c r="H180" s="843">
        <v>2</v>
      </c>
      <c r="I180" s="843">
        <v>2</v>
      </c>
      <c r="K180" s="868" t="s">
        <v>1588</v>
      </c>
      <c r="L180" s="884">
        <v>9</v>
      </c>
      <c r="M180" s="884">
        <v>1</v>
      </c>
      <c r="N180" s="1142">
        <v>1</v>
      </c>
      <c r="O180" s="843">
        <v>0</v>
      </c>
      <c r="P180" s="843">
        <v>0</v>
      </c>
      <c r="Q180" s="843">
        <v>1</v>
      </c>
      <c r="R180" s="1143">
        <v>46198.752997685187</v>
      </c>
      <c r="S180" s="843">
        <v>1</v>
      </c>
      <c r="T180" s="843">
        <v>1</v>
      </c>
    </row>
    <row r="181" spans="3:20" ht="21.95" customHeight="1">
      <c r="C181" s="843">
        <v>154</v>
      </c>
      <c r="D181" s="843">
        <v>104</v>
      </c>
      <c r="E181" s="843" t="s">
        <v>2524</v>
      </c>
      <c r="F181" s="868" t="s">
        <v>3080</v>
      </c>
      <c r="G181" s="843">
        <v>1</v>
      </c>
      <c r="H181" s="843">
        <v>2</v>
      </c>
      <c r="I181" s="843">
        <v>26</v>
      </c>
      <c r="K181" s="868" t="s">
        <v>1588</v>
      </c>
      <c r="L181" s="884">
        <v>11.4</v>
      </c>
      <c r="M181" s="884">
        <v>13.200000000000001</v>
      </c>
      <c r="N181" s="1142">
        <v>13.200000000000001</v>
      </c>
      <c r="O181" s="843">
        <v>0</v>
      </c>
      <c r="P181" s="843">
        <v>0</v>
      </c>
      <c r="Q181" s="843">
        <v>1</v>
      </c>
      <c r="R181" s="1143">
        <v>46198.752997685187</v>
      </c>
      <c r="S181" s="843">
        <v>1</v>
      </c>
      <c r="T181" s="843">
        <v>1</v>
      </c>
    </row>
    <row r="182" spans="3:20" ht="21.95" customHeight="1">
      <c r="C182" s="843">
        <v>155</v>
      </c>
      <c r="D182" s="843">
        <v>104</v>
      </c>
      <c r="E182" s="843" t="s">
        <v>2524</v>
      </c>
      <c r="F182" s="868" t="s">
        <v>3080</v>
      </c>
      <c r="G182" s="843">
        <v>1</v>
      </c>
      <c r="H182" s="843">
        <v>2</v>
      </c>
      <c r="I182" s="843">
        <v>2</v>
      </c>
      <c r="K182" s="868" t="s">
        <v>1588</v>
      </c>
      <c r="L182" s="884">
        <v>11.4</v>
      </c>
      <c r="M182" s="884">
        <v>1.1000000000000001</v>
      </c>
      <c r="N182" s="1142">
        <v>1.1000000000000001</v>
      </c>
      <c r="O182" s="843">
        <v>0</v>
      </c>
      <c r="P182" s="843">
        <v>0</v>
      </c>
      <c r="Q182" s="843">
        <v>1</v>
      </c>
      <c r="R182" s="1143">
        <v>46198.752997685187</v>
      </c>
      <c r="S182" s="843">
        <v>1</v>
      </c>
      <c r="T182" s="843">
        <v>1</v>
      </c>
    </row>
    <row r="183" spans="3:20" ht="21.95" customHeight="1">
      <c r="C183" s="843">
        <v>156</v>
      </c>
      <c r="D183" s="843">
        <v>105</v>
      </c>
      <c r="E183" s="843" t="s">
        <v>2526</v>
      </c>
      <c r="F183" s="868" t="s">
        <v>3081</v>
      </c>
      <c r="G183" s="843">
        <v>1</v>
      </c>
      <c r="H183" s="843">
        <v>2</v>
      </c>
      <c r="I183" s="843">
        <v>26</v>
      </c>
      <c r="K183" s="868" t="s">
        <v>1588</v>
      </c>
      <c r="L183" s="884">
        <v>13.2</v>
      </c>
      <c r="M183" s="884">
        <v>15</v>
      </c>
      <c r="N183" s="1142">
        <v>15</v>
      </c>
      <c r="O183" s="843">
        <v>0</v>
      </c>
      <c r="P183" s="843">
        <v>0</v>
      </c>
      <c r="Q183" s="843">
        <v>1</v>
      </c>
      <c r="R183" s="1143">
        <v>46198.752997685187</v>
      </c>
      <c r="S183" s="843">
        <v>1</v>
      </c>
      <c r="T183" s="843">
        <v>1</v>
      </c>
    </row>
    <row r="184" spans="3:20" ht="21.95" customHeight="1">
      <c r="C184" s="843">
        <v>157</v>
      </c>
      <c r="D184" s="843">
        <v>105</v>
      </c>
      <c r="E184" s="843" t="s">
        <v>2526</v>
      </c>
      <c r="F184" s="868" t="s">
        <v>3081</v>
      </c>
      <c r="G184" s="843">
        <v>1</v>
      </c>
      <c r="H184" s="843">
        <v>2</v>
      </c>
      <c r="I184" s="843">
        <v>2</v>
      </c>
      <c r="K184" s="868" t="s">
        <v>1588</v>
      </c>
      <c r="L184" s="884">
        <v>13.2</v>
      </c>
      <c r="M184" s="884">
        <v>1.25</v>
      </c>
      <c r="N184" s="1142">
        <v>1.25</v>
      </c>
      <c r="O184" s="843">
        <v>0</v>
      </c>
      <c r="P184" s="843">
        <v>0</v>
      </c>
      <c r="Q184" s="843">
        <v>1</v>
      </c>
      <c r="R184" s="1143">
        <v>46198.752997685187</v>
      </c>
      <c r="S184" s="843">
        <v>1</v>
      </c>
      <c r="T184" s="843">
        <v>1</v>
      </c>
    </row>
    <row r="185" spans="3:20" ht="21.95" customHeight="1">
      <c r="C185" s="843">
        <v>158</v>
      </c>
      <c r="D185" s="843">
        <v>106</v>
      </c>
      <c r="E185" s="843" t="s">
        <v>2528</v>
      </c>
      <c r="F185" s="868" t="s">
        <v>3082</v>
      </c>
      <c r="G185" s="843">
        <v>1</v>
      </c>
      <c r="H185" s="843">
        <v>2</v>
      </c>
      <c r="I185" s="843">
        <v>26</v>
      </c>
      <c r="K185" s="868" t="s">
        <v>1588</v>
      </c>
      <c r="L185" s="884">
        <v>14.4</v>
      </c>
      <c r="M185" s="884">
        <v>18</v>
      </c>
      <c r="N185" s="1142">
        <v>18</v>
      </c>
      <c r="O185" s="843">
        <v>0</v>
      </c>
      <c r="P185" s="843">
        <v>0</v>
      </c>
      <c r="Q185" s="843">
        <v>1</v>
      </c>
      <c r="R185" s="1143">
        <v>46198.752997685187</v>
      </c>
      <c r="S185" s="843">
        <v>1</v>
      </c>
      <c r="T185" s="843">
        <v>1</v>
      </c>
    </row>
    <row r="186" spans="3:20" ht="21.95" customHeight="1">
      <c r="C186" s="843">
        <v>159</v>
      </c>
      <c r="D186" s="843">
        <v>106</v>
      </c>
      <c r="E186" s="843" t="s">
        <v>2528</v>
      </c>
      <c r="F186" s="868" t="s">
        <v>3082</v>
      </c>
      <c r="G186" s="843">
        <v>1</v>
      </c>
      <c r="H186" s="843">
        <v>2</v>
      </c>
      <c r="I186" s="843">
        <v>2</v>
      </c>
      <c r="K186" s="868" t="s">
        <v>1588</v>
      </c>
      <c r="L186" s="884">
        <v>14.4</v>
      </c>
      <c r="M186" s="884">
        <v>1.5</v>
      </c>
      <c r="N186" s="1142">
        <v>1.5</v>
      </c>
      <c r="O186" s="843">
        <v>0</v>
      </c>
      <c r="P186" s="843">
        <v>0</v>
      </c>
      <c r="Q186" s="843">
        <v>1</v>
      </c>
      <c r="R186" s="1143">
        <v>46198.752997685187</v>
      </c>
      <c r="S186" s="843">
        <v>1</v>
      </c>
      <c r="T186" s="843">
        <v>1</v>
      </c>
    </row>
    <row r="187" spans="3:20" ht="21.95" customHeight="1">
      <c r="C187" s="843">
        <v>160</v>
      </c>
      <c r="D187" s="843">
        <v>107</v>
      </c>
      <c r="E187" s="843" t="s">
        <v>2530</v>
      </c>
      <c r="F187" s="868" t="s">
        <v>3083</v>
      </c>
      <c r="G187" s="843">
        <v>1</v>
      </c>
      <c r="H187" s="843">
        <v>2</v>
      </c>
      <c r="I187" s="843">
        <v>26</v>
      </c>
      <c r="K187" s="868" t="s">
        <v>1588</v>
      </c>
      <c r="L187" s="884">
        <v>2.2999999999999998</v>
      </c>
      <c r="M187" s="884">
        <v>33</v>
      </c>
      <c r="N187" s="1142">
        <v>33</v>
      </c>
      <c r="O187" s="843">
        <v>0</v>
      </c>
      <c r="P187" s="843">
        <v>0</v>
      </c>
      <c r="Q187" s="843">
        <v>1</v>
      </c>
      <c r="R187" s="1143">
        <v>46198.752997685187</v>
      </c>
      <c r="S187" s="843">
        <v>1</v>
      </c>
      <c r="T187" s="843">
        <v>1</v>
      </c>
    </row>
    <row r="188" spans="3:20" ht="21.95" customHeight="1">
      <c r="C188" s="843">
        <v>161</v>
      </c>
      <c r="D188" s="843">
        <v>107</v>
      </c>
      <c r="E188" s="843" t="s">
        <v>2530</v>
      </c>
      <c r="F188" s="868" t="s">
        <v>3083</v>
      </c>
      <c r="G188" s="843">
        <v>1</v>
      </c>
      <c r="H188" s="843">
        <v>2</v>
      </c>
      <c r="I188" s="843">
        <v>2</v>
      </c>
      <c r="K188" s="868" t="s">
        <v>1588</v>
      </c>
      <c r="L188" s="884">
        <v>2.2999999999999998</v>
      </c>
      <c r="M188" s="884">
        <v>2.75</v>
      </c>
      <c r="N188" s="1142">
        <v>2.75</v>
      </c>
      <c r="O188" s="843">
        <v>0</v>
      </c>
      <c r="P188" s="843">
        <v>0</v>
      </c>
      <c r="Q188" s="843">
        <v>1</v>
      </c>
      <c r="R188" s="1143">
        <v>46198.752997685187</v>
      </c>
      <c r="S188" s="843">
        <v>1</v>
      </c>
      <c r="T188" s="843">
        <v>1</v>
      </c>
    </row>
    <row r="189" spans="3:20" ht="21.95" customHeight="1">
      <c r="C189" s="843">
        <v>162</v>
      </c>
      <c r="D189" s="843">
        <v>108</v>
      </c>
      <c r="E189" s="843" t="s">
        <v>2532</v>
      </c>
      <c r="F189" s="868" t="s">
        <v>3084</v>
      </c>
      <c r="G189" s="843">
        <v>1</v>
      </c>
      <c r="H189" s="843">
        <v>2</v>
      </c>
      <c r="I189" s="843">
        <v>2</v>
      </c>
      <c r="K189" s="868" t="s">
        <v>1588</v>
      </c>
      <c r="L189" s="884">
        <v>2.7</v>
      </c>
      <c r="M189" s="884">
        <v>3</v>
      </c>
      <c r="N189" s="1142">
        <v>3</v>
      </c>
      <c r="O189" s="843">
        <v>0</v>
      </c>
      <c r="P189" s="843">
        <v>0</v>
      </c>
      <c r="Q189" s="843">
        <v>1</v>
      </c>
      <c r="R189" s="1143">
        <v>46198.752997685187</v>
      </c>
      <c r="S189" s="843">
        <v>1</v>
      </c>
      <c r="T189" s="843">
        <v>1</v>
      </c>
    </row>
    <row r="190" spans="3:20" ht="21.95" customHeight="1">
      <c r="C190" s="843">
        <v>163</v>
      </c>
      <c r="D190" s="843">
        <v>109</v>
      </c>
      <c r="E190" s="843" t="s">
        <v>2534</v>
      </c>
      <c r="F190" s="868" t="s">
        <v>3085</v>
      </c>
      <c r="G190" s="843">
        <v>1</v>
      </c>
      <c r="H190" s="843">
        <v>2</v>
      </c>
      <c r="I190" s="843">
        <v>2</v>
      </c>
      <c r="K190" s="868" t="s">
        <v>1588</v>
      </c>
      <c r="L190" s="884">
        <v>3.7</v>
      </c>
      <c r="M190" s="884">
        <v>4</v>
      </c>
      <c r="N190" s="1142">
        <v>4</v>
      </c>
      <c r="O190" s="843">
        <v>0</v>
      </c>
      <c r="P190" s="843">
        <v>0</v>
      </c>
      <c r="Q190" s="843">
        <v>1</v>
      </c>
      <c r="R190" s="1143">
        <v>46198.752997685187</v>
      </c>
      <c r="S190" s="843">
        <v>1</v>
      </c>
      <c r="T190" s="843">
        <v>1</v>
      </c>
    </row>
    <row r="191" spans="3:20" ht="21.95" customHeight="1">
      <c r="C191" s="843">
        <v>164</v>
      </c>
      <c r="D191" s="843">
        <v>110</v>
      </c>
      <c r="E191" s="843" t="s">
        <v>2536</v>
      </c>
      <c r="F191" s="868" t="s">
        <v>3086</v>
      </c>
      <c r="G191" s="843">
        <v>1</v>
      </c>
      <c r="H191" s="843">
        <v>2</v>
      </c>
      <c r="I191" s="843">
        <v>2</v>
      </c>
      <c r="K191" s="868" t="s">
        <v>1588</v>
      </c>
      <c r="L191" s="884">
        <v>0.35</v>
      </c>
      <c r="M191" s="884">
        <v>0.5</v>
      </c>
      <c r="N191" s="1142">
        <v>0.5</v>
      </c>
      <c r="O191" s="843">
        <v>0</v>
      </c>
      <c r="P191" s="843">
        <v>0</v>
      </c>
      <c r="Q191" s="843">
        <v>1</v>
      </c>
      <c r="R191" s="1143">
        <v>46198.752997685187</v>
      </c>
      <c r="S191" s="843">
        <v>1</v>
      </c>
      <c r="T191" s="843">
        <v>1</v>
      </c>
    </row>
    <row r="192" spans="3:20" ht="21.95" customHeight="1">
      <c r="C192" s="843">
        <v>165</v>
      </c>
      <c r="D192" s="843">
        <v>111</v>
      </c>
      <c r="E192" s="843" t="s">
        <v>2538</v>
      </c>
      <c r="F192" s="868" t="s">
        <v>3087</v>
      </c>
      <c r="G192" s="843">
        <v>1</v>
      </c>
      <c r="H192" s="843">
        <v>2</v>
      </c>
      <c r="I192" s="843">
        <v>2</v>
      </c>
      <c r="K192" s="868" t="s">
        <v>1588</v>
      </c>
      <c r="L192" s="884">
        <v>0.4</v>
      </c>
      <c r="M192" s="884">
        <v>0.5</v>
      </c>
      <c r="N192" s="1142">
        <v>0.5</v>
      </c>
      <c r="O192" s="843">
        <v>0</v>
      </c>
      <c r="P192" s="843">
        <v>0</v>
      </c>
      <c r="Q192" s="843">
        <v>1</v>
      </c>
      <c r="R192" s="1143">
        <v>46198.752997685187</v>
      </c>
      <c r="S192" s="843">
        <v>1</v>
      </c>
      <c r="T192" s="843">
        <v>1</v>
      </c>
    </row>
    <row r="193" spans="3:20" ht="21.95" customHeight="1">
      <c r="C193" s="843">
        <v>166</v>
      </c>
      <c r="D193" s="843">
        <v>112</v>
      </c>
      <c r="E193" s="843" t="s">
        <v>2540</v>
      </c>
      <c r="F193" s="868" t="s">
        <v>3088</v>
      </c>
      <c r="G193" s="843">
        <v>1</v>
      </c>
      <c r="H193" s="843">
        <v>2</v>
      </c>
      <c r="I193" s="843">
        <v>2</v>
      </c>
      <c r="K193" s="868" t="s">
        <v>1588</v>
      </c>
      <c r="L193" s="884">
        <v>2.6</v>
      </c>
      <c r="M193" s="884">
        <v>3</v>
      </c>
      <c r="N193" s="1142">
        <v>3</v>
      </c>
      <c r="O193" s="843">
        <v>0</v>
      </c>
      <c r="P193" s="843">
        <v>0</v>
      </c>
      <c r="Q193" s="843">
        <v>1</v>
      </c>
      <c r="R193" s="1143">
        <v>46198.752997685187</v>
      </c>
      <c r="S193" s="843">
        <v>1</v>
      </c>
      <c r="T193" s="843">
        <v>1</v>
      </c>
    </row>
    <row r="194" spans="3:20" ht="21.95" customHeight="1">
      <c r="C194" s="843">
        <v>167</v>
      </c>
      <c r="D194" s="843">
        <v>113</v>
      </c>
      <c r="E194" s="843" t="s">
        <v>2542</v>
      </c>
      <c r="F194" s="868" t="s">
        <v>3089</v>
      </c>
      <c r="G194" s="843">
        <v>1</v>
      </c>
      <c r="H194" s="843">
        <v>2</v>
      </c>
      <c r="I194" s="843">
        <v>2</v>
      </c>
      <c r="K194" s="868" t="s">
        <v>1588</v>
      </c>
      <c r="L194" s="884">
        <v>1.3</v>
      </c>
      <c r="M194" s="884">
        <v>1.75</v>
      </c>
      <c r="N194" s="1142">
        <v>1.75</v>
      </c>
      <c r="O194" s="843">
        <v>0</v>
      </c>
      <c r="P194" s="843">
        <v>0</v>
      </c>
      <c r="Q194" s="843">
        <v>1</v>
      </c>
      <c r="R194" s="1143">
        <v>46198.752997685187</v>
      </c>
      <c r="S194" s="843">
        <v>1</v>
      </c>
      <c r="T194" s="843">
        <v>1</v>
      </c>
    </row>
    <row r="195" spans="3:20" ht="21.95" customHeight="1">
      <c r="C195" s="843">
        <v>168</v>
      </c>
      <c r="D195" s="843">
        <v>114</v>
      </c>
      <c r="E195" s="843" t="s">
        <v>2544</v>
      </c>
      <c r="F195" s="868" t="s">
        <v>3090</v>
      </c>
      <c r="G195" s="843">
        <v>1</v>
      </c>
      <c r="H195" s="843">
        <v>2</v>
      </c>
      <c r="I195" s="843">
        <v>2</v>
      </c>
      <c r="K195" s="868" t="s">
        <v>1588</v>
      </c>
      <c r="L195" s="884">
        <v>1.5</v>
      </c>
      <c r="M195" s="884">
        <v>2</v>
      </c>
      <c r="N195" s="1142">
        <v>2</v>
      </c>
      <c r="O195" s="843">
        <v>0</v>
      </c>
      <c r="P195" s="843">
        <v>0</v>
      </c>
      <c r="Q195" s="843">
        <v>1</v>
      </c>
      <c r="R195" s="1143">
        <v>46198.752997685187</v>
      </c>
      <c r="S195" s="843">
        <v>1</v>
      </c>
      <c r="T195" s="843">
        <v>1</v>
      </c>
    </row>
    <row r="196" spans="3:20" ht="21.95" customHeight="1">
      <c r="C196" s="843">
        <v>169</v>
      </c>
      <c r="D196" s="843">
        <v>115</v>
      </c>
      <c r="E196" s="843" t="s">
        <v>2546</v>
      </c>
      <c r="F196" s="868" t="s">
        <v>3091</v>
      </c>
      <c r="G196" s="843">
        <v>1</v>
      </c>
      <c r="H196" s="843">
        <v>2</v>
      </c>
      <c r="I196" s="843">
        <v>2</v>
      </c>
      <c r="K196" s="868" t="s">
        <v>1588</v>
      </c>
      <c r="L196" s="884">
        <v>0.85</v>
      </c>
      <c r="M196" s="884">
        <v>1.5</v>
      </c>
      <c r="N196" s="1142">
        <v>1.5</v>
      </c>
      <c r="O196" s="843">
        <v>0</v>
      </c>
      <c r="P196" s="843">
        <v>0</v>
      </c>
      <c r="Q196" s="843">
        <v>1</v>
      </c>
      <c r="R196" s="1143">
        <v>46198.752997685187</v>
      </c>
      <c r="S196" s="843">
        <v>1</v>
      </c>
      <c r="T196" s="843">
        <v>1</v>
      </c>
    </row>
    <row r="197" spans="3:20" ht="21.95" customHeight="1">
      <c r="C197" s="843">
        <v>170</v>
      </c>
      <c r="D197" s="843">
        <v>116</v>
      </c>
      <c r="E197" s="843" t="s">
        <v>2548</v>
      </c>
      <c r="F197" s="868" t="s">
        <v>3092</v>
      </c>
      <c r="G197" s="843">
        <v>1</v>
      </c>
      <c r="H197" s="843">
        <v>2</v>
      </c>
      <c r="I197" s="843">
        <v>2</v>
      </c>
      <c r="K197" s="868" t="s">
        <v>1588</v>
      </c>
      <c r="L197" s="884">
        <v>0.95</v>
      </c>
      <c r="M197" s="884">
        <v>1.5</v>
      </c>
      <c r="N197" s="1142">
        <v>1.5</v>
      </c>
      <c r="O197" s="843">
        <v>0</v>
      </c>
      <c r="P197" s="843">
        <v>0</v>
      </c>
      <c r="Q197" s="843">
        <v>1</v>
      </c>
      <c r="R197" s="1143">
        <v>46198.752997685187</v>
      </c>
      <c r="S197" s="843">
        <v>1</v>
      </c>
      <c r="T197" s="843">
        <v>1</v>
      </c>
    </row>
    <row r="198" spans="3:20" ht="21.95" customHeight="1">
      <c r="C198" s="843">
        <v>171</v>
      </c>
      <c r="D198" s="843">
        <v>117</v>
      </c>
      <c r="E198" s="843" t="s">
        <v>2550</v>
      </c>
      <c r="F198" s="868" t="s">
        <v>3093</v>
      </c>
      <c r="G198" s="843">
        <v>1</v>
      </c>
      <c r="H198" s="843">
        <v>2</v>
      </c>
      <c r="I198" s="843">
        <v>25</v>
      </c>
      <c r="K198" s="868" t="s">
        <v>1588</v>
      </c>
      <c r="L198" s="884">
        <v>6.6</v>
      </c>
      <c r="M198" s="884">
        <v>8.1000000000000014</v>
      </c>
      <c r="N198" s="1142">
        <v>8.1000000000000014</v>
      </c>
      <c r="O198" s="843">
        <v>0</v>
      </c>
      <c r="P198" s="843">
        <v>0</v>
      </c>
      <c r="Q198" s="843">
        <v>1</v>
      </c>
      <c r="R198" s="1143">
        <v>46198.752997685187</v>
      </c>
      <c r="S198" s="843">
        <v>1</v>
      </c>
      <c r="T198" s="843">
        <v>1</v>
      </c>
    </row>
    <row r="199" spans="3:20" ht="21.95" customHeight="1">
      <c r="C199" s="843">
        <v>172</v>
      </c>
      <c r="D199" s="843">
        <v>117</v>
      </c>
      <c r="E199" s="843" t="s">
        <v>2550</v>
      </c>
      <c r="F199" s="868" t="s">
        <v>3093</v>
      </c>
      <c r="G199" s="843">
        <v>1</v>
      </c>
      <c r="H199" s="843">
        <v>2</v>
      </c>
      <c r="I199" s="843">
        <v>2</v>
      </c>
      <c r="K199" s="868" t="s">
        <v>1588</v>
      </c>
      <c r="L199" s="884">
        <v>6.6</v>
      </c>
      <c r="M199" s="884">
        <v>1.35</v>
      </c>
      <c r="N199" s="1142">
        <v>1.35</v>
      </c>
      <c r="O199" s="843">
        <v>0</v>
      </c>
      <c r="P199" s="843">
        <v>0</v>
      </c>
      <c r="Q199" s="843">
        <v>1</v>
      </c>
      <c r="R199" s="1143">
        <v>46198.752997685187</v>
      </c>
      <c r="S199" s="843">
        <v>1</v>
      </c>
      <c r="T199" s="843">
        <v>1</v>
      </c>
    </row>
    <row r="200" spans="3:20" ht="21.95" customHeight="1">
      <c r="C200" s="843">
        <v>173</v>
      </c>
      <c r="D200" s="843">
        <v>118</v>
      </c>
      <c r="E200" s="843" t="s">
        <v>2552</v>
      </c>
      <c r="F200" s="868" t="s">
        <v>3094</v>
      </c>
      <c r="G200" s="843">
        <v>1</v>
      </c>
      <c r="H200" s="843">
        <v>2</v>
      </c>
      <c r="I200" s="843">
        <v>25</v>
      </c>
      <c r="K200" s="868" t="s">
        <v>1588</v>
      </c>
      <c r="L200" s="884">
        <v>7.2</v>
      </c>
      <c r="M200" s="884">
        <v>9</v>
      </c>
      <c r="N200" s="1142">
        <v>9</v>
      </c>
      <c r="O200" s="843">
        <v>0</v>
      </c>
      <c r="P200" s="843">
        <v>0</v>
      </c>
      <c r="Q200" s="843">
        <v>1</v>
      </c>
      <c r="R200" s="1143">
        <v>46198.752997685187</v>
      </c>
      <c r="S200" s="843">
        <v>1</v>
      </c>
      <c r="T200" s="843">
        <v>1</v>
      </c>
    </row>
    <row r="201" spans="3:20" ht="21.95" customHeight="1">
      <c r="C201" s="843">
        <v>174</v>
      </c>
      <c r="D201" s="843">
        <v>118</v>
      </c>
      <c r="E201" s="843" t="s">
        <v>2552</v>
      </c>
      <c r="F201" s="868" t="s">
        <v>3094</v>
      </c>
      <c r="G201" s="843">
        <v>1</v>
      </c>
      <c r="H201" s="843">
        <v>2</v>
      </c>
      <c r="I201" s="843">
        <v>2</v>
      </c>
      <c r="K201" s="868" t="s">
        <v>1588</v>
      </c>
      <c r="L201" s="884">
        <v>7.2</v>
      </c>
      <c r="M201" s="884">
        <v>1.5</v>
      </c>
      <c r="N201" s="1142">
        <v>1.5</v>
      </c>
      <c r="O201" s="843">
        <v>0</v>
      </c>
      <c r="P201" s="843">
        <v>0</v>
      </c>
      <c r="Q201" s="843">
        <v>1</v>
      </c>
      <c r="R201" s="1143">
        <v>46198.752997685187</v>
      </c>
      <c r="S201" s="843">
        <v>1</v>
      </c>
      <c r="T201" s="843">
        <v>1</v>
      </c>
    </row>
    <row r="202" spans="3:20" ht="21.95" customHeight="1">
      <c r="C202" s="843">
        <v>175</v>
      </c>
      <c r="D202" s="843">
        <v>119</v>
      </c>
      <c r="E202" s="843" t="s">
        <v>2554</v>
      </c>
      <c r="F202" s="868" t="s">
        <v>3095</v>
      </c>
      <c r="G202" s="843">
        <v>1</v>
      </c>
      <c r="H202" s="843">
        <v>2</v>
      </c>
      <c r="I202" s="843">
        <v>25</v>
      </c>
      <c r="K202" s="868" t="s">
        <v>1588</v>
      </c>
      <c r="L202" s="884">
        <v>7.8</v>
      </c>
      <c r="M202" s="884">
        <v>10.5</v>
      </c>
      <c r="N202" s="1142">
        <v>10.5</v>
      </c>
      <c r="O202" s="843">
        <v>0</v>
      </c>
      <c r="P202" s="843">
        <v>0</v>
      </c>
      <c r="Q202" s="843">
        <v>1</v>
      </c>
      <c r="R202" s="1143">
        <v>46198.752997685187</v>
      </c>
      <c r="S202" s="843">
        <v>1</v>
      </c>
      <c r="T202" s="843">
        <v>1</v>
      </c>
    </row>
    <row r="203" spans="3:20" ht="21.95" customHeight="1">
      <c r="C203" s="843">
        <v>176</v>
      </c>
      <c r="D203" s="843">
        <v>119</v>
      </c>
      <c r="E203" s="843" t="s">
        <v>2554</v>
      </c>
      <c r="F203" s="868" t="s">
        <v>3095</v>
      </c>
      <c r="G203" s="843">
        <v>1</v>
      </c>
      <c r="H203" s="843">
        <v>2</v>
      </c>
      <c r="I203" s="843">
        <v>2</v>
      </c>
      <c r="K203" s="868" t="s">
        <v>1588</v>
      </c>
      <c r="L203" s="884">
        <v>7.8</v>
      </c>
      <c r="M203" s="884">
        <v>1.75</v>
      </c>
      <c r="N203" s="1142">
        <v>1.75</v>
      </c>
      <c r="O203" s="843">
        <v>0</v>
      </c>
      <c r="P203" s="843">
        <v>0</v>
      </c>
      <c r="Q203" s="843">
        <v>1</v>
      </c>
      <c r="R203" s="1143">
        <v>46198.752997685187</v>
      </c>
      <c r="S203" s="843">
        <v>1</v>
      </c>
      <c r="T203" s="843">
        <v>1</v>
      </c>
    </row>
    <row r="204" spans="3:20" ht="21.95" customHeight="1">
      <c r="C204" s="843">
        <v>177</v>
      </c>
      <c r="D204" s="843">
        <v>120</v>
      </c>
      <c r="E204" s="843" t="s">
        <v>2556</v>
      </c>
      <c r="F204" s="868" t="s">
        <v>3096</v>
      </c>
      <c r="G204" s="843">
        <v>1</v>
      </c>
      <c r="H204" s="843">
        <v>2</v>
      </c>
      <c r="I204" s="843">
        <v>25</v>
      </c>
      <c r="K204" s="868" t="s">
        <v>1588</v>
      </c>
      <c r="L204" s="884">
        <v>8.4</v>
      </c>
      <c r="M204" s="884">
        <v>10.8</v>
      </c>
      <c r="N204" s="1142">
        <v>10.8</v>
      </c>
      <c r="O204" s="843">
        <v>0</v>
      </c>
      <c r="P204" s="843">
        <v>0</v>
      </c>
      <c r="Q204" s="843">
        <v>1</v>
      </c>
      <c r="R204" s="1143">
        <v>46198.752997685187</v>
      </c>
      <c r="S204" s="843">
        <v>1</v>
      </c>
      <c r="T204" s="843">
        <v>1</v>
      </c>
    </row>
    <row r="205" spans="3:20" ht="21.95" customHeight="1">
      <c r="C205" s="843">
        <v>178</v>
      </c>
      <c r="D205" s="843">
        <v>120</v>
      </c>
      <c r="E205" s="843" t="s">
        <v>2556</v>
      </c>
      <c r="F205" s="868" t="s">
        <v>3096</v>
      </c>
      <c r="G205" s="843">
        <v>1</v>
      </c>
      <c r="H205" s="843">
        <v>2</v>
      </c>
      <c r="I205" s="843">
        <v>2</v>
      </c>
      <c r="K205" s="868" t="s">
        <v>1588</v>
      </c>
      <c r="L205" s="884">
        <v>8.4</v>
      </c>
      <c r="M205" s="884">
        <v>1.8</v>
      </c>
      <c r="N205" s="1142">
        <v>1.8</v>
      </c>
      <c r="O205" s="843">
        <v>0</v>
      </c>
      <c r="P205" s="843">
        <v>0</v>
      </c>
      <c r="Q205" s="843">
        <v>1</v>
      </c>
      <c r="R205" s="1143">
        <v>46198.752997685187</v>
      </c>
      <c r="S205" s="843">
        <v>1</v>
      </c>
      <c r="T205" s="843">
        <v>1</v>
      </c>
    </row>
    <row r="206" spans="3:20" ht="21.95" customHeight="1">
      <c r="C206" s="843">
        <v>179</v>
      </c>
      <c r="D206" s="843">
        <v>121</v>
      </c>
      <c r="E206" s="843" t="s">
        <v>2558</v>
      </c>
      <c r="F206" s="868" t="s">
        <v>3097</v>
      </c>
      <c r="G206" s="843">
        <v>1</v>
      </c>
      <c r="H206" s="843">
        <v>2</v>
      </c>
      <c r="I206" s="843">
        <v>25</v>
      </c>
      <c r="K206" s="868" t="s">
        <v>1588</v>
      </c>
      <c r="L206" s="884">
        <v>9</v>
      </c>
      <c r="M206" s="884">
        <v>10.8</v>
      </c>
      <c r="N206" s="1142">
        <v>10.8</v>
      </c>
      <c r="O206" s="843">
        <v>0</v>
      </c>
      <c r="P206" s="843">
        <v>0</v>
      </c>
      <c r="Q206" s="843">
        <v>1</v>
      </c>
      <c r="R206" s="1143">
        <v>46198.752997685187</v>
      </c>
      <c r="S206" s="843">
        <v>1</v>
      </c>
      <c r="T206" s="843">
        <v>1</v>
      </c>
    </row>
    <row r="207" spans="3:20" ht="21.95" customHeight="1">
      <c r="C207" s="843">
        <v>180</v>
      </c>
      <c r="D207" s="843">
        <v>121</v>
      </c>
      <c r="E207" s="843" t="s">
        <v>2558</v>
      </c>
      <c r="F207" s="868" t="s">
        <v>3097</v>
      </c>
      <c r="G207" s="843">
        <v>1</v>
      </c>
      <c r="H207" s="843">
        <v>2</v>
      </c>
      <c r="I207" s="843">
        <v>2</v>
      </c>
      <c r="K207" s="868" t="s">
        <v>1588</v>
      </c>
      <c r="L207" s="884">
        <v>9</v>
      </c>
      <c r="M207" s="884">
        <v>1.8</v>
      </c>
      <c r="N207" s="1142">
        <v>1.8</v>
      </c>
      <c r="O207" s="843">
        <v>0</v>
      </c>
      <c r="P207" s="843">
        <v>0</v>
      </c>
      <c r="Q207" s="843">
        <v>1</v>
      </c>
      <c r="R207" s="1143">
        <v>46198.752997685187</v>
      </c>
      <c r="S207" s="843">
        <v>1</v>
      </c>
      <c r="T207" s="843">
        <v>1</v>
      </c>
    </row>
    <row r="208" spans="3:20" ht="21.95" customHeight="1">
      <c r="C208" s="843">
        <v>181</v>
      </c>
      <c r="D208" s="843">
        <v>122</v>
      </c>
      <c r="E208" s="843" t="s">
        <v>2560</v>
      </c>
      <c r="F208" s="868" t="s">
        <v>3098</v>
      </c>
      <c r="G208" s="843">
        <v>1</v>
      </c>
      <c r="H208" s="843">
        <v>2</v>
      </c>
      <c r="I208" s="843">
        <v>32</v>
      </c>
      <c r="K208" s="868" t="s">
        <v>1588</v>
      </c>
      <c r="L208" s="884">
        <v>31.2</v>
      </c>
      <c r="M208" s="884">
        <v>36</v>
      </c>
      <c r="N208" s="1142">
        <v>36</v>
      </c>
      <c r="O208" s="843">
        <v>0</v>
      </c>
      <c r="P208" s="843">
        <v>0</v>
      </c>
      <c r="Q208" s="843">
        <v>1</v>
      </c>
      <c r="R208" s="1143">
        <v>46198.752997685187</v>
      </c>
      <c r="S208" s="843">
        <v>1</v>
      </c>
      <c r="T208" s="843">
        <v>1</v>
      </c>
    </row>
    <row r="209" spans="3:20" ht="21.95" customHeight="1">
      <c r="C209" s="843">
        <v>182</v>
      </c>
      <c r="D209" s="843">
        <v>122</v>
      </c>
      <c r="E209" s="843" t="s">
        <v>2560</v>
      </c>
      <c r="F209" s="868" t="s">
        <v>3098</v>
      </c>
      <c r="G209" s="843">
        <v>1</v>
      </c>
      <c r="H209" s="843">
        <v>2</v>
      </c>
      <c r="I209" s="843">
        <v>2</v>
      </c>
      <c r="K209" s="868" t="s">
        <v>1588</v>
      </c>
      <c r="L209" s="884">
        <v>31.2</v>
      </c>
      <c r="M209" s="884">
        <v>1.5</v>
      </c>
      <c r="N209" s="1142">
        <v>1.5</v>
      </c>
      <c r="O209" s="843">
        <v>0</v>
      </c>
      <c r="P209" s="843">
        <v>0</v>
      </c>
      <c r="Q209" s="843">
        <v>1</v>
      </c>
      <c r="R209" s="1143">
        <v>46198.752997685187</v>
      </c>
      <c r="S209" s="843">
        <v>1</v>
      </c>
      <c r="T209" s="843">
        <v>1</v>
      </c>
    </row>
    <row r="210" spans="3:20" ht="21.95" customHeight="1">
      <c r="C210" s="843">
        <v>183</v>
      </c>
      <c r="D210" s="843">
        <v>123</v>
      </c>
      <c r="E210" s="843" t="s">
        <v>2562</v>
      </c>
      <c r="F210" s="868" t="s">
        <v>3099</v>
      </c>
      <c r="G210" s="843">
        <v>1</v>
      </c>
      <c r="H210" s="843">
        <v>2</v>
      </c>
      <c r="I210" s="843">
        <v>33</v>
      </c>
      <c r="K210" s="868" t="s">
        <v>1588</v>
      </c>
      <c r="L210" s="884">
        <v>25.92</v>
      </c>
      <c r="M210" s="884">
        <v>37.5</v>
      </c>
      <c r="N210" s="1142">
        <v>37.5</v>
      </c>
      <c r="O210" s="843">
        <v>0</v>
      </c>
      <c r="P210" s="843">
        <v>0</v>
      </c>
      <c r="Q210" s="843">
        <v>1</v>
      </c>
      <c r="R210" s="1143">
        <v>46198.752997685187</v>
      </c>
      <c r="S210" s="843">
        <v>1</v>
      </c>
      <c r="T210" s="843">
        <v>1</v>
      </c>
    </row>
    <row r="211" spans="3:20" ht="21.95" customHeight="1">
      <c r="C211" s="843">
        <v>184</v>
      </c>
      <c r="D211" s="843">
        <v>123</v>
      </c>
      <c r="E211" s="843" t="s">
        <v>2562</v>
      </c>
      <c r="F211" s="868" t="s">
        <v>3099</v>
      </c>
      <c r="G211" s="843">
        <v>1</v>
      </c>
      <c r="H211" s="843">
        <v>2</v>
      </c>
      <c r="I211" s="843">
        <v>2</v>
      </c>
      <c r="K211" s="868" t="s">
        <v>1588</v>
      </c>
      <c r="L211" s="884">
        <v>25.92</v>
      </c>
      <c r="M211" s="884">
        <v>1.5</v>
      </c>
      <c r="N211" s="1142">
        <v>1.5</v>
      </c>
      <c r="O211" s="843">
        <v>0</v>
      </c>
      <c r="P211" s="843">
        <v>0</v>
      </c>
      <c r="Q211" s="843">
        <v>1</v>
      </c>
      <c r="R211" s="1143">
        <v>46198.752997685187</v>
      </c>
      <c r="S211" s="843">
        <v>1</v>
      </c>
      <c r="T211" s="843">
        <v>1</v>
      </c>
    </row>
    <row r="212" spans="3:20" ht="21.95" customHeight="1">
      <c r="C212" s="843">
        <v>185</v>
      </c>
      <c r="D212" s="843">
        <v>124</v>
      </c>
      <c r="E212" s="843" t="s">
        <v>2564</v>
      </c>
      <c r="F212" s="868" t="s">
        <v>3100</v>
      </c>
      <c r="G212" s="843">
        <v>1</v>
      </c>
      <c r="H212" s="843">
        <v>2</v>
      </c>
      <c r="I212" s="843">
        <v>2</v>
      </c>
      <c r="K212" s="868" t="s">
        <v>1588</v>
      </c>
      <c r="L212" s="884">
        <v>2</v>
      </c>
      <c r="M212" s="884">
        <v>2.5</v>
      </c>
      <c r="N212" s="1142">
        <v>2.5</v>
      </c>
      <c r="O212" s="843">
        <v>0</v>
      </c>
      <c r="P212" s="843">
        <v>0</v>
      </c>
      <c r="Q212" s="843">
        <v>1</v>
      </c>
      <c r="R212" s="1143">
        <v>46198.752997685187</v>
      </c>
      <c r="S212" s="843">
        <v>1</v>
      </c>
      <c r="T212" s="843">
        <v>1</v>
      </c>
    </row>
    <row r="213" spans="3:20" ht="21.95" customHeight="1">
      <c r="C213" s="843">
        <v>186</v>
      </c>
      <c r="D213" s="843">
        <v>125</v>
      </c>
      <c r="E213" s="843" t="s">
        <v>2566</v>
      </c>
      <c r="F213" s="868" t="s">
        <v>3101</v>
      </c>
      <c r="G213" s="843">
        <v>1</v>
      </c>
      <c r="H213" s="843">
        <v>2</v>
      </c>
      <c r="I213" s="843">
        <v>35</v>
      </c>
      <c r="K213" s="868" t="s">
        <v>1588</v>
      </c>
      <c r="L213" s="884">
        <v>4</v>
      </c>
      <c r="M213" s="884">
        <v>4</v>
      </c>
      <c r="N213" s="1142">
        <v>4</v>
      </c>
      <c r="O213" s="843">
        <v>0</v>
      </c>
      <c r="P213" s="843">
        <v>0</v>
      </c>
      <c r="Q213" s="843">
        <v>1</v>
      </c>
      <c r="R213" s="1143">
        <v>46198.752997685187</v>
      </c>
      <c r="S213" s="843">
        <v>1</v>
      </c>
      <c r="T213" s="843">
        <v>1</v>
      </c>
    </row>
    <row r="214" spans="3:20" ht="21.95" customHeight="1">
      <c r="C214" s="843">
        <v>187</v>
      </c>
      <c r="D214" s="843">
        <v>125</v>
      </c>
      <c r="E214" s="843" t="s">
        <v>2566</v>
      </c>
      <c r="F214" s="868" t="s">
        <v>3101</v>
      </c>
      <c r="G214" s="843">
        <v>1</v>
      </c>
      <c r="H214" s="843">
        <v>2</v>
      </c>
      <c r="I214" s="843">
        <v>2</v>
      </c>
      <c r="K214" s="868" t="s">
        <v>1588</v>
      </c>
      <c r="L214" s="884">
        <v>4</v>
      </c>
      <c r="M214" s="884">
        <v>0.04</v>
      </c>
      <c r="N214" s="1142">
        <v>0.04</v>
      </c>
      <c r="O214" s="843">
        <v>0</v>
      </c>
      <c r="P214" s="843">
        <v>0</v>
      </c>
      <c r="Q214" s="843">
        <v>1</v>
      </c>
      <c r="R214" s="1143">
        <v>46198.752997685187</v>
      </c>
      <c r="S214" s="843">
        <v>1</v>
      </c>
      <c r="T214" s="843">
        <v>1</v>
      </c>
    </row>
    <row r="215" spans="3:20" ht="21.95" customHeight="1">
      <c r="C215" s="843">
        <v>188</v>
      </c>
      <c r="D215" s="843">
        <v>126</v>
      </c>
      <c r="E215" s="843" t="s">
        <v>2568</v>
      </c>
      <c r="F215" s="868" t="s">
        <v>3102</v>
      </c>
      <c r="G215" s="843">
        <v>1</v>
      </c>
      <c r="H215" s="843">
        <v>2</v>
      </c>
      <c r="I215" s="843">
        <v>26</v>
      </c>
      <c r="K215" s="868" t="s">
        <v>1588</v>
      </c>
      <c r="L215" s="884">
        <v>31.2</v>
      </c>
      <c r="M215" s="884">
        <v>42</v>
      </c>
      <c r="N215" s="1142">
        <v>42</v>
      </c>
      <c r="O215" s="843">
        <v>0</v>
      </c>
      <c r="P215" s="843">
        <v>0</v>
      </c>
      <c r="Q215" s="843">
        <v>1</v>
      </c>
      <c r="R215" s="1143">
        <v>46198.752997685187</v>
      </c>
      <c r="S215" s="843">
        <v>1</v>
      </c>
      <c r="T215" s="843">
        <v>1</v>
      </c>
    </row>
    <row r="216" spans="3:20" ht="21.95" customHeight="1">
      <c r="C216" s="843">
        <v>189</v>
      </c>
      <c r="D216" s="843">
        <v>126</v>
      </c>
      <c r="E216" s="843" t="s">
        <v>2568</v>
      </c>
      <c r="F216" s="868" t="s">
        <v>3102</v>
      </c>
      <c r="G216" s="843">
        <v>1</v>
      </c>
      <c r="H216" s="843">
        <v>2</v>
      </c>
      <c r="I216" s="843">
        <v>2</v>
      </c>
      <c r="K216" s="868" t="s">
        <v>1588</v>
      </c>
      <c r="L216" s="884">
        <v>31.2</v>
      </c>
      <c r="M216" s="884">
        <v>3.5</v>
      </c>
      <c r="N216" s="1142">
        <v>3.5</v>
      </c>
      <c r="O216" s="843">
        <v>0</v>
      </c>
      <c r="P216" s="843">
        <v>0</v>
      </c>
      <c r="Q216" s="843">
        <v>1</v>
      </c>
      <c r="R216" s="1143">
        <v>46198.752997685187</v>
      </c>
      <c r="S216" s="843">
        <v>1</v>
      </c>
      <c r="T216" s="843">
        <v>1</v>
      </c>
    </row>
    <row r="217" spans="3:20" ht="21.95" customHeight="1">
      <c r="C217" s="843">
        <v>190</v>
      </c>
      <c r="D217" s="843">
        <v>127</v>
      </c>
      <c r="E217" s="843" t="s">
        <v>2570</v>
      </c>
      <c r="F217" s="868" t="s">
        <v>3103</v>
      </c>
      <c r="G217" s="843">
        <v>1</v>
      </c>
      <c r="H217" s="843">
        <v>2</v>
      </c>
      <c r="I217" s="843">
        <v>26</v>
      </c>
      <c r="K217" s="868" t="s">
        <v>1588</v>
      </c>
      <c r="L217" s="884">
        <v>26.4</v>
      </c>
      <c r="M217" s="884">
        <v>36</v>
      </c>
      <c r="N217" s="1142">
        <v>36</v>
      </c>
      <c r="O217" s="843">
        <v>0</v>
      </c>
      <c r="P217" s="843">
        <v>0</v>
      </c>
      <c r="Q217" s="843">
        <v>1</v>
      </c>
      <c r="R217" s="1143">
        <v>46198.752997685187</v>
      </c>
      <c r="S217" s="843">
        <v>1</v>
      </c>
      <c r="T217" s="843">
        <v>1</v>
      </c>
    </row>
    <row r="218" spans="3:20" ht="21.95" customHeight="1">
      <c r="C218" s="843">
        <v>191</v>
      </c>
      <c r="D218" s="843">
        <v>127</v>
      </c>
      <c r="E218" s="843" t="s">
        <v>2570</v>
      </c>
      <c r="F218" s="868" t="s">
        <v>3103</v>
      </c>
      <c r="G218" s="843">
        <v>1</v>
      </c>
      <c r="H218" s="843">
        <v>2</v>
      </c>
      <c r="I218" s="843">
        <v>2</v>
      </c>
      <c r="K218" s="868" t="s">
        <v>1588</v>
      </c>
      <c r="L218" s="884">
        <v>26.4</v>
      </c>
      <c r="M218" s="884">
        <v>3</v>
      </c>
      <c r="N218" s="1142">
        <v>3</v>
      </c>
      <c r="O218" s="843">
        <v>0</v>
      </c>
      <c r="P218" s="843">
        <v>0</v>
      </c>
      <c r="Q218" s="843">
        <v>1</v>
      </c>
      <c r="R218" s="1143">
        <v>46198.752997685187</v>
      </c>
      <c r="S218" s="843">
        <v>1</v>
      </c>
      <c r="T218" s="843">
        <v>1</v>
      </c>
    </row>
    <row r="219" spans="3:20" ht="21.95" customHeight="1">
      <c r="C219" s="843">
        <v>192</v>
      </c>
      <c r="D219" s="843">
        <v>128</v>
      </c>
      <c r="E219" s="843" t="s">
        <v>2572</v>
      </c>
      <c r="F219" s="868" t="s">
        <v>3104</v>
      </c>
      <c r="G219" s="843">
        <v>1</v>
      </c>
      <c r="H219" s="843">
        <v>2</v>
      </c>
      <c r="I219" s="843">
        <v>26</v>
      </c>
      <c r="K219" s="868" t="s">
        <v>1588</v>
      </c>
      <c r="L219" s="884">
        <v>37.200000000000003</v>
      </c>
      <c r="M219" s="884">
        <v>42</v>
      </c>
      <c r="N219" s="1142">
        <v>42</v>
      </c>
      <c r="O219" s="843">
        <v>0</v>
      </c>
      <c r="P219" s="843">
        <v>0</v>
      </c>
      <c r="Q219" s="843">
        <v>1</v>
      </c>
      <c r="R219" s="1143">
        <v>46198.752997685187</v>
      </c>
      <c r="S219" s="843">
        <v>1</v>
      </c>
      <c r="T219" s="843">
        <v>1</v>
      </c>
    </row>
    <row r="220" spans="3:20" ht="21.95" customHeight="1">
      <c r="C220" s="843">
        <v>193</v>
      </c>
      <c r="D220" s="843">
        <v>128</v>
      </c>
      <c r="E220" s="843" t="s">
        <v>2572</v>
      </c>
      <c r="F220" s="868" t="s">
        <v>3104</v>
      </c>
      <c r="G220" s="843">
        <v>1</v>
      </c>
      <c r="H220" s="843">
        <v>2</v>
      </c>
      <c r="I220" s="843">
        <v>2</v>
      </c>
      <c r="K220" s="868" t="s">
        <v>1588</v>
      </c>
      <c r="L220" s="884">
        <v>37.200000000000003</v>
      </c>
      <c r="M220" s="884">
        <v>3.5</v>
      </c>
      <c r="N220" s="1142">
        <v>3.5</v>
      </c>
      <c r="O220" s="843">
        <v>0</v>
      </c>
      <c r="P220" s="843">
        <v>0</v>
      </c>
      <c r="Q220" s="843">
        <v>1</v>
      </c>
      <c r="R220" s="1143">
        <v>46198.752997685187</v>
      </c>
      <c r="S220" s="843">
        <v>1</v>
      </c>
      <c r="T220" s="843">
        <v>1</v>
      </c>
    </row>
    <row r="221" spans="3:20" ht="21.95" customHeight="1">
      <c r="C221" s="843">
        <v>194</v>
      </c>
      <c r="D221" s="843">
        <v>129</v>
      </c>
      <c r="E221" s="843" t="s">
        <v>2574</v>
      </c>
      <c r="F221" s="868" t="s">
        <v>3105</v>
      </c>
      <c r="G221" s="843">
        <v>1</v>
      </c>
      <c r="H221" s="843">
        <v>2</v>
      </c>
      <c r="I221" s="843">
        <v>26</v>
      </c>
      <c r="K221" s="868" t="s">
        <v>1588</v>
      </c>
      <c r="L221" s="884">
        <v>46.8</v>
      </c>
      <c r="M221" s="884">
        <v>54</v>
      </c>
      <c r="N221" s="1142">
        <v>54</v>
      </c>
      <c r="O221" s="843">
        <v>0</v>
      </c>
      <c r="P221" s="843">
        <v>0</v>
      </c>
      <c r="Q221" s="843">
        <v>1</v>
      </c>
      <c r="R221" s="1143">
        <v>46198.752997685187</v>
      </c>
      <c r="S221" s="843">
        <v>1</v>
      </c>
      <c r="T221" s="843">
        <v>1</v>
      </c>
    </row>
    <row r="222" spans="3:20" ht="21.95" customHeight="1">
      <c r="C222" s="843">
        <v>195</v>
      </c>
      <c r="D222" s="843">
        <v>129</v>
      </c>
      <c r="E222" s="843" t="s">
        <v>2574</v>
      </c>
      <c r="F222" s="868" t="s">
        <v>3105</v>
      </c>
      <c r="G222" s="843">
        <v>1</v>
      </c>
      <c r="H222" s="843">
        <v>2</v>
      </c>
      <c r="I222" s="843">
        <v>2</v>
      </c>
      <c r="K222" s="868" t="s">
        <v>1588</v>
      </c>
      <c r="L222" s="884">
        <v>46.8</v>
      </c>
      <c r="M222" s="884">
        <v>4.5</v>
      </c>
      <c r="N222" s="1142">
        <v>4.5</v>
      </c>
      <c r="O222" s="843">
        <v>0</v>
      </c>
      <c r="P222" s="843">
        <v>0</v>
      </c>
      <c r="Q222" s="843">
        <v>1</v>
      </c>
      <c r="R222" s="1143">
        <v>46198.752997685187</v>
      </c>
      <c r="S222" s="843">
        <v>1</v>
      </c>
      <c r="T222" s="843">
        <v>1</v>
      </c>
    </row>
    <row r="223" spans="3:20" ht="21.95" customHeight="1">
      <c r="C223" s="843">
        <v>196</v>
      </c>
      <c r="D223" s="843">
        <v>130</v>
      </c>
      <c r="E223" s="843" t="s">
        <v>2576</v>
      </c>
      <c r="F223" s="868" t="s">
        <v>3106</v>
      </c>
      <c r="G223" s="843">
        <v>1</v>
      </c>
      <c r="H223" s="843">
        <v>2</v>
      </c>
      <c r="I223" s="843">
        <v>2</v>
      </c>
      <c r="K223" s="868" t="s">
        <v>1588</v>
      </c>
      <c r="L223" s="884">
        <v>1.8</v>
      </c>
      <c r="M223" s="884">
        <v>2.25</v>
      </c>
      <c r="N223" s="1142">
        <v>2.25</v>
      </c>
      <c r="O223" s="843">
        <v>0</v>
      </c>
      <c r="P223" s="843">
        <v>0</v>
      </c>
      <c r="Q223" s="843">
        <v>1</v>
      </c>
      <c r="R223" s="1143">
        <v>46198.752997685187</v>
      </c>
      <c r="S223" s="843">
        <v>1</v>
      </c>
      <c r="T223" s="843">
        <v>1</v>
      </c>
    </row>
    <row r="224" spans="3:20" ht="21.95" customHeight="1">
      <c r="C224" s="843">
        <v>197</v>
      </c>
      <c r="D224" s="843">
        <v>131</v>
      </c>
      <c r="E224" s="843" t="s">
        <v>2578</v>
      </c>
      <c r="F224" s="868" t="s">
        <v>3107</v>
      </c>
      <c r="G224" s="843">
        <v>1</v>
      </c>
      <c r="H224" s="843">
        <v>2</v>
      </c>
      <c r="I224" s="843">
        <v>2</v>
      </c>
      <c r="K224" s="868" t="s">
        <v>1588</v>
      </c>
      <c r="L224" s="884">
        <v>0.7</v>
      </c>
      <c r="M224" s="884">
        <v>1.25</v>
      </c>
      <c r="N224" s="1142">
        <v>1.25</v>
      </c>
      <c r="O224" s="843">
        <v>0</v>
      </c>
      <c r="P224" s="843">
        <v>0</v>
      </c>
      <c r="Q224" s="843">
        <v>1</v>
      </c>
      <c r="R224" s="1143">
        <v>46198.752997685187</v>
      </c>
      <c r="S224" s="843">
        <v>1</v>
      </c>
      <c r="T224" s="843">
        <v>1</v>
      </c>
    </row>
    <row r="225" spans="3:20" ht="21.95" customHeight="1">
      <c r="C225" s="843">
        <v>198</v>
      </c>
      <c r="D225" s="843">
        <v>132</v>
      </c>
      <c r="E225" s="843" t="s">
        <v>2580</v>
      </c>
      <c r="F225" s="868" t="s">
        <v>3108</v>
      </c>
      <c r="G225" s="843">
        <v>1</v>
      </c>
      <c r="H225" s="843">
        <v>2</v>
      </c>
      <c r="I225" s="843">
        <v>2</v>
      </c>
      <c r="K225" s="868" t="s">
        <v>1588</v>
      </c>
      <c r="L225" s="884">
        <v>2.2000000000000002</v>
      </c>
      <c r="M225" s="884">
        <v>2.75</v>
      </c>
      <c r="N225" s="1142">
        <v>2.75</v>
      </c>
      <c r="O225" s="843">
        <v>0</v>
      </c>
      <c r="P225" s="843">
        <v>0</v>
      </c>
      <c r="Q225" s="843">
        <v>1</v>
      </c>
      <c r="R225" s="1143">
        <v>46198.752997685187</v>
      </c>
      <c r="S225" s="843">
        <v>1</v>
      </c>
      <c r="T225" s="843">
        <v>1</v>
      </c>
    </row>
    <row r="226" spans="3:20" ht="21.95" customHeight="1">
      <c r="C226" s="843">
        <v>199</v>
      </c>
      <c r="D226" s="843">
        <v>133</v>
      </c>
      <c r="E226" s="843" t="s">
        <v>2582</v>
      </c>
      <c r="F226" s="868" t="s">
        <v>3109</v>
      </c>
      <c r="G226" s="843">
        <v>1</v>
      </c>
      <c r="H226" s="843">
        <v>2</v>
      </c>
      <c r="I226" s="843">
        <v>2</v>
      </c>
      <c r="K226" s="868" t="s">
        <v>1588</v>
      </c>
      <c r="L226" s="884">
        <v>9.5</v>
      </c>
      <c r="M226" s="884">
        <v>10.5</v>
      </c>
      <c r="N226" s="1142">
        <v>10.5</v>
      </c>
      <c r="O226" s="843">
        <v>0</v>
      </c>
      <c r="P226" s="843">
        <v>0</v>
      </c>
      <c r="Q226" s="843">
        <v>1</v>
      </c>
      <c r="R226" s="1143">
        <v>46198.752997685187</v>
      </c>
      <c r="S226" s="843">
        <v>1</v>
      </c>
      <c r="T226" s="843">
        <v>1</v>
      </c>
    </row>
    <row r="227" spans="3:20" ht="21.95" customHeight="1">
      <c r="C227" s="843">
        <v>200</v>
      </c>
      <c r="D227" s="843">
        <v>134</v>
      </c>
      <c r="E227" s="843" t="s">
        <v>2584</v>
      </c>
      <c r="F227" s="868" t="s">
        <v>3110</v>
      </c>
      <c r="G227" s="843">
        <v>1</v>
      </c>
      <c r="H227" s="843">
        <v>2</v>
      </c>
      <c r="I227" s="843">
        <v>2</v>
      </c>
      <c r="K227" s="868" t="s">
        <v>1588</v>
      </c>
      <c r="L227" s="884">
        <v>1</v>
      </c>
      <c r="M227" s="884">
        <v>1.5</v>
      </c>
      <c r="N227" s="1142">
        <v>1.5</v>
      </c>
      <c r="O227" s="843">
        <v>0</v>
      </c>
      <c r="P227" s="843">
        <v>0</v>
      </c>
      <c r="Q227" s="843">
        <v>1</v>
      </c>
      <c r="R227" s="1143">
        <v>46198.752997685187</v>
      </c>
      <c r="S227" s="843">
        <v>1</v>
      </c>
      <c r="T227" s="843">
        <v>1</v>
      </c>
    </row>
    <row r="228" spans="3:20" ht="21.95" customHeight="1">
      <c r="C228" s="843">
        <v>201</v>
      </c>
      <c r="D228" s="843">
        <v>135</v>
      </c>
      <c r="E228" s="843" t="s">
        <v>2586</v>
      </c>
      <c r="F228" s="868" t="s">
        <v>3111</v>
      </c>
      <c r="G228" s="843">
        <v>1</v>
      </c>
      <c r="H228" s="843">
        <v>2</v>
      </c>
      <c r="I228" s="843">
        <v>2</v>
      </c>
      <c r="K228" s="868" t="s">
        <v>1588</v>
      </c>
      <c r="L228" s="884">
        <v>0.65</v>
      </c>
      <c r="M228" s="884">
        <v>1</v>
      </c>
      <c r="N228" s="1142">
        <v>1</v>
      </c>
      <c r="O228" s="843">
        <v>0</v>
      </c>
      <c r="P228" s="843">
        <v>0</v>
      </c>
      <c r="Q228" s="843">
        <v>1</v>
      </c>
      <c r="R228" s="1143">
        <v>46198.752997685187</v>
      </c>
      <c r="S228" s="843">
        <v>1</v>
      </c>
      <c r="T228" s="843">
        <v>1</v>
      </c>
    </row>
    <row r="229" spans="3:20" ht="21.95" customHeight="1">
      <c r="C229" s="843">
        <v>202</v>
      </c>
      <c r="D229" s="843">
        <v>136</v>
      </c>
      <c r="E229" s="843" t="s">
        <v>2588</v>
      </c>
      <c r="F229" s="868" t="s">
        <v>3112</v>
      </c>
      <c r="G229" s="843">
        <v>1</v>
      </c>
      <c r="H229" s="843">
        <v>2</v>
      </c>
      <c r="I229" s="843">
        <v>2</v>
      </c>
      <c r="K229" s="868" t="s">
        <v>1588</v>
      </c>
      <c r="L229" s="884">
        <v>0.38</v>
      </c>
      <c r="M229" s="884">
        <v>0.75</v>
      </c>
      <c r="N229" s="1142">
        <v>0.75</v>
      </c>
      <c r="O229" s="843">
        <v>0</v>
      </c>
      <c r="P229" s="843">
        <v>0</v>
      </c>
      <c r="Q229" s="843">
        <v>1</v>
      </c>
      <c r="R229" s="1143">
        <v>46198.752997685187</v>
      </c>
      <c r="S229" s="843">
        <v>1</v>
      </c>
      <c r="T229" s="843">
        <v>1</v>
      </c>
    </row>
    <row r="230" spans="3:20" ht="21.95" customHeight="1">
      <c r="C230" s="843">
        <v>203</v>
      </c>
      <c r="D230" s="843">
        <v>137</v>
      </c>
      <c r="E230" s="843" t="s">
        <v>2590</v>
      </c>
      <c r="F230" s="868" t="s">
        <v>3113</v>
      </c>
      <c r="G230" s="843">
        <v>1</v>
      </c>
      <c r="H230" s="843">
        <v>2</v>
      </c>
      <c r="I230" s="843">
        <v>2</v>
      </c>
      <c r="K230" s="868" t="s">
        <v>1588</v>
      </c>
      <c r="L230" s="884">
        <v>2.9</v>
      </c>
      <c r="M230" s="884">
        <v>3.25</v>
      </c>
      <c r="N230" s="1142">
        <v>3.25</v>
      </c>
      <c r="O230" s="843">
        <v>0</v>
      </c>
      <c r="P230" s="843">
        <v>0</v>
      </c>
      <c r="Q230" s="843">
        <v>1</v>
      </c>
      <c r="R230" s="1143">
        <v>46198.752997685187</v>
      </c>
      <c r="S230" s="843">
        <v>1</v>
      </c>
      <c r="T230" s="843">
        <v>1</v>
      </c>
    </row>
    <row r="231" spans="3:20" ht="21.95" customHeight="1">
      <c r="C231" s="843">
        <v>204</v>
      </c>
      <c r="D231" s="843">
        <v>138</v>
      </c>
      <c r="E231" s="843" t="s">
        <v>2592</v>
      </c>
      <c r="F231" s="868" t="s">
        <v>3114</v>
      </c>
      <c r="G231" s="843">
        <v>1</v>
      </c>
      <c r="H231" s="843">
        <v>2</v>
      </c>
      <c r="I231" s="843">
        <v>2</v>
      </c>
      <c r="K231" s="868" t="s">
        <v>1588</v>
      </c>
      <c r="L231" s="884">
        <v>3.8</v>
      </c>
      <c r="M231" s="884">
        <v>4.2</v>
      </c>
      <c r="N231" s="1142">
        <v>4.2</v>
      </c>
      <c r="O231" s="843">
        <v>0</v>
      </c>
      <c r="P231" s="843">
        <v>0</v>
      </c>
      <c r="Q231" s="843">
        <v>1</v>
      </c>
      <c r="R231" s="1143">
        <v>46198.752997685187</v>
      </c>
      <c r="S231" s="843">
        <v>1</v>
      </c>
      <c r="T231" s="843">
        <v>1</v>
      </c>
    </row>
    <row r="232" spans="3:20" ht="21.95" customHeight="1">
      <c r="C232" s="843">
        <v>205</v>
      </c>
      <c r="D232" s="843">
        <v>139</v>
      </c>
      <c r="E232" s="843" t="s">
        <v>2593</v>
      </c>
      <c r="F232" s="868" t="s">
        <v>3115</v>
      </c>
      <c r="G232" s="843">
        <v>1</v>
      </c>
      <c r="H232" s="843">
        <v>2</v>
      </c>
      <c r="I232" s="843">
        <v>2</v>
      </c>
      <c r="K232" s="868" t="s">
        <v>1588</v>
      </c>
      <c r="L232" s="884">
        <v>3.4</v>
      </c>
      <c r="M232" s="884">
        <v>4</v>
      </c>
      <c r="N232" s="1142">
        <v>4</v>
      </c>
      <c r="O232" s="843">
        <v>0</v>
      </c>
      <c r="P232" s="843">
        <v>0</v>
      </c>
      <c r="Q232" s="843">
        <v>1</v>
      </c>
      <c r="R232" s="1143">
        <v>46198.752997685187</v>
      </c>
      <c r="S232" s="843">
        <v>1</v>
      </c>
      <c r="T232" s="843">
        <v>1</v>
      </c>
    </row>
    <row r="233" spans="3:20" ht="21.95" customHeight="1">
      <c r="C233" s="843">
        <v>206</v>
      </c>
      <c r="D233" s="843">
        <v>140</v>
      </c>
      <c r="E233" s="843" t="s">
        <v>2595</v>
      </c>
      <c r="F233" s="868" t="s">
        <v>3116</v>
      </c>
      <c r="G233" s="843">
        <v>1</v>
      </c>
      <c r="H233" s="843">
        <v>2</v>
      </c>
      <c r="I233" s="843">
        <v>2</v>
      </c>
      <c r="K233" s="868" t="s">
        <v>1588</v>
      </c>
      <c r="L233" s="884">
        <v>7.5</v>
      </c>
      <c r="M233" s="884">
        <v>8.5</v>
      </c>
      <c r="N233" s="1142">
        <v>8.5</v>
      </c>
      <c r="O233" s="843">
        <v>0</v>
      </c>
      <c r="P233" s="843">
        <v>0</v>
      </c>
      <c r="Q233" s="843">
        <v>1</v>
      </c>
      <c r="R233" s="1143">
        <v>46198.752997685187</v>
      </c>
      <c r="S233" s="843">
        <v>1</v>
      </c>
      <c r="T233" s="843">
        <v>1</v>
      </c>
    </row>
    <row r="234" spans="3:20" ht="21.95" customHeight="1">
      <c r="C234" s="843">
        <v>207</v>
      </c>
      <c r="D234" s="843">
        <v>141</v>
      </c>
      <c r="E234" s="843" t="s">
        <v>2597</v>
      </c>
      <c r="F234" s="868" t="s">
        <v>3117</v>
      </c>
      <c r="G234" s="843">
        <v>1</v>
      </c>
      <c r="H234" s="843">
        <v>2</v>
      </c>
      <c r="I234" s="843">
        <v>2</v>
      </c>
      <c r="K234" s="868" t="s">
        <v>1588</v>
      </c>
      <c r="L234" s="884">
        <v>1.35</v>
      </c>
      <c r="M234" s="884">
        <v>2</v>
      </c>
      <c r="N234" s="1142">
        <v>2</v>
      </c>
      <c r="O234" s="843">
        <v>0</v>
      </c>
      <c r="P234" s="843">
        <v>0</v>
      </c>
      <c r="Q234" s="843">
        <v>1</v>
      </c>
      <c r="R234" s="1143">
        <v>46198.752997685187</v>
      </c>
      <c r="S234" s="843">
        <v>1</v>
      </c>
      <c r="T234" s="843">
        <v>1</v>
      </c>
    </row>
    <row r="235" spans="3:20" ht="21.95" customHeight="1">
      <c r="C235" s="843">
        <v>208</v>
      </c>
      <c r="D235" s="843">
        <v>142</v>
      </c>
      <c r="E235" s="843" t="s">
        <v>2599</v>
      </c>
      <c r="F235" s="868" t="s">
        <v>3118</v>
      </c>
      <c r="G235" s="843">
        <v>1</v>
      </c>
      <c r="H235" s="843">
        <v>2</v>
      </c>
      <c r="I235" s="843">
        <v>26</v>
      </c>
      <c r="K235" s="868" t="s">
        <v>1588</v>
      </c>
      <c r="L235" s="884">
        <v>4.08</v>
      </c>
      <c r="M235" s="884">
        <v>9</v>
      </c>
      <c r="N235" s="1142">
        <v>9</v>
      </c>
      <c r="O235" s="843">
        <v>0</v>
      </c>
      <c r="P235" s="843">
        <v>0</v>
      </c>
      <c r="Q235" s="843">
        <v>1</v>
      </c>
      <c r="R235" s="1143">
        <v>46198.752997685187</v>
      </c>
      <c r="S235" s="843">
        <v>1</v>
      </c>
      <c r="T235" s="843">
        <v>1</v>
      </c>
    </row>
    <row r="236" spans="3:20" ht="21.95" customHeight="1">
      <c r="C236" s="843">
        <v>209</v>
      </c>
      <c r="D236" s="843">
        <v>142</v>
      </c>
      <c r="E236" s="843" t="s">
        <v>2599</v>
      </c>
      <c r="F236" s="868" t="s">
        <v>3118</v>
      </c>
      <c r="G236" s="843">
        <v>1</v>
      </c>
      <c r="H236" s="843">
        <v>2</v>
      </c>
      <c r="I236" s="843">
        <v>2</v>
      </c>
      <c r="K236" s="868" t="s">
        <v>1588</v>
      </c>
      <c r="L236" s="884">
        <v>4.08</v>
      </c>
      <c r="M236" s="884">
        <v>0.75</v>
      </c>
      <c r="N236" s="1142">
        <v>0.75</v>
      </c>
      <c r="O236" s="843">
        <v>0</v>
      </c>
      <c r="P236" s="843">
        <v>0</v>
      </c>
      <c r="Q236" s="843">
        <v>1</v>
      </c>
      <c r="R236" s="1143">
        <v>46198.752997685187</v>
      </c>
      <c r="S236" s="843">
        <v>1</v>
      </c>
      <c r="T236" s="843">
        <v>1</v>
      </c>
    </row>
    <row r="237" spans="3:20" ht="21.95" customHeight="1">
      <c r="C237" s="843">
        <v>210</v>
      </c>
      <c r="D237" s="843">
        <v>143</v>
      </c>
      <c r="E237" s="843" t="s">
        <v>2601</v>
      </c>
      <c r="F237" s="868" t="s">
        <v>3119</v>
      </c>
      <c r="G237" s="843">
        <v>1</v>
      </c>
      <c r="H237" s="843">
        <v>2</v>
      </c>
      <c r="I237" s="843">
        <v>26</v>
      </c>
      <c r="K237" s="868" t="s">
        <v>1588</v>
      </c>
      <c r="L237" s="884">
        <v>38.799999999999997</v>
      </c>
      <c r="M237" s="884">
        <v>42</v>
      </c>
      <c r="N237" s="1142">
        <v>42</v>
      </c>
      <c r="O237" s="843">
        <v>0</v>
      </c>
      <c r="P237" s="843">
        <v>0</v>
      </c>
      <c r="Q237" s="843">
        <v>1</v>
      </c>
      <c r="R237" s="1143">
        <v>46198.752997685187</v>
      </c>
      <c r="S237" s="843">
        <v>1</v>
      </c>
      <c r="T237" s="843">
        <v>1</v>
      </c>
    </row>
    <row r="238" spans="3:20" ht="21.95" customHeight="1">
      <c r="C238" s="843">
        <v>211</v>
      </c>
      <c r="D238" s="843">
        <v>143</v>
      </c>
      <c r="E238" s="843" t="s">
        <v>2601</v>
      </c>
      <c r="F238" s="868" t="s">
        <v>3119</v>
      </c>
      <c r="G238" s="843">
        <v>1</v>
      </c>
      <c r="H238" s="843">
        <v>2</v>
      </c>
      <c r="I238" s="843">
        <v>2</v>
      </c>
      <c r="K238" s="868" t="s">
        <v>1588</v>
      </c>
      <c r="L238" s="884">
        <v>38.799999999999997</v>
      </c>
      <c r="M238" s="884">
        <v>3.5</v>
      </c>
      <c r="N238" s="1142">
        <v>3.5</v>
      </c>
      <c r="O238" s="843">
        <v>0</v>
      </c>
      <c r="P238" s="843">
        <v>0</v>
      </c>
      <c r="Q238" s="843">
        <v>1</v>
      </c>
      <c r="R238" s="1143">
        <v>46198.752997685187</v>
      </c>
      <c r="S238" s="843">
        <v>1</v>
      </c>
      <c r="T238" s="843">
        <v>1</v>
      </c>
    </row>
    <row r="239" spans="3:20" ht="21.95" customHeight="1">
      <c r="C239" s="843">
        <v>212</v>
      </c>
      <c r="D239" s="843">
        <v>144</v>
      </c>
      <c r="E239" s="843" t="s">
        <v>2603</v>
      </c>
      <c r="F239" s="868" t="s">
        <v>3120</v>
      </c>
      <c r="G239" s="843">
        <v>1</v>
      </c>
      <c r="H239" s="843">
        <v>2</v>
      </c>
      <c r="I239" s="843">
        <v>34</v>
      </c>
      <c r="K239" s="868" t="s">
        <v>1588</v>
      </c>
      <c r="L239" s="884">
        <v>15</v>
      </c>
      <c r="M239" s="884">
        <v>32.5</v>
      </c>
      <c r="N239" s="1142">
        <v>32.5</v>
      </c>
      <c r="O239" s="843">
        <v>0</v>
      </c>
      <c r="P239" s="843">
        <v>0</v>
      </c>
      <c r="Q239" s="843">
        <v>1</v>
      </c>
      <c r="R239" s="1143">
        <v>46198.752997685187</v>
      </c>
      <c r="S239" s="843">
        <v>1</v>
      </c>
      <c r="T239" s="843">
        <v>1</v>
      </c>
    </row>
    <row r="240" spans="3:20" ht="21.95" customHeight="1">
      <c r="C240" s="843">
        <v>213</v>
      </c>
      <c r="D240" s="843">
        <v>144</v>
      </c>
      <c r="E240" s="843" t="s">
        <v>2603</v>
      </c>
      <c r="F240" s="868" t="s">
        <v>3120</v>
      </c>
      <c r="G240" s="843">
        <v>1</v>
      </c>
      <c r="H240" s="843">
        <v>2</v>
      </c>
      <c r="I240" s="843">
        <v>2</v>
      </c>
      <c r="K240" s="868" t="s">
        <v>1588</v>
      </c>
      <c r="L240" s="884">
        <v>15</v>
      </c>
      <c r="M240" s="884">
        <v>0.65</v>
      </c>
      <c r="N240" s="1142">
        <v>0.65</v>
      </c>
      <c r="O240" s="843">
        <v>0</v>
      </c>
      <c r="P240" s="843">
        <v>0</v>
      </c>
      <c r="Q240" s="843">
        <v>1</v>
      </c>
      <c r="R240" s="1143">
        <v>46198.752997685187</v>
      </c>
      <c r="S240" s="843">
        <v>1</v>
      </c>
      <c r="T240" s="843">
        <v>1</v>
      </c>
    </row>
    <row r="241" spans="3:20" ht="21.95" customHeight="1">
      <c r="C241" s="843">
        <v>214</v>
      </c>
      <c r="D241" s="843">
        <v>145</v>
      </c>
      <c r="E241" s="843" t="s">
        <v>2605</v>
      </c>
      <c r="F241" s="868" t="s">
        <v>3121</v>
      </c>
      <c r="G241" s="843">
        <v>1</v>
      </c>
      <c r="H241" s="843">
        <v>2</v>
      </c>
      <c r="I241" s="843">
        <v>26</v>
      </c>
      <c r="K241" s="868" t="s">
        <v>1588</v>
      </c>
      <c r="L241" s="884">
        <v>3.48</v>
      </c>
      <c r="M241" s="884">
        <v>6</v>
      </c>
      <c r="N241" s="1142">
        <v>6</v>
      </c>
      <c r="O241" s="843">
        <v>0</v>
      </c>
      <c r="P241" s="843">
        <v>0</v>
      </c>
      <c r="Q241" s="843">
        <v>1</v>
      </c>
      <c r="R241" s="1143">
        <v>46198.752997685187</v>
      </c>
      <c r="S241" s="843">
        <v>1</v>
      </c>
      <c r="T241" s="843">
        <v>1</v>
      </c>
    </row>
    <row r="242" spans="3:20" ht="21.95" customHeight="1">
      <c r="C242" s="843">
        <v>215</v>
      </c>
      <c r="D242" s="843">
        <v>145</v>
      </c>
      <c r="E242" s="843" t="s">
        <v>2605</v>
      </c>
      <c r="F242" s="868" t="s">
        <v>3121</v>
      </c>
      <c r="G242" s="843">
        <v>1</v>
      </c>
      <c r="H242" s="843">
        <v>2</v>
      </c>
      <c r="I242" s="843">
        <v>2</v>
      </c>
      <c r="K242" s="868" t="s">
        <v>1588</v>
      </c>
      <c r="L242" s="884">
        <v>3.48</v>
      </c>
      <c r="M242" s="884">
        <v>0.5</v>
      </c>
      <c r="N242" s="1142">
        <v>0.5</v>
      </c>
      <c r="O242" s="843">
        <v>0</v>
      </c>
      <c r="P242" s="843">
        <v>0</v>
      </c>
      <c r="Q242" s="843">
        <v>1</v>
      </c>
      <c r="R242" s="1143">
        <v>46198.752997685187</v>
      </c>
      <c r="S242" s="843">
        <v>1</v>
      </c>
      <c r="T242" s="843">
        <v>1</v>
      </c>
    </row>
    <row r="243" spans="3:20" ht="21.95" customHeight="1">
      <c r="C243" s="843">
        <v>216</v>
      </c>
      <c r="D243" s="843">
        <v>146</v>
      </c>
      <c r="E243" s="843" t="s">
        <v>2607</v>
      </c>
      <c r="F243" s="868" t="s">
        <v>3122</v>
      </c>
      <c r="G243" s="843">
        <v>1</v>
      </c>
      <c r="H243" s="843">
        <v>2</v>
      </c>
      <c r="I243" s="843">
        <v>2</v>
      </c>
      <c r="K243" s="868" t="s">
        <v>1588</v>
      </c>
      <c r="L243" s="884">
        <v>0.04</v>
      </c>
      <c r="M243" s="884">
        <v>0.125</v>
      </c>
      <c r="N243" s="1142">
        <v>0.125</v>
      </c>
      <c r="O243" s="843">
        <v>0</v>
      </c>
      <c r="P243" s="843">
        <v>0</v>
      </c>
      <c r="Q243" s="843">
        <v>1</v>
      </c>
      <c r="R243" s="1143">
        <v>46198.752997685187</v>
      </c>
      <c r="S243" s="843">
        <v>1</v>
      </c>
      <c r="T243" s="843">
        <v>1</v>
      </c>
    </row>
    <row r="244" spans="3:20" ht="21.95" customHeight="1">
      <c r="C244" s="843">
        <v>217</v>
      </c>
      <c r="D244" s="843">
        <v>147</v>
      </c>
      <c r="E244" s="843" t="s">
        <v>2609</v>
      </c>
      <c r="F244" s="868" t="s">
        <v>3123</v>
      </c>
      <c r="G244" s="843">
        <v>1</v>
      </c>
      <c r="H244" s="843">
        <v>2</v>
      </c>
      <c r="I244" s="843">
        <v>47</v>
      </c>
      <c r="K244" s="868" t="s">
        <v>1588</v>
      </c>
      <c r="L244" s="884">
        <v>6</v>
      </c>
      <c r="M244" s="884">
        <v>9</v>
      </c>
      <c r="N244" s="1142">
        <v>9</v>
      </c>
      <c r="O244" s="843">
        <v>0</v>
      </c>
      <c r="P244" s="843">
        <v>0</v>
      </c>
      <c r="Q244" s="843">
        <v>1</v>
      </c>
      <c r="R244" s="1143">
        <v>46198.752997685187</v>
      </c>
      <c r="S244" s="843">
        <v>1</v>
      </c>
      <c r="T244" s="843">
        <v>1</v>
      </c>
    </row>
    <row r="245" spans="3:20" ht="21.95" customHeight="1">
      <c r="C245" s="843">
        <v>218</v>
      </c>
      <c r="D245" s="843">
        <v>147</v>
      </c>
      <c r="E245" s="843" t="s">
        <v>2609</v>
      </c>
      <c r="F245" s="868" t="s">
        <v>3123</v>
      </c>
      <c r="G245" s="843">
        <v>1</v>
      </c>
      <c r="H245" s="843">
        <v>2</v>
      </c>
      <c r="I245" s="843">
        <v>2</v>
      </c>
      <c r="K245" s="868" t="s">
        <v>1588</v>
      </c>
      <c r="L245" s="884">
        <v>6</v>
      </c>
      <c r="M245" s="884">
        <v>1.5</v>
      </c>
      <c r="N245" s="1142">
        <v>1.5</v>
      </c>
      <c r="O245" s="843">
        <v>0</v>
      </c>
      <c r="P245" s="843">
        <v>0</v>
      </c>
      <c r="Q245" s="843">
        <v>1</v>
      </c>
      <c r="R245" s="1143">
        <v>46198.752997685187</v>
      </c>
      <c r="S245" s="843">
        <v>1</v>
      </c>
      <c r="T245" s="843">
        <v>1</v>
      </c>
    </row>
    <row r="246" spans="3:20" ht="21.95" customHeight="1">
      <c r="C246" s="843">
        <v>219</v>
      </c>
      <c r="D246" s="843">
        <v>148</v>
      </c>
      <c r="E246" s="843" t="s">
        <v>2611</v>
      </c>
      <c r="F246" s="868" t="s">
        <v>3124</v>
      </c>
      <c r="G246" s="843">
        <v>1</v>
      </c>
      <c r="H246" s="843">
        <v>2</v>
      </c>
      <c r="I246" s="843">
        <v>2</v>
      </c>
      <c r="K246" s="868" t="s">
        <v>1588</v>
      </c>
      <c r="L246" s="884">
        <v>0.9</v>
      </c>
      <c r="M246" s="884">
        <v>1.5</v>
      </c>
      <c r="N246" s="1142">
        <v>1.5</v>
      </c>
      <c r="O246" s="843">
        <v>0</v>
      </c>
      <c r="P246" s="843">
        <v>0</v>
      </c>
      <c r="Q246" s="843">
        <v>1</v>
      </c>
      <c r="R246" s="1143">
        <v>46198.752997685187</v>
      </c>
      <c r="S246" s="843">
        <v>1</v>
      </c>
      <c r="T246" s="843">
        <v>1</v>
      </c>
    </row>
    <row r="247" spans="3:20" ht="21.95" customHeight="1">
      <c r="C247" s="843">
        <v>220</v>
      </c>
      <c r="D247" s="843">
        <v>149</v>
      </c>
      <c r="E247" s="843" t="s">
        <v>2614</v>
      </c>
      <c r="F247" s="868" t="s">
        <v>3125</v>
      </c>
      <c r="G247" s="843">
        <v>1</v>
      </c>
      <c r="H247" s="843">
        <v>2</v>
      </c>
      <c r="I247" s="843">
        <v>48</v>
      </c>
      <c r="K247" s="868" t="s">
        <v>1588</v>
      </c>
      <c r="L247" s="884">
        <v>4.8</v>
      </c>
      <c r="M247" s="884">
        <v>6</v>
      </c>
      <c r="N247" s="1142">
        <v>6</v>
      </c>
      <c r="O247" s="843">
        <v>0</v>
      </c>
      <c r="P247" s="843">
        <v>0</v>
      </c>
      <c r="Q247" s="843">
        <v>1</v>
      </c>
      <c r="R247" s="1143">
        <v>46198.752997685187</v>
      </c>
      <c r="S247" s="843">
        <v>1</v>
      </c>
      <c r="T247" s="843">
        <v>1</v>
      </c>
    </row>
    <row r="248" spans="3:20" ht="21.95" customHeight="1">
      <c r="C248" s="843">
        <v>221</v>
      </c>
      <c r="D248" s="843">
        <v>149</v>
      </c>
      <c r="E248" s="843" t="s">
        <v>2614</v>
      </c>
      <c r="F248" s="868" t="s">
        <v>3125</v>
      </c>
      <c r="G248" s="843">
        <v>1</v>
      </c>
      <c r="H248" s="843">
        <v>2</v>
      </c>
      <c r="I248" s="843">
        <v>8</v>
      </c>
      <c r="K248" s="868" t="s">
        <v>1588</v>
      </c>
      <c r="L248" s="884">
        <v>4.8</v>
      </c>
      <c r="M248" s="884">
        <v>0.5</v>
      </c>
      <c r="N248" s="1142">
        <v>0.5</v>
      </c>
      <c r="O248" s="843">
        <v>0</v>
      </c>
      <c r="P248" s="843">
        <v>0</v>
      </c>
      <c r="Q248" s="843">
        <v>1</v>
      </c>
      <c r="R248" s="1143">
        <v>46198.752997685187</v>
      </c>
      <c r="S248" s="843">
        <v>1</v>
      </c>
      <c r="T248" s="843">
        <v>1</v>
      </c>
    </row>
    <row r="249" spans="3:20" ht="21.95" customHeight="1">
      <c r="C249" s="843">
        <v>222</v>
      </c>
      <c r="D249" s="843">
        <v>150</v>
      </c>
      <c r="E249" s="843" t="s">
        <v>2616</v>
      </c>
      <c r="F249" s="868" t="s">
        <v>3126</v>
      </c>
      <c r="G249" s="843">
        <v>1</v>
      </c>
      <c r="H249" s="843">
        <v>2</v>
      </c>
      <c r="I249" s="843">
        <v>48</v>
      </c>
      <c r="K249" s="868" t="s">
        <v>1588</v>
      </c>
      <c r="L249" s="884">
        <v>1.56</v>
      </c>
      <c r="M249" s="884">
        <v>3</v>
      </c>
      <c r="N249" s="1142">
        <v>3</v>
      </c>
      <c r="O249" s="843">
        <v>0</v>
      </c>
      <c r="P249" s="843">
        <v>0</v>
      </c>
      <c r="Q249" s="843">
        <v>1</v>
      </c>
      <c r="R249" s="1143">
        <v>46198.752997685187</v>
      </c>
      <c r="S249" s="843">
        <v>1</v>
      </c>
      <c r="T249" s="843">
        <v>1</v>
      </c>
    </row>
    <row r="250" spans="3:20" ht="21.95" customHeight="1">
      <c r="C250" s="843">
        <v>223</v>
      </c>
      <c r="D250" s="843">
        <v>150</v>
      </c>
      <c r="E250" s="843" t="s">
        <v>2616</v>
      </c>
      <c r="F250" s="868" t="s">
        <v>3126</v>
      </c>
      <c r="G250" s="843">
        <v>1</v>
      </c>
      <c r="H250" s="843">
        <v>2</v>
      </c>
      <c r="I250" s="843">
        <v>8</v>
      </c>
      <c r="K250" s="868" t="s">
        <v>1588</v>
      </c>
      <c r="L250" s="884">
        <v>1.56</v>
      </c>
      <c r="M250" s="884">
        <v>0.25</v>
      </c>
      <c r="N250" s="1142">
        <v>0.25</v>
      </c>
      <c r="O250" s="843">
        <v>0</v>
      </c>
      <c r="P250" s="843">
        <v>0</v>
      </c>
      <c r="Q250" s="843">
        <v>1</v>
      </c>
      <c r="R250" s="1143">
        <v>46198.752997685187</v>
      </c>
      <c r="S250" s="843">
        <v>1</v>
      </c>
      <c r="T250" s="843">
        <v>1</v>
      </c>
    </row>
    <row r="251" spans="3:20" ht="21.95" customHeight="1">
      <c r="C251" s="843">
        <v>224</v>
      </c>
      <c r="D251" s="843">
        <v>151</v>
      </c>
      <c r="E251" s="843" t="s">
        <v>2948</v>
      </c>
      <c r="F251" s="868" t="s">
        <v>3127</v>
      </c>
      <c r="G251" s="843">
        <v>1</v>
      </c>
      <c r="H251" s="843">
        <v>2</v>
      </c>
      <c r="I251" s="843">
        <v>28</v>
      </c>
      <c r="K251" s="868" t="s">
        <v>1588</v>
      </c>
      <c r="L251" s="884">
        <v>49</v>
      </c>
      <c r="M251" s="884">
        <v>52</v>
      </c>
      <c r="N251" s="1142">
        <v>52</v>
      </c>
      <c r="O251" s="843">
        <v>0</v>
      </c>
      <c r="P251" s="843">
        <v>0</v>
      </c>
      <c r="Q251" s="843">
        <v>1</v>
      </c>
      <c r="R251" s="1143">
        <v>46198.752997685187</v>
      </c>
      <c r="S251" s="843">
        <v>1</v>
      </c>
      <c r="T251" s="843">
        <v>1</v>
      </c>
    </row>
    <row r="252" spans="3:20" ht="21.95" customHeight="1">
      <c r="C252" s="843">
        <v>225</v>
      </c>
      <c r="D252" s="843">
        <v>152</v>
      </c>
      <c r="E252" s="843" t="s">
        <v>2619</v>
      </c>
      <c r="F252" s="868" t="s">
        <v>3128</v>
      </c>
      <c r="G252" s="843">
        <v>1</v>
      </c>
      <c r="H252" s="843">
        <v>2</v>
      </c>
      <c r="I252" s="843">
        <v>29</v>
      </c>
      <c r="K252" s="868" t="s">
        <v>1588</v>
      </c>
      <c r="L252" s="884">
        <v>45</v>
      </c>
      <c r="M252" s="884">
        <v>46</v>
      </c>
      <c r="N252" s="1142">
        <v>46</v>
      </c>
      <c r="O252" s="843">
        <v>0</v>
      </c>
      <c r="P252" s="843">
        <v>0</v>
      </c>
      <c r="Q252" s="843">
        <v>1</v>
      </c>
      <c r="R252" s="1143">
        <v>46198.752997685187</v>
      </c>
      <c r="S252" s="843">
        <v>1</v>
      </c>
      <c r="T252" s="843">
        <v>1</v>
      </c>
    </row>
    <row r="253" spans="3:20" ht="21.95" customHeight="1">
      <c r="C253" s="843">
        <v>226</v>
      </c>
      <c r="D253" s="843">
        <v>152</v>
      </c>
      <c r="E253" s="843" t="s">
        <v>2619</v>
      </c>
      <c r="F253" s="868" t="s">
        <v>3128</v>
      </c>
      <c r="G253" s="843">
        <v>1</v>
      </c>
      <c r="H253" s="843">
        <v>2</v>
      </c>
      <c r="I253" s="843">
        <v>2</v>
      </c>
      <c r="K253" s="868" t="s">
        <v>1588</v>
      </c>
      <c r="L253" s="884">
        <v>45</v>
      </c>
      <c r="M253" s="884">
        <v>11.5</v>
      </c>
      <c r="N253" s="1142">
        <v>11.5</v>
      </c>
      <c r="O253" s="843">
        <v>0</v>
      </c>
      <c r="P253" s="843">
        <v>0</v>
      </c>
      <c r="Q253" s="843">
        <v>1</v>
      </c>
      <c r="R253" s="1143">
        <v>46198.752997685187</v>
      </c>
      <c r="S253" s="843">
        <v>1</v>
      </c>
      <c r="T253" s="843">
        <v>1</v>
      </c>
    </row>
    <row r="254" spans="3:20" ht="21.95" customHeight="1">
      <c r="C254" s="843">
        <v>227</v>
      </c>
      <c r="D254" s="843">
        <v>153</v>
      </c>
      <c r="E254" s="843" t="s">
        <v>2621</v>
      </c>
      <c r="F254" s="868" t="s">
        <v>3129</v>
      </c>
      <c r="G254" s="843">
        <v>1</v>
      </c>
      <c r="H254" s="843">
        <v>2</v>
      </c>
      <c r="I254" s="843">
        <v>30</v>
      </c>
      <c r="K254" s="868" t="s">
        <v>1588</v>
      </c>
      <c r="L254" s="884">
        <v>39.6</v>
      </c>
      <c r="M254" s="884">
        <v>45</v>
      </c>
      <c r="N254" s="1142">
        <v>45</v>
      </c>
      <c r="O254" s="843">
        <v>0</v>
      </c>
      <c r="P254" s="843">
        <v>0</v>
      </c>
      <c r="Q254" s="843">
        <v>1</v>
      </c>
      <c r="R254" s="1143">
        <v>46198.752997685187</v>
      </c>
      <c r="S254" s="843">
        <v>1</v>
      </c>
      <c r="T254" s="843">
        <v>1</v>
      </c>
    </row>
    <row r="255" spans="3:20" ht="21.95" customHeight="1">
      <c r="C255" s="843">
        <v>228</v>
      </c>
      <c r="D255" s="843">
        <v>153</v>
      </c>
      <c r="E255" s="843" t="s">
        <v>2621</v>
      </c>
      <c r="F255" s="868" t="s">
        <v>3129</v>
      </c>
      <c r="G255" s="843">
        <v>1</v>
      </c>
      <c r="H255" s="843">
        <v>2</v>
      </c>
      <c r="I255" s="843">
        <v>2</v>
      </c>
      <c r="K255" s="868" t="s">
        <v>1588</v>
      </c>
      <c r="L255" s="884">
        <v>39.6</v>
      </c>
      <c r="M255" s="884">
        <v>3.75</v>
      </c>
      <c r="N255" s="1142">
        <v>3.75</v>
      </c>
      <c r="O255" s="843">
        <v>0</v>
      </c>
      <c r="P255" s="843">
        <v>0</v>
      </c>
      <c r="Q255" s="843">
        <v>1</v>
      </c>
      <c r="R255" s="1143">
        <v>46198.752997685187</v>
      </c>
      <c r="S255" s="843">
        <v>1</v>
      </c>
      <c r="T255" s="843">
        <v>1</v>
      </c>
    </row>
    <row r="256" spans="3:20" ht="21.95" customHeight="1">
      <c r="C256" s="843">
        <v>229</v>
      </c>
      <c r="D256" s="843">
        <v>154</v>
      </c>
      <c r="E256" s="843" t="s">
        <v>2623</v>
      </c>
      <c r="F256" s="868" t="s">
        <v>3130</v>
      </c>
      <c r="G256" s="843">
        <v>1</v>
      </c>
      <c r="H256" s="843">
        <v>2</v>
      </c>
      <c r="I256" s="843">
        <v>27</v>
      </c>
      <c r="K256" s="868" t="s">
        <v>1588</v>
      </c>
      <c r="L256" s="884">
        <v>66</v>
      </c>
      <c r="M256" s="884">
        <v>68</v>
      </c>
      <c r="N256" s="1142">
        <v>68</v>
      </c>
      <c r="O256" s="843">
        <v>0</v>
      </c>
      <c r="P256" s="843">
        <v>0</v>
      </c>
      <c r="Q256" s="843">
        <v>1</v>
      </c>
      <c r="R256" s="1143">
        <v>46198.752997685187</v>
      </c>
      <c r="S256" s="843">
        <v>1</v>
      </c>
      <c r="T256" s="843">
        <v>1</v>
      </c>
    </row>
    <row r="257" spans="3:20" ht="21.95" customHeight="1">
      <c r="C257" s="843">
        <v>230</v>
      </c>
      <c r="D257" s="843">
        <v>155</v>
      </c>
      <c r="E257" s="843" t="s">
        <v>2625</v>
      </c>
      <c r="F257" s="868" t="s">
        <v>3131</v>
      </c>
      <c r="G257" s="843">
        <v>1</v>
      </c>
      <c r="H257" s="843">
        <v>2</v>
      </c>
      <c r="I257" s="843">
        <v>42</v>
      </c>
      <c r="K257" s="868" t="s">
        <v>1588</v>
      </c>
      <c r="L257" s="884">
        <v>58</v>
      </c>
      <c r="M257" s="884">
        <v>60</v>
      </c>
      <c r="N257" s="1142">
        <v>60</v>
      </c>
      <c r="O257" s="843">
        <v>0</v>
      </c>
      <c r="P257" s="843">
        <v>0</v>
      </c>
      <c r="Q257" s="843">
        <v>1</v>
      </c>
      <c r="R257" s="1143">
        <v>46198.752997685187</v>
      </c>
      <c r="S257" s="843">
        <v>1</v>
      </c>
      <c r="T257" s="843">
        <v>1</v>
      </c>
    </row>
    <row r="258" spans="3:20" ht="21.95" customHeight="1">
      <c r="C258" s="843">
        <v>231</v>
      </c>
      <c r="D258" s="843">
        <v>155</v>
      </c>
      <c r="E258" s="843" t="s">
        <v>2625</v>
      </c>
      <c r="F258" s="868" t="s">
        <v>3131</v>
      </c>
      <c r="G258" s="843">
        <v>1</v>
      </c>
      <c r="H258" s="843">
        <v>2</v>
      </c>
      <c r="I258" s="843">
        <v>9</v>
      </c>
      <c r="K258" s="868" t="s">
        <v>1588</v>
      </c>
      <c r="L258" s="884">
        <v>58</v>
      </c>
      <c r="M258" s="884">
        <v>15</v>
      </c>
      <c r="N258" s="1142">
        <v>15</v>
      </c>
      <c r="O258" s="843">
        <v>0</v>
      </c>
      <c r="P258" s="843">
        <v>0</v>
      </c>
      <c r="Q258" s="843">
        <v>1</v>
      </c>
      <c r="R258" s="1143">
        <v>46198.752997685187</v>
      </c>
      <c r="S258" s="843">
        <v>1</v>
      </c>
      <c r="T258" s="843">
        <v>1</v>
      </c>
    </row>
    <row r="259" spans="3:20" ht="21.95" customHeight="1">
      <c r="C259" s="843">
        <v>232</v>
      </c>
      <c r="D259" s="843">
        <v>156</v>
      </c>
      <c r="E259" s="843" t="s">
        <v>2627</v>
      </c>
      <c r="F259" s="868" t="s">
        <v>3132</v>
      </c>
      <c r="G259" s="843">
        <v>1</v>
      </c>
      <c r="H259" s="843">
        <v>2</v>
      </c>
      <c r="I259" s="843">
        <v>43</v>
      </c>
      <c r="K259" s="868" t="s">
        <v>1588</v>
      </c>
      <c r="L259" s="884">
        <v>52.92</v>
      </c>
      <c r="M259" s="884">
        <v>57.599999999999994</v>
      </c>
      <c r="N259" s="1142">
        <v>57.599999999999994</v>
      </c>
      <c r="O259" s="843">
        <v>0</v>
      </c>
      <c r="P259" s="843">
        <v>0</v>
      </c>
      <c r="Q259" s="843">
        <v>1</v>
      </c>
      <c r="R259" s="1143">
        <v>46198.752997685187</v>
      </c>
      <c r="S259" s="843">
        <v>1</v>
      </c>
      <c r="T259" s="843">
        <v>1</v>
      </c>
    </row>
    <row r="260" spans="3:20" ht="21.95" customHeight="1">
      <c r="C260" s="843">
        <v>233</v>
      </c>
      <c r="D260" s="843">
        <v>156</v>
      </c>
      <c r="E260" s="843" t="s">
        <v>2627</v>
      </c>
      <c r="F260" s="868" t="s">
        <v>3132</v>
      </c>
      <c r="G260" s="843">
        <v>1</v>
      </c>
      <c r="H260" s="843">
        <v>2</v>
      </c>
      <c r="I260" s="843">
        <v>9</v>
      </c>
      <c r="K260" s="868" t="s">
        <v>1588</v>
      </c>
      <c r="L260" s="884">
        <v>52.92</v>
      </c>
      <c r="M260" s="884">
        <v>4.8</v>
      </c>
      <c r="N260" s="1142">
        <v>4.8</v>
      </c>
      <c r="O260" s="843">
        <v>0</v>
      </c>
      <c r="P260" s="843">
        <v>0</v>
      </c>
      <c r="Q260" s="843">
        <v>1</v>
      </c>
      <c r="R260" s="1143">
        <v>46198.752997685187</v>
      </c>
      <c r="S260" s="843">
        <v>1</v>
      </c>
      <c r="T260" s="843">
        <v>1</v>
      </c>
    </row>
    <row r="261" spans="3:20" ht="21.95" customHeight="1">
      <c r="C261" s="843">
        <v>234</v>
      </c>
      <c r="D261" s="843">
        <v>157</v>
      </c>
      <c r="E261" s="843" t="s">
        <v>2629</v>
      </c>
      <c r="F261" s="868" t="s">
        <v>3133</v>
      </c>
      <c r="G261" s="843">
        <v>1</v>
      </c>
      <c r="H261" s="843">
        <v>2</v>
      </c>
      <c r="I261" s="843">
        <v>43</v>
      </c>
      <c r="K261" s="868" t="s">
        <v>1588</v>
      </c>
      <c r="L261" s="884">
        <v>21</v>
      </c>
      <c r="M261" s="884">
        <v>24</v>
      </c>
      <c r="N261" s="1142">
        <v>24</v>
      </c>
      <c r="O261" s="843">
        <v>0</v>
      </c>
      <c r="P261" s="843">
        <v>0</v>
      </c>
      <c r="Q261" s="843">
        <v>1</v>
      </c>
      <c r="R261" s="1143">
        <v>46198.752997685187</v>
      </c>
      <c r="S261" s="843">
        <v>1</v>
      </c>
      <c r="T261" s="843">
        <v>1</v>
      </c>
    </row>
    <row r="262" spans="3:20" ht="21.95" customHeight="1">
      <c r="C262" s="843">
        <v>235</v>
      </c>
      <c r="D262" s="843">
        <v>157</v>
      </c>
      <c r="E262" s="843" t="s">
        <v>2629</v>
      </c>
      <c r="F262" s="868" t="s">
        <v>3133</v>
      </c>
      <c r="G262" s="843">
        <v>1</v>
      </c>
      <c r="H262" s="843">
        <v>2</v>
      </c>
      <c r="I262" s="843">
        <v>9</v>
      </c>
      <c r="K262" s="868" t="s">
        <v>1588</v>
      </c>
      <c r="L262" s="884">
        <v>21</v>
      </c>
      <c r="M262" s="884">
        <v>2</v>
      </c>
      <c r="N262" s="1142">
        <v>2</v>
      </c>
      <c r="O262" s="843">
        <v>0</v>
      </c>
      <c r="P262" s="843">
        <v>0</v>
      </c>
      <c r="Q262" s="843">
        <v>1</v>
      </c>
      <c r="R262" s="1143">
        <v>46198.752997685187</v>
      </c>
      <c r="S262" s="843">
        <v>1</v>
      </c>
      <c r="T262" s="843">
        <v>1</v>
      </c>
    </row>
    <row r="263" spans="3:20" ht="21.95" customHeight="1">
      <c r="C263" s="843">
        <v>236</v>
      </c>
      <c r="D263" s="843">
        <v>158</v>
      </c>
      <c r="E263" s="843" t="s">
        <v>2631</v>
      </c>
      <c r="F263" s="868" t="s">
        <v>3134</v>
      </c>
      <c r="G263" s="843">
        <v>1</v>
      </c>
      <c r="H263" s="843">
        <v>2</v>
      </c>
      <c r="I263" s="843">
        <v>27</v>
      </c>
      <c r="K263" s="868" t="s">
        <v>1588</v>
      </c>
      <c r="L263" s="884">
        <v>53</v>
      </c>
      <c r="M263" s="884">
        <v>55</v>
      </c>
      <c r="N263" s="1142">
        <v>55</v>
      </c>
      <c r="O263" s="843">
        <v>0</v>
      </c>
      <c r="P263" s="843">
        <v>0</v>
      </c>
      <c r="Q263" s="843">
        <v>1</v>
      </c>
      <c r="R263" s="1143">
        <v>46198.752997685187</v>
      </c>
      <c r="S263" s="843">
        <v>1</v>
      </c>
      <c r="T263" s="843">
        <v>1</v>
      </c>
    </row>
    <row r="264" spans="3:20" ht="21.95" customHeight="1">
      <c r="C264" s="843">
        <v>237</v>
      </c>
      <c r="D264" s="843">
        <v>159</v>
      </c>
      <c r="E264" s="843" t="s">
        <v>2633</v>
      </c>
      <c r="F264" s="868" t="s">
        <v>3135</v>
      </c>
      <c r="G264" s="843">
        <v>1</v>
      </c>
      <c r="H264" s="843">
        <v>2</v>
      </c>
      <c r="I264" s="843">
        <v>27</v>
      </c>
      <c r="K264" s="868" t="s">
        <v>1588</v>
      </c>
      <c r="L264" s="884">
        <v>49</v>
      </c>
      <c r="M264" s="884">
        <v>52</v>
      </c>
      <c r="N264" s="1142">
        <v>52</v>
      </c>
      <c r="O264" s="843">
        <v>0</v>
      </c>
      <c r="P264" s="843">
        <v>0</v>
      </c>
      <c r="Q264" s="843">
        <v>1</v>
      </c>
      <c r="R264" s="1143">
        <v>46198.752997685187</v>
      </c>
      <c r="S264" s="843">
        <v>1</v>
      </c>
      <c r="T264" s="843">
        <v>1</v>
      </c>
    </row>
    <row r="265" spans="3:20" ht="21.95" customHeight="1">
      <c r="C265" s="843">
        <v>238</v>
      </c>
      <c r="D265" s="843">
        <v>160</v>
      </c>
      <c r="E265" s="843" t="s">
        <v>2635</v>
      </c>
      <c r="F265" s="868" t="s">
        <v>3136</v>
      </c>
      <c r="G265" s="843">
        <v>1</v>
      </c>
      <c r="H265" s="843">
        <v>2</v>
      </c>
      <c r="I265" s="843">
        <v>42</v>
      </c>
      <c r="K265" s="868" t="s">
        <v>1588</v>
      </c>
      <c r="L265" s="884">
        <v>47</v>
      </c>
      <c r="M265" s="884">
        <v>48</v>
      </c>
      <c r="N265" s="1142">
        <v>48</v>
      </c>
      <c r="O265" s="843">
        <v>0</v>
      </c>
      <c r="P265" s="843">
        <v>0</v>
      </c>
      <c r="Q265" s="843">
        <v>1</v>
      </c>
      <c r="R265" s="1143">
        <v>46198.752997685187</v>
      </c>
      <c r="S265" s="843">
        <v>1</v>
      </c>
      <c r="T265" s="843">
        <v>1</v>
      </c>
    </row>
    <row r="266" spans="3:20" ht="21.95" customHeight="1">
      <c r="C266" s="843">
        <v>239</v>
      </c>
      <c r="D266" s="843">
        <v>160</v>
      </c>
      <c r="E266" s="843" t="s">
        <v>2635</v>
      </c>
      <c r="F266" s="868" t="s">
        <v>3136</v>
      </c>
      <c r="G266" s="843">
        <v>1</v>
      </c>
      <c r="H266" s="843">
        <v>2</v>
      </c>
      <c r="I266" s="843">
        <v>9</v>
      </c>
      <c r="K266" s="868" t="s">
        <v>1588</v>
      </c>
      <c r="L266" s="884">
        <v>47</v>
      </c>
      <c r="M266" s="884">
        <v>12</v>
      </c>
      <c r="N266" s="1142">
        <v>12</v>
      </c>
      <c r="O266" s="843">
        <v>0</v>
      </c>
      <c r="P266" s="843">
        <v>0</v>
      </c>
      <c r="Q266" s="843">
        <v>1</v>
      </c>
      <c r="R266" s="1143">
        <v>46198.752997685187</v>
      </c>
      <c r="S266" s="843">
        <v>1</v>
      </c>
      <c r="T266" s="843">
        <v>1</v>
      </c>
    </row>
    <row r="267" spans="3:20" ht="21.95" customHeight="1">
      <c r="C267" s="843">
        <v>240</v>
      </c>
      <c r="D267" s="843">
        <v>161</v>
      </c>
      <c r="E267" s="843" t="s">
        <v>2637</v>
      </c>
      <c r="F267" s="868" t="s">
        <v>3137</v>
      </c>
      <c r="G267" s="843">
        <v>1</v>
      </c>
      <c r="H267" s="843">
        <v>2</v>
      </c>
      <c r="I267" s="843">
        <v>43</v>
      </c>
      <c r="K267" s="868" t="s">
        <v>1588</v>
      </c>
      <c r="L267" s="884">
        <v>43.2</v>
      </c>
      <c r="M267" s="884">
        <v>48</v>
      </c>
      <c r="N267" s="1142">
        <v>48</v>
      </c>
      <c r="O267" s="843">
        <v>0</v>
      </c>
      <c r="P267" s="843">
        <v>0</v>
      </c>
      <c r="Q267" s="843">
        <v>1</v>
      </c>
      <c r="R267" s="1143">
        <v>46198.752997685187</v>
      </c>
      <c r="S267" s="843">
        <v>1</v>
      </c>
      <c r="T267" s="843">
        <v>1</v>
      </c>
    </row>
    <row r="268" spans="3:20" ht="21.95" customHeight="1">
      <c r="C268" s="843">
        <v>241</v>
      </c>
      <c r="D268" s="843">
        <v>161</v>
      </c>
      <c r="E268" s="843" t="s">
        <v>2637</v>
      </c>
      <c r="F268" s="868" t="s">
        <v>3137</v>
      </c>
      <c r="G268" s="843">
        <v>1</v>
      </c>
      <c r="H268" s="843">
        <v>2</v>
      </c>
      <c r="I268" s="843">
        <v>9</v>
      </c>
      <c r="K268" s="868" t="s">
        <v>1588</v>
      </c>
      <c r="L268" s="884">
        <v>43.2</v>
      </c>
      <c r="M268" s="884">
        <v>4</v>
      </c>
      <c r="N268" s="1142">
        <v>4</v>
      </c>
      <c r="O268" s="843">
        <v>0</v>
      </c>
      <c r="P268" s="843">
        <v>0</v>
      </c>
      <c r="Q268" s="843">
        <v>1</v>
      </c>
      <c r="R268" s="1143">
        <v>46198.752997685187</v>
      </c>
      <c r="S268" s="843">
        <v>1</v>
      </c>
      <c r="T268" s="843">
        <v>1</v>
      </c>
    </row>
    <row r="269" spans="3:20" ht="21.95" customHeight="1">
      <c r="C269" s="843">
        <v>242</v>
      </c>
      <c r="D269" s="843">
        <v>162</v>
      </c>
      <c r="E269" s="843" t="s">
        <v>2639</v>
      </c>
      <c r="F269" s="868" t="s">
        <v>3138</v>
      </c>
      <c r="G269" s="843">
        <v>1</v>
      </c>
      <c r="H269" s="843">
        <v>2</v>
      </c>
      <c r="I269" s="843">
        <v>27</v>
      </c>
      <c r="K269" s="868" t="s">
        <v>1588</v>
      </c>
      <c r="L269" s="884">
        <v>53</v>
      </c>
      <c r="M269" s="884">
        <v>55</v>
      </c>
      <c r="N269" s="1142">
        <v>55</v>
      </c>
      <c r="O269" s="843">
        <v>0</v>
      </c>
      <c r="P269" s="843">
        <v>0</v>
      </c>
      <c r="Q269" s="843">
        <v>1</v>
      </c>
      <c r="R269" s="1143">
        <v>46198.752997685187</v>
      </c>
      <c r="S269" s="843">
        <v>1</v>
      </c>
      <c r="T269" s="843">
        <v>1</v>
      </c>
    </row>
    <row r="270" spans="3:20" ht="21.95" customHeight="1">
      <c r="C270" s="843">
        <v>243</v>
      </c>
      <c r="D270" s="843">
        <v>163</v>
      </c>
      <c r="E270" s="843" t="s">
        <v>2641</v>
      </c>
      <c r="F270" s="868" t="s">
        <v>3139</v>
      </c>
      <c r="G270" s="843">
        <v>1</v>
      </c>
      <c r="H270" s="843">
        <v>2</v>
      </c>
      <c r="I270" s="843">
        <v>42</v>
      </c>
      <c r="K270" s="868" t="s">
        <v>1588</v>
      </c>
      <c r="L270" s="884">
        <v>51</v>
      </c>
      <c r="M270" s="884">
        <v>53</v>
      </c>
      <c r="N270" s="1142">
        <v>53</v>
      </c>
      <c r="O270" s="843">
        <v>0</v>
      </c>
      <c r="P270" s="843">
        <v>0</v>
      </c>
      <c r="Q270" s="843">
        <v>1</v>
      </c>
      <c r="R270" s="1143">
        <v>46198.752997685187</v>
      </c>
      <c r="S270" s="843">
        <v>1</v>
      </c>
      <c r="T270" s="843">
        <v>1</v>
      </c>
    </row>
    <row r="271" spans="3:20" ht="21.95" customHeight="1">
      <c r="C271" s="843">
        <v>244</v>
      </c>
      <c r="D271" s="843">
        <v>163</v>
      </c>
      <c r="E271" s="843" t="s">
        <v>2641</v>
      </c>
      <c r="F271" s="868" t="s">
        <v>3139</v>
      </c>
      <c r="G271" s="843">
        <v>1</v>
      </c>
      <c r="H271" s="843">
        <v>2</v>
      </c>
      <c r="I271" s="843">
        <v>9</v>
      </c>
      <c r="K271" s="868" t="s">
        <v>1588</v>
      </c>
      <c r="L271" s="884">
        <v>51</v>
      </c>
      <c r="M271" s="884">
        <v>13.25</v>
      </c>
      <c r="N271" s="1142">
        <v>13.25</v>
      </c>
      <c r="O271" s="843">
        <v>0</v>
      </c>
      <c r="P271" s="843">
        <v>0</v>
      </c>
      <c r="Q271" s="843">
        <v>1</v>
      </c>
      <c r="R271" s="1143">
        <v>46198.752997685187</v>
      </c>
      <c r="S271" s="843">
        <v>1</v>
      </c>
      <c r="T271" s="843">
        <v>1</v>
      </c>
    </row>
    <row r="272" spans="3:20" ht="21.95" customHeight="1">
      <c r="C272" s="843">
        <v>245</v>
      </c>
      <c r="D272" s="843">
        <v>164</v>
      </c>
      <c r="E272" s="843" t="s">
        <v>2642</v>
      </c>
      <c r="F272" s="868" t="s">
        <v>3140</v>
      </c>
      <c r="G272" s="843">
        <v>1</v>
      </c>
      <c r="H272" s="843">
        <v>2</v>
      </c>
      <c r="I272" s="843">
        <v>27</v>
      </c>
      <c r="K272" s="868" t="s">
        <v>1588</v>
      </c>
      <c r="L272" s="884">
        <v>88</v>
      </c>
      <c r="M272" s="884">
        <v>90</v>
      </c>
      <c r="N272" s="1142">
        <v>90</v>
      </c>
      <c r="O272" s="843">
        <v>0</v>
      </c>
      <c r="P272" s="843">
        <v>0</v>
      </c>
      <c r="Q272" s="843">
        <v>1</v>
      </c>
      <c r="R272" s="1143">
        <v>46198.752997685187</v>
      </c>
      <c r="S272" s="843">
        <v>1</v>
      </c>
      <c r="T272" s="843">
        <v>1</v>
      </c>
    </row>
    <row r="273" spans="3:20" ht="21.95" customHeight="1">
      <c r="C273" s="843">
        <v>246</v>
      </c>
      <c r="D273" s="843">
        <v>165</v>
      </c>
      <c r="E273" s="843" t="s">
        <v>2643</v>
      </c>
      <c r="F273" s="868" t="s">
        <v>3141</v>
      </c>
      <c r="G273" s="843">
        <v>1</v>
      </c>
      <c r="H273" s="843">
        <v>2</v>
      </c>
      <c r="I273" s="843">
        <v>42</v>
      </c>
      <c r="K273" s="868" t="s">
        <v>1588</v>
      </c>
      <c r="L273" s="884">
        <v>81</v>
      </c>
      <c r="M273" s="884">
        <v>85</v>
      </c>
      <c r="N273" s="1142">
        <v>85</v>
      </c>
      <c r="O273" s="843">
        <v>0</v>
      </c>
      <c r="P273" s="843">
        <v>0</v>
      </c>
      <c r="Q273" s="843">
        <v>1</v>
      </c>
      <c r="R273" s="1143">
        <v>46198.752997685187</v>
      </c>
      <c r="S273" s="843">
        <v>1</v>
      </c>
      <c r="T273" s="843">
        <v>1</v>
      </c>
    </row>
    <row r="274" spans="3:20" ht="21.95" customHeight="1">
      <c r="C274" s="843">
        <v>247</v>
      </c>
      <c r="D274" s="843">
        <v>165</v>
      </c>
      <c r="E274" s="843" t="s">
        <v>2643</v>
      </c>
      <c r="F274" s="868" t="s">
        <v>3141</v>
      </c>
      <c r="G274" s="843">
        <v>1</v>
      </c>
      <c r="H274" s="843">
        <v>2</v>
      </c>
      <c r="I274" s="843">
        <v>9</v>
      </c>
      <c r="K274" s="868" t="s">
        <v>1588</v>
      </c>
      <c r="L274" s="884">
        <v>81</v>
      </c>
      <c r="M274" s="884">
        <v>21.25</v>
      </c>
      <c r="N274" s="1142">
        <v>21.25</v>
      </c>
      <c r="O274" s="843">
        <v>0</v>
      </c>
      <c r="P274" s="843">
        <v>0</v>
      </c>
      <c r="Q274" s="843">
        <v>1</v>
      </c>
      <c r="R274" s="1143">
        <v>46198.752997685187</v>
      </c>
      <c r="S274" s="843">
        <v>1</v>
      </c>
      <c r="T274" s="843">
        <v>1</v>
      </c>
    </row>
    <row r="275" spans="3:20" ht="21.95" customHeight="1">
      <c r="C275" s="843">
        <v>248</v>
      </c>
      <c r="D275" s="843">
        <v>166</v>
      </c>
      <c r="E275" s="843" t="s">
        <v>2644</v>
      </c>
      <c r="F275" s="868" t="s">
        <v>3142</v>
      </c>
      <c r="G275" s="843">
        <v>1</v>
      </c>
      <c r="H275" s="843">
        <v>2</v>
      </c>
      <c r="I275" s="843">
        <v>2</v>
      </c>
      <c r="K275" s="868" t="s">
        <v>1588</v>
      </c>
      <c r="L275" s="884">
        <v>0.75</v>
      </c>
      <c r="M275" s="884">
        <v>1</v>
      </c>
      <c r="N275" s="1142">
        <v>1</v>
      </c>
      <c r="O275" s="843">
        <v>0</v>
      </c>
      <c r="P275" s="843">
        <v>0</v>
      </c>
      <c r="Q275" s="843">
        <v>1</v>
      </c>
      <c r="R275" s="1143">
        <v>46198.752997685187</v>
      </c>
      <c r="S275" s="843">
        <v>1</v>
      </c>
      <c r="T275" s="843">
        <v>1</v>
      </c>
    </row>
    <row r="276" spans="3:20" ht="21.95" customHeight="1">
      <c r="C276" s="843">
        <v>249</v>
      </c>
      <c r="D276" s="843">
        <v>167</v>
      </c>
      <c r="E276" s="843" t="s">
        <v>2645</v>
      </c>
      <c r="F276" s="868" t="s">
        <v>3143</v>
      </c>
      <c r="G276" s="843">
        <v>1</v>
      </c>
      <c r="H276" s="843">
        <v>2</v>
      </c>
      <c r="I276" s="843">
        <v>2</v>
      </c>
      <c r="K276" s="868" t="s">
        <v>1588</v>
      </c>
      <c r="L276" s="884">
        <v>0.85</v>
      </c>
      <c r="M276" s="884">
        <v>1</v>
      </c>
      <c r="N276" s="1142">
        <v>1</v>
      </c>
      <c r="O276" s="843">
        <v>0</v>
      </c>
      <c r="P276" s="843">
        <v>0</v>
      </c>
      <c r="Q276" s="843">
        <v>1</v>
      </c>
      <c r="R276" s="1143">
        <v>46198.752997685187</v>
      </c>
      <c r="S276" s="843">
        <v>1</v>
      </c>
      <c r="T276" s="843">
        <v>1</v>
      </c>
    </row>
    <row r="277" spans="3:20" ht="21.95" customHeight="1">
      <c r="C277" s="843">
        <v>250</v>
      </c>
      <c r="D277" s="843">
        <v>168</v>
      </c>
      <c r="E277" s="843" t="s">
        <v>2646</v>
      </c>
      <c r="F277" s="868" t="s">
        <v>3144</v>
      </c>
      <c r="G277" s="843">
        <v>1</v>
      </c>
      <c r="H277" s="843">
        <v>2</v>
      </c>
      <c r="I277" s="843">
        <v>2</v>
      </c>
      <c r="K277" s="868" t="s">
        <v>1588</v>
      </c>
      <c r="L277" s="884">
        <v>1.2</v>
      </c>
      <c r="M277" s="884">
        <v>1.5</v>
      </c>
      <c r="N277" s="1142">
        <v>1.5</v>
      </c>
      <c r="O277" s="843">
        <v>0</v>
      </c>
      <c r="P277" s="843">
        <v>0</v>
      </c>
      <c r="Q277" s="843">
        <v>1</v>
      </c>
      <c r="R277" s="1143">
        <v>46198.752997685187</v>
      </c>
      <c r="S277" s="843">
        <v>1</v>
      </c>
      <c r="T277" s="843">
        <v>1</v>
      </c>
    </row>
    <row r="278" spans="3:20" ht="21.95" customHeight="1">
      <c r="C278" s="843">
        <v>251</v>
      </c>
      <c r="D278" s="843">
        <v>169</v>
      </c>
      <c r="E278" s="843" t="s">
        <v>2648</v>
      </c>
      <c r="F278" s="868" t="s">
        <v>3145</v>
      </c>
      <c r="G278" s="843">
        <v>1</v>
      </c>
      <c r="H278" s="843">
        <v>2</v>
      </c>
      <c r="I278" s="843">
        <v>2</v>
      </c>
      <c r="K278" s="868" t="s">
        <v>1588</v>
      </c>
      <c r="L278" s="884">
        <v>0.5</v>
      </c>
      <c r="M278" s="884">
        <v>0.65</v>
      </c>
      <c r="N278" s="1142">
        <v>0.65</v>
      </c>
      <c r="O278" s="843">
        <v>0</v>
      </c>
      <c r="P278" s="843">
        <v>0</v>
      </c>
      <c r="Q278" s="843">
        <v>1</v>
      </c>
      <c r="R278" s="1143">
        <v>46198.752997685187</v>
      </c>
      <c r="S278" s="843">
        <v>1</v>
      </c>
      <c r="T278" s="843">
        <v>1</v>
      </c>
    </row>
    <row r="279" spans="3:20" ht="21.95" customHeight="1">
      <c r="C279" s="843">
        <v>252</v>
      </c>
      <c r="D279" s="843">
        <v>170</v>
      </c>
      <c r="E279" s="843" t="s">
        <v>2650</v>
      </c>
      <c r="F279" s="868" t="s">
        <v>3146</v>
      </c>
      <c r="G279" s="843">
        <v>1</v>
      </c>
      <c r="H279" s="843">
        <v>2</v>
      </c>
      <c r="I279" s="843">
        <v>2</v>
      </c>
      <c r="K279" s="868" t="s">
        <v>1588</v>
      </c>
      <c r="L279" s="884">
        <v>0.4</v>
      </c>
      <c r="M279" s="884">
        <v>0.13</v>
      </c>
      <c r="N279" s="1142">
        <v>0.13</v>
      </c>
      <c r="O279" s="843">
        <v>0</v>
      </c>
      <c r="P279" s="843">
        <v>0</v>
      </c>
      <c r="Q279" s="843">
        <v>1</v>
      </c>
      <c r="R279" s="1143">
        <v>46198.752997685187</v>
      </c>
      <c r="S279" s="843">
        <v>1</v>
      </c>
      <c r="T279" s="843">
        <v>1</v>
      </c>
    </row>
    <row r="280" spans="3:20" ht="21.95" customHeight="1">
      <c r="C280" s="843">
        <v>253</v>
      </c>
      <c r="D280" s="843">
        <v>171</v>
      </c>
      <c r="E280" s="843" t="s">
        <v>2652</v>
      </c>
      <c r="F280" s="868" t="s">
        <v>3147</v>
      </c>
      <c r="G280" s="843">
        <v>1</v>
      </c>
      <c r="H280" s="843">
        <v>2</v>
      </c>
      <c r="I280" s="843">
        <v>49</v>
      </c>
      <c r="K280" s="868" t="s">
        <v>1588</v>
      </c>
      <c r="L280" s="884">
        <v>0.96</v>
      </c>
      <c r="M280" s="884">
        <v>1.5</v>
      </c>
      <c r="N280" s="1142">
        <v>1.5</v>
      </c>
      <c r="O280" s="843">
        <v>0</v>
      </c>
      <c r="P280" s="843">
        <v>0</v>
      </c>
      <c r="Q280" s="843">
        <v>1</v>
      </c>
      <c r="R280" s="1143">
        <v>46198.752997685187</v>
      </c>
      <c r="S280" s="843">
        <v>1</v>
      </c>
      <c r="T280" s="843">
        <v>1</v>
      </c>
    </row>
    <row r="281" spans="3:20" ht="21.95" customHeight="1">
      <c r="C281" s="843">
        <v>254</v>
      </c>
      <c r="D281" s="843">
        <v>171</v>
      </c>
      <c r="E281" s="843" t="s">
        <v>2652</v>
      </c>
      <c r="F281" s="868" t="s">
        <v>3147</v>
      </c>
      <c r="G281" s="843">
        <v>1</v>
      </c>
      <c r="H281" s="843">
        <v>2</v>
      </c>
      <c r="I281" s="843">
        <v>2</v>
      </c>
      <c r="K281" s="868" t="s">
        <v>1588</v>
      </c>
      <c r="L281" s="884">
        <v>0.96</v>
      </c>
      <c r="M281" s="884">
        <v>0.125</v>
      </c>
      <c r="N281" s="1142">
        <v>0.125</v>
      </c>
      <c r="O281" s="843">
        <v>0</v>
      </c>
      <c r="P281" s="843">
        <v>0</v>
      </c>
      <c r="Q281" s="843">
        <v>1</v>
      </c>
      <c r="R281" s="1143">
        <v>46198.752997685187</v>
      </c>
      <c r="S281" s="843">
        <v>1</v>
      </c>
      <c r="T281" s="843">
        <v>1</v>
      </c>
    </row>
    <row r="282" spans="3:20" ht="21.95" customHeight="1">
      <c r="C282" s="843">
        <v>255</v>
      </c>
      <c r="D282" s="843">
        <v>172</v>
      </c>
      <c r="E282" s="843" t="s">
        <v>2654</v>
      </c>
      <c r="F282" s="868" t="s">
        <v>3148</v>
      </c>
      <c r="G282" s="843">
        <v>1</v>
      </c>
      <c r="H282" s="843">
        <v>2</v>
      </c>
      <c r="I282" s="843">
        <v>49</v>
      </c>
      <c r="K282" s="868" t="s">
        <v>1588</v>
      </c>
      <c r="L282" s="884">
        <v>1.2</v>
      </c>
      <c r="M282" s="884">
        <v>3</v>
      </c>
      <c r="N282" s="1142">
        <v>3</v>
      </c>
      <c r="O282" s="843">
        <v>0</v>
      </c>
      <c r="P282" s="843">
        <v>0</v>
      </c>
      <c r="Q282" s="843">
        <v>1</v>
      </c>
      <c r="R282" s="1143">
        <v>46198.752997685187</v>
      </c>
      <c r="S282" s="843">
        <v>1</v>
      </c>
      <c r="T282" s="843">
        <v>1</v>
      </c>
    </row>
    <row r="283" spans="3:20" ht="21.95" customHeight="1">
      <c r="C283" s="843">
        <v>256</v>
      </c>
      <c r="D283" s="843">
        <v>172</v>
      </c>
      <c r="E283" s="843" t="s">
        <v>2654</v>
      </c>
      <c r="F283" s="868" t="s">
        <v>3148</v>
      </c>
      <c r="G283" s="843">
        <v>1</v>
      </c>
      <c r="H283" s="843">
        <v>2</v>
      </c>
      <c r="I283" s="843">
        <v>2</v>
      </c>
      <c r="K283" s="868" t="s">
        <v>1588</v>
      </c>
      <c r="L283" s="884">
        <v>1.2</v>
      </c>
      <c r="M283" s="884">
        <v>0.25</v>
      </c>
      <c r="N283" s="1142">
        <v>0.25</v>
      </c>
      <c r="O283" s="843">
        <v>0</v>
      </c>
      <c r="P283" s="843">
        <v>0</v>
      </c>
      <c r="Q283" s="843">
        <v>1</v>
      </c>
      <c r="R283" s="1143">
        <v>46198.752997685187</v>
      </c>
      <c r="S283" s="843">
        <v>1</v>
      </c>
      <c r="T283" s="843">
        <v>1</v>
      </c>
    </row>
    <row r="284" spans="3:20" ht="21.95" customHeight="1">
      <c r="C284" s="843">
        <v>257</v>
      </c>
      <c r="D284" s="843">
        <v>173</v>
      </c>
      <c r="E284" s="843" t="s">
        <v>2656</v>
      </c>
      <c r="F284" s="868" t="s">
        <v>3149</v>
      </c>
      <c r="G284" s="843">
        <v>1</v>
      </c>
      <c r="H284" s="843">
        <v>2</v>
      </c>
      <c r="I284" s="843">
        <v>49</v>
      </c>
      <c r="K284" s="868" t="s">
        <v>1588</v>
      </c>
      <c r="L284" s="884">
        <v>1.68</v>
      </c>
      <c r="M284" s="884">
        <v>4.4399999999999995</v>
      </c>
      <c r="N284" s="1142">
        <v>4.4399999999999995</v>
      </c>
      <c r="O284" s="843">
        <v>0</v>
      </c>
      <c r="P284" s="843">
        <v>0</v>
      </c>
      <c r="Q284" s="843">
        <v>1</v>
      </c>
      <c r="R284" s="1143">
        <v>46198.752997685187</v>
      </c>
      <c r="S284" s="843">
        <v>1</v>
      </c>
      <c r="T284" s="843">
        <v>1</v>
      </c>
    </row>
    <row r="285" spans="3:20" ht="21.95" customHeight="1">
      <c r="C285" s="843">
        <v>258</v>
      </c>
      <c r="D285" s="843">
        <v>173</v>
      </c>
      <c r="E285" s="843" t="s">
        <v>2656</v>
      </c>
      <c r="F285" s="868" t="s">
        <v>3149</v>
      </c>
      <c r="G285" s="843">
        <v>1</v>
      </c>
      <c r="H285" s="843">
        <v>2</v>
      </c>
      <c r="I285" s="843">
        <v>2</v>
      </c>
      <c r="K285" s="868" t="s">
        <v>1588</v>
      </c>
      <c r="L285" s="884">
        <v>1.68</v>
      </c>
      <c r="M285" s="884">
        <v>0.37</v>
      </c>
      <c r="N285" s="1142">
        <v>0.37</v>
      </c>
      <c r="O285" s="843">
        <v>0</v>
      </c>
      <c r="P285" s="843">
        <v>0</v>
      </c>
      <c r="Q285" s="843">
        <v>1</v>
      </c>
      <c r="R285" s="1143">
        <v>46198.752997685187</v>
      </c>
      <c r="S285" s="843">
        <v>1</v>
      </c>
      <c r="T285" s="843">
        <v>1</v>
      </c>
    </row>
    <row r="286" spans="3:20" ht="21.95" customHeight="1">
      <c r="C286" s="843">
        <v>259</v>
      </c>
      <c r="D286" s="843">
        <v>174</v>
      </c>
      <c r="E286" s="843" t="s">
        <v>2659</v>
      </c>
      <c r="F286" s="868" t="s">
        <v>3150</v>
      </c>
      <c r="G286" s="843">
        <v>1</v>
      </c>
      <c r="H286" s="843">
        <v>2</v>
      </c>
      <c r="I286" s="843">
        <v>49</v>
      </c>
      <c r="K286" s="868" t="s">
        <v>1588</v>
      </c>
      <c r="L286" s="884">
        <v>2.4</v>
      </c>
      <c r="M286" s="884">
        <v>6</v>
      </c>
      <c r="N286" s="1142">
        <v>6</v>
      </c>
      <c r="O286" s="843">
        <v>0</v>
      </c>
      <c r="P286" s="843">
        <v>0</v>
      </c>
      <c r="Q286" s="843">
        <v>1</v>
      </c>
      <c r="R286" s="1143">
        <v>46198.752997685187</v>
      </c>
      <c r="S286" s="843">
        <v>1</v>
      </c>
      <c r="T286" s="843">
        <v>1</v>
      </c>
    </row>
    <row r="287" spans="3:20" ht="21.95" customHeight="1">
      <c r="C287" s="843">
        <v>260</v>
      </c>
      <c r="D287" s="843">
        <v>174</v>
      </c>
      <c r="E287" s="843" t="s">
        <v>2659</v>
      </c>
      <c r="F287" s="868" t="s">
        <v>3150</v>
      </c>
      <c r="G287" s="843">
        <v>1</v>
      </c>
      <c r="H287" s="843">
        <v>2</v>
      </c>
      <c r="I287" s="843">
        <v>2</v>
      </c>
      <c r="K287" s="868" t="s">
        <v>1588</v>
      </c>
      <c r="L287" s="884">
        <v>2.4</v>
      </c>
      <c r="M287" s="884">
        <v>0.5</v>
      </c>
      <c r="N287" s="1142">
        <v>0.5</v>
      </c>
      <c r="O287" s="843">
        <v>0</v>
      </c>
      <c r="P287" s="843">
        <v>0</v>
      </c>
      <c r="Q287" s="843">
        <v>1</v>
      </c>
      <c r="R287" s="1143">
        <v>46198.752997685187</v>
      </c>
      <c r="S287" s="843">
        <v>1</v>
      </c>
      <c r="T287" s="843">
        <v>1</v>
      </c>
    </row>
    <row r="288" spans="3:20" ht="21.95" customHeight="1">
      <c r="C288" s="843">
        <v>261</v>
      </c>
      <c r="D288" s="843">
        <v>175</v>
      </c>
      <c r="E288" s="843" t="s">
        <v>2661</v>
      </c>
      <c r="F288" s="868" t="s">
        <v>3151</v>
      </c>
      <c r="G288" s="843">
        <v>1</v>
      </c>
      <c r="H288" s="843">
        <v>2</v>
      </c>
      <c r="I288" s="843">
        <v>49</v>
      </c>
      <c r="K288" s="868" t="s">
        <v>1588</v>
      </c>
      <c r="L288" s="884">
        <v>2.88</v>
      </c>
      <c r="M288" s="884">
        <v>7.8000000000000007</v>
      </c>
      <c r="N288" s="1142">
        <v>7.8000000000000007</v>
      </c>
      <c r="O288" s="843">
        <v>0</v>
      </c>
      <c r="P288" s="843">
        <v>0</v>
      </c>
      <c r="Q288" s="843">
        <v>1</v>
      </c>
      <c r="R288" s="1143">
        <v>46198.752997685187</v>
      </c>
      <c r="S288" s="843">
        <v>1</v>
      </c>
      <c r="T288" s="843">
        <v>1</v>
      </c>
    </row>
    <row r="289" spans="3:20" ht="21.95" customHeight="1">
      <c r="C289" s="843">
        <v>262</v>
      </c>
      <c r="D289" s="843">
        <v>175</v>
      </c>
      <c r="E289" s="843" t="s">
        <v>2661</v>
      </c>
      <c r="F289" s="868" t="s">
        <v>3151</v>
      </c>
      <c r="G289" s="843">
        <v>1</v>
      </c>
      <c r="H289" s="843">
        <v>2</v>
      </c>
      <c r="I289" s="843">
        <v>2</v>
      </c>
      <c r="K289" s="868" t="s">
        <v>1588</v>
      </c>
      <c r="L289" s="884">
        <v>2.88</v>
      </c>
      <c r="M289" s="884">
        <v>0.65</v>
      </c>
      <c r="N289" s="1142">
        <v>0.65</v>
      </c>
      <c r="O289" s="843">
        <v>0</v>
      </c>
      <c r="P289" s="843">
        <v>0</v>
      </c>
      <c r="Q289" s="843">
        <v>1</v>
      </c>
      <c r="R289" s="1143">
        <v>46198.752997685187</v>
      </c>
      <c r="S289" s="843">
        <v>1</v>
      </c>
      <c r="T289" s="843">
        <v>1</v>
      </c>
    </row>
    <row r="290" spans="3:20" ht="21.95" customHeight="1">
      <c r="C290" s="843">
        <v>263</v>
      </c>
      <c r="D290" s="843">
        <v>176</v>
      </c>
      <c r="E290" s="843" t="s">
        <v>2663</v>
      </c>
      <c r="F290" s="868" t="s">
        <v>3152</v>
      </c>
      <c r="G290" s="843">
        <v>1</v>
      </c>
      <c r="H290" s="843">
        <v>2</v>
      </c>
      <c r="I290" s="843">
        <v>51</v>
      </c>
      <c r="K290" s="868" t="s">
        <v>1588</v>
      </c>
      <c r="L290" s="884">
        <v>85</v>
      </c>
      <c r="M290" s="884">
        <v>90</v>
      </c>
      <c r="N290" s="1142">
        <v>90</v>
      </c>
      <c r="O290" s="843">
        <v>0</v>
      </c>
      <c r="P290" s="843">
        <v>0</v>
      </c>
      <c r="Q290" s="843">
        <v>1</v>
      </c>
      <c r="R290" s="1143">
        <v>46198.752997685187</v>
      </c>
      <c r="S290" s="843">
        <v>1</v>
      </c>
      <c r="T290" s="843">
        <v>1</v>
      </c>
    </row>
    <row r="291" spans="3:20" ht="21.95" customHeight="1">
      <c r="C291" s="843">
        <v>264</v>
      </c>
      <c r="D291" s="843">
        <v>176</v>
      </c>
      <c r="E291" s="843" t="s">
        <v>2663</v>
      </c>
      <c r="F291" s="868" t="s">
        <v>3152</v>
      </c>
      <c r="G291" s="843">
        <v>1</v>
      </c>
      <c r="H291" s="843">
        <v>2</v>
      </c>
      <c r="I291" s="843">
        <v>22</v>
      </c>
      <c r="K291" s="868" t="s">
        <v>1588</v>
      </c>
      <c r="L291" s="884">
        <v>85</v>
      </c>
      <c r="M291" s="884">
        <v>4.5</v>
      </c>
      <c r="N291" s="1142">
        <v>4.5</v>
      </c>
      <c r="O291" s="843">
        <v>0</v>
      </c>
      <c r="P291" s="843">
        <v>0</v>
      </c>
      <c r="Q291" s="843">
        <v>1</v>
      </c>
      <c r="R291" s="1143">
        <v>46198.752997685187</v>
      </c>
      <c r="S291" s="843">
        <v>1</v>
      </c>
      <c r="T291" s="843">
        <v>1</v>
      </c>
    </row>
    <row r="292" spans="3:20" ht="21.95" customHeight="1">
      <c r="C292" s="843">
        <v>265</v>
      </c>
      <c r="D292" s="843">
        <v>176</v>
      </c>
      <c r="E292" s="843" t="s">
        <v>2663</v>
      </c>
      <c r="F292" s="868" t="s">
        <v>3152</v>
      </c>
      <c r="G292" s="843">
        <v>1</v>
      </c>
      <c r="H292" s="843">
        <v>2</v>
      </c>
      <c r="I292" s="843">
        <v>12</v>
      </c>
      <c r="K292" s="868" t="s">
        <v>1588</v>
      </c>
      <c r="L292" s="884">
        <v>85</v>
      </c>
      <c r="M292" s="884">
        <v>0.09</v>
      </c>
      <c r="N292" s="1142">
        <v>0.09</v>
      </c>
      <c r="O292" s="843">
        <v>0</v>
      </c>
      <c r="P292" s="843">
        <v>0</v>
      </c>
      <c r="Q292" s="843">
        <v>1</v>
      </c>
      <c r="R292" s="1143">
        <v>46198.752997685187</v>
      </c>
      <c r="S292" s="843">
        <v>1</v>
      </c>
      <c r="T292" s="843">
        <v>1</v>
      </c>
    </row>
    <row r="293" spans="3:20" ht="21.95" customHeight="1">
      <c r="C293" s="843">
        <v>266</v>
      </c>
      <c r="D293" s="843">
        <v>177</v>
      </c>
      <c r="E293" s="843" t="s">
        <v>2665</v>
      </c>
      <c r="F293" s="868" t="s">
        <v>3153</v>
      </c>
      <c r="G293" s="843">
        <v>1</v>
      </c>
      <c r="H293" s="843">
        <v>2</v>
      </c>
      <c r="I293" s="843">
        <v>51</v>
      </c>
      <c r="K293" s="868" t="s">
        <v>1588</v>
      </c>
      <c r="L293" s="884">
        <v>83</v>
      </c>
      <c r="M293" s="884">
        <v>88</v>
      </c>
      <c r="N293" s="1142">
        <v>88</v>
      </c>
      <c r="O293" s="843">
        <v>0</v>
      </c>
      <c r="P293" s="843">
        <v>0</v>
      </c>
      <c r="Q293" s="843">
        <v>1</v>
      </c>
      <c r="R293" s="1143">
        <v>46198.752997685187</v>
      </c>
      <c r="S293" s="843">
        <v>1</v>
      </c>
      <c r="T293" s="843">
        <v>1</v>
      </c>
    </row>
    <row r="294" spans="3:20" ht="21.95" customHeight="1">
      <c r="C294" s="843">
        <v>267</v>
      </c>
      <c r="D294" s="843">
        <v>177</v>
      </c>
      <c r="E294" s="843" t="s">
        <v>2665</v>
      </c>
      <c r="F294" s="868" t="s">
        <v>3153</v>
      </c>
      <c r="G294" s="843">
        <v>1</v>
      </c>
      <c r="H294" s="843">
        <v>2</v>
      </c>
      <c r="I294" s="843">
        <v>22</v>
      </c>
      <c r="K294" s="868" t="s">
        <v>1588</v>
      </c>
      <c r="L294" s="884">
        <v>83</v>
      </c>
      <c r="M294" s="884">
        <v>4.3999999999999995</v>
      </c>
      <c r="N294" s="1142">
        <v>4.3999999999999995</v>
      </c>
      <c r="O294" s="843">
        <v>0</v>
      </c>
      <c r="P294" s="843">
        <v>0</v>
      </c>
      <c r="Q294" s="843">
        <v>1</v>
      </c>
      <c r="R294" s="1143">
        <v>46198.752997685187</v>
      </c>
      <c r="S294" s="843">
        <v>1</v>
      </c>
      <c r="T294" s="843">
        <v>1</v>
      </c>
    </row>
    <row r="295" spans="3:20" ht="21.95" customHeight="1">
      <c r="C295" s="843">
        <v>268</v>
      </c>
      <c r="D295" s="843">
        <v>177</v>
      </c>
      <c r="E295" s="843" t="s">
        <v>2665</v>
      </c>
      <c r="F295" s="868" t="s">
        <v>3153</v>
      </c>
      <c r="G295" s="843">
        <v>1</v>
      </c>
      <c r="H295" s="843">
        <v>2</v>
      </c>
      <c r="I295" s="843">
        <v>12</v>
      </c>
      <c r="K295" s="868" t="s">
        <v>1588</v>
      </c>
      <c r="L295" s="884">
        <v>83</v>
      </c>
      <c r="M295" s="884">
        <v>8.7999999999999995E-2</v>
      </c>
      <c r="N295" s="1142">
        <v>8.7999999999999995E-2</v>
      </c>
      <c r="O295" s="843">
        <v>0</v>
      </c>
      <c r="P295" s="843">
        <v>0</v>
      </c>
      <c r="Q295" s="843">
        <v>1</v>
      </c>
      <c r="R295" s="1143">
        <v>46198.752997685187</v>
      </c>
      <c r="S295" s="843">
        <v>1</v>
      </c>
      <c r="T295" s="843">
        <v>1</v>
      </c>
    </row>
    <row r="296" spans="3:20" ht="21.95" customHeight="1">
      <c r="C296" s="843">
        <v>269</v>
      </c>
      <c r="D296" s="843">
        <v>178</v>
      </c>
      <c r="E296" s="843" t="s">
        <v>2668</v>
      </c>
      <c r="F296" s="868" t="s">
        <v>3154</v>
      </c>
      <c r="G296" s="843">
        <v>1</v>
      </c>
      <c r="H296" s="843">
        <v>2</v>
      </c>
      <c r="I296" s="843">
        <v>51</v>
      </c>
      <c r="K296" s="868" t="s">
        <v>1588</v>
      </c>
      <c r="L296" s="884">
        <v>95</v>
      </c>
      <c r="M296" s="884">
        <v>100</v>
      </c>
      <c r="N296" s="1142">
        <v>100</v>
      </c>
      <c r="O296" s="843">
        <v>0</v>
      </c>
      <c r="P296" s="843">
        <v>0</v>
      </c>
      <c r="Q296" s="843">
        <v>1</v>
      </c>
      <c r="R296" s="1143">
        <v>46198.752997685187</v>
      </c>
      <c r="S296" s="843">
        <v>1</v>
      </c>
      <c r="T296" s="843">
        <v>1</v>
      </c>
    </row>
    <row r="297" spans="3:20" ht="21.95" customHeight="1">
      <c r="C297" s="843">
        <v>270</v>
      </c>
      <c r="D297" s="843">
        <v>178</v>
      </c>
      <c r="E297" s="843" t="s">
        <v>2668</v>
      </c>
      <c r="F297" s="868" t="s">
        <v>3154</v>
      </c>
      <c r="G297" s="843">
        <v>1</v>
      </c>
      <c r="H297" s="843">
        <v>2</v>
      </c>
      <c r="I297" s="843">
        <v>22</v>
      </c>
      <c r="K297" s="868" t="s">
        <v>1588</v>
      </c>
      <c r="L297" s="884">
        <v>95</v>
      </c>
      <c r="M297" s="884">
        <v>5</v>
      </c>
      <c r="N297" s="1142">
        <v>5</v>
      </c>
      <c r="O297" s="843">
        <v>0</v>
      </c>
      <c r="P297" s="843">
        <v>0</v>
      </c>
      <c r="Q297" s="843">
        <v>1</v>
      </c>
      <c r="R297" s="1143">
        <v>46198.752997685187</v>
      </c>
      <c r="S297" s="843">
        <v>1</v>
      </c>
      <c r="T297" s="843">
        <v>1</v>
      </c>
    </row>
    <row r="298" spans="3:20" ht="21.95" customHeight="1">
      <c r="C298" s="843">
        <v>271</v>
      </c>
      <c r="D298" s="843">
        <v>178</v>
      </c>
      <c r="E298" s="843" t="s">
        <v>2668</v>
      </c>
      <c r="F298" s="868" t="s">
        <v>3154</v>
      </c>
      <c r="G298" s="843">
        <v>1</v>
      </c>
      <c r="H298" s="843">
        <v>2</v>
      </c>
      <c r="I298" s="843">
        <v>12</v>
      </c>
      <c r="K298" s="868" t="s">
        <v>1588</v>
      </c>
      <c r="L298" s="884">
        <v>95</v>
      </c>
      <c r="M298" s="884">
        <v>0.1</v>
      </c>
      <c r="N298" s="1142">
        <v>0.1</v>
      </c>
      <c r="O298" s="843">
        <v>0</v>
      </c>
      <c r="P298" s="843">
        <v>0</v>
      </c>
      <c r="Q298" s="843">
        <v>1</v>
      </c>
      <c r="R298" s="1143">
        <v>46198.752997685187</v>
      </c>
      <c r="S298" s="843">
        <v>1</v>
      </c>
      <c r="T298" s="843">
        <v>1</v>
      </c>
    </row>
    <row r="299" spans="3:20" ht="21.95" customHeight="1">
      <c r="C299" s="843">
        <v>272</v>
      </c>
      <c r="D299" s="843">
        <v>179</v>
      </c>
      <c r="E299" s="843" t="s">
        <v>2670</v>
      </c>
      <c r="F299" s="868" t="s">
        <v>3155</v>
      </c>
      <c r="G299" s="843">
        <v>1</v>
      </c>
      <c r="H299" s="843">
        <v>2</v>
      </c>
      <c r="I299" s="843">
        <v>51</v>
      </c>
      <c r="K299" s="868" t="s">
        <v>1588</v>
      </c>
      <c r="L299" s="884">
        <v>95</v>
      </c>
      <c r="M299" s="884">
        <v>100</v>
      </c>
      <c r="N299" s="1142">
        <v>100</v>
      </c>
      <c r="O299" s="843">
        <v>0</v>
      </c>
      <c r="P299" s="843">
        <v>0</v>
      </c>
      <c r="Q299" s="843">
        <v>1</v>
      </c>
      <c r="R299" s="1143">
        <v>46198.752997685187</v>
      </c>
      <c r="S299" s="843">
        <v>1</v>
      </c>
      <c r="T299" s="843">
        <v>1</v>
      </c>
    </row>
    <row r="300" spans="3:20" ht="21.95" customHeight="1">
      <c r="C300" s="843">
        <v>273</v>
      </c>
      <c r="D300" s="843">
        <v>179</v>
      </c>
      <c r="E300" s="843" t="s">
        <v>2670</v>
      </c>
      <c r="F300" s="868" t="s">
        <v>3155</v>
      </c>
      <c r="G300" s="843">
        <v>1</v>
      </c>
      <c r="H300" s="843">
        <v>2</v>
      </c>
      <c r="I300" s="843">
        <v>22</v>
      </c>
      <c r="K300" s="868" t="s">
        <v>1588</v>
      </c>
      <c r="L300" s="884">
        <v>95</v>
      </c>
      <c r="M300" s="884">
        <v>5</v>
      </c>
      <c r="N300" s="1142">
        <v>5</v>
      </c>
      <c r="O300" s="843">
        <v>0</v>
      </c>
      <c r="P300" s="843">
        <v>0</v>
      </c>
      <c r="Q300" s="843">
        <v>1</v>
      </c>
      <c r="R300" s="1143">
        <v>46198.752997685187</v>
      </c>
      <c r="S300" s="843">
        <v>1</v>
      </c>
      <c r="T300" s="843">
        <v>1</v>
      </c>
    </row>
    <row r="301" spans="3:20" ht="21.95" customHeight="1">
      <c r="C301" s="843">
        <v>274</v>
      </c>
      <c r="D301" s="843">
        <v>179</v>
      </c>
      <c r="E301" s="843" t="s">
        <v>2670</v>
      </c>
      <c r="F301" s="868" t="s">
        <v>3155</v>
      </c>
      <c r="G301" s="843">
        <v>1</v>
      </c>
      <c r="H301" s="843">
        <v>2</v>
      </c>
      <c r="I301" s="843">
        <v>12</v>
      </c>
      <c r="K301" s="868" t="s">
        <v>1588</v>
      </c>
      <c r="L301" s="884">
        <v>95</v>
      </c>
      <c r="M301" s="884">
        <v>0.1</v>
      </c>
      <c r="N301" s="1142">
        <v>0.1</v>
      </c>
      <c r="O301" s="843">
        <v>0</v>
      </c>
      <c r="P301" s="843">
        <v>0</v>
      </c>
      <c r="Q301" s="843">
        <v>1</v>
      </c>
      <c r="R301" s="1143">
        <v>46198.752997685187</v>
      </c>
      <c r="S301" s="843">
        <v>1</v>
      </c>
      <c r="T301" s="843">
        <v>1</v>
      </c>
    </row>
    <row r="302" spans="3:20" ht="21.95" customHeight="1">
      <c r="C302" s="843">
        <v>275</v>
      </c>
      <c r="D302" s="843">
        <v>180</v>
      </c>
      <c r="E302" s="843" t="s">
        <v>2672</v>
      </c>
      <c r="F302" s="868" t="s">
        <v>3156</v>
      </c>
      <c r="G302" s="843">
        <v>1</v>
      </c>
      <c r="H302" s="843">
        <v>2</v>
      </c>
      <c r="I302" s="843">
        <v>54</v>
      </c>
      <c r="K302" s="868" t="s">
        <v>1588</v>
      </c>
      <c r="L302" s="884">
        <v>0.5</v>
      </c>
      <c r="M302" s="884">
        <v>1</v>
      </c>
      <c r="N302" s="1142">
        <v>1</v>
      </c>
      <c r="O302" s="843">
        <v>0</v>
      </c>
      <c r="P302" s="843">
        <v>0</v>
      </c>
      <c r="Q302" s="843">
        <v>1</v>
      </c>
      <c r="R302" s="1143">
        <v>46198.752997685187</v>
      </c>
      <c r="S302" s="843">
        <v>1</v>
      </c>
      <c r="T302" s="843">
        <v>1</v>
      </c>
    </row>
    <row r="303" spans="3:20" ht="21.95" customHeight="1">
      <c r="C303" s="843">
        <v>276</v>
      </c>
      <c r="D303" s="843">
        <v>180</v>
      </c>
      <c r="E303" s="843" t="s">
        <v>2672</v>
      </c>
      <c r="F303" s="868" t="s">
        <v>3156</v>
      </c>
      <c r="G303" s="843">
        <v>1</v>
      </c>
      <c r="H303" s="843">
        <v>2</v>
      </c>
      <c r="I303" s="843">
        <v>16</v>
      </c>
      <c r="K303" s="868" t="s">
        <v>1588</v>
      </c>
      <c r="L303" s="884">
        <v>0.5</v>
      </c>
      <c r="M303" s="884">
        <v>8.3333333333333329E-2</v>
      </c>
      <c r="N303" s="1142">
        <v>8.3333333333333329E-2</v>
      </c>
      <c r="O303" s="843">
        <v>0</v>
      </c>
      <c r="P303" s="843">
        <v>0</v>
      </c>
      <c r="Q303" s="843">
        <v>1</v>
      </c>
      <c r="R303" s="1143">
        <v>46198.752997685187</v>
      </c>
      <c r="S303" s="843">
        <v>1</v>
      </c>
      <c r="T303" s="843">
        <v>1</v>
      </c>
    </row>
    <row r="304" spans="3:20" ht="21.95" customHeight="1">
      <c r="C304" s="843">
        <v>277</v>
      </c>
      <c r="D304" s="843">
        <v>181</v>
      </c>
      <c r="E304" s="843" t="s">
        <v>2674</v>
      </c>
      <c r="F304" s="868" t="s">
        <v>3157</v>
      </c>
      <c r="G304" s="843">
        <v>1</v>
      </c>
      <c r="H304" s="843">
        <v>2</v>
      </c>
      <c r="I304" s="843">
        <v>54</v>
      </c>
      <c r="K304" s="868" t="s">
        <v>1588</v>
      </c>
      <c r="L304" s="884">
        <v>1</v>
      </c>
      <c r="M304" s="884">
        <v>1.5</v>
      </c>
      <c r="N304" s="1142">
        <v>1.5</v>
      </c>
      <c r="O304" s="843">
        <v>0</v>
      </c>
      <c r="P304" s="843">
        <v>0</v>
      </c>
      <c r="Q304" s="843">
        <v>1</v>
      </c>
      <c r="R304" s="1143">
        <v>46198.752997685187</v>
      </c>
      <c r="S304" s="843">
        <v>1</v>
      </c>
      <c r="T304" s="843">
        <v>1</v>
      </c>
    </row>
    <row r="305" spans="3:20" ht="21.95" customHeight="1">
      <c r="C305" s="843">
        <v>278</v>
      </c>
      <c r="D305" s="843">
        <v>181</v>
      </c>
      <c r="E305" s="843" t="s">
        <v>2674</v>
      </c>
      <c r="F305" s="868" t="s">
        <v>3157</v>
      </c>
      <c r="G305" s="843">
        <v>1</v>
      </c>
      <c r="H305" s="843">
        <v>2</v>
      </c>
      <c r="I305" s="843">
        <v>16</v>
      </c>
      <c r="K305" s="868" t="s">
        <v>1588</v>
      </c>
      <c r="L305" s="884">
        <v>1</v>
      </c>
      <c r="M305" s="884">
        <v>0.125</v>
      </c>
      <c r="N305" s="1142">
        <v>0.125</v>
      </c>
      <c r="O305" s="843">
        <v>0</v>
      </c>
      <c r="P305" s="843">
        <v>0</v>
      </c>
      <c r="Q305" s="843">
        <v>1</v>
      </c>
      <c r="R305" s="1143">
        <v>46198.752997685187</v>
      </c>
      <c r="S305" s="843">
        <v>1</v>
      </c>
      <c r="T305" s="843">
        <v>1</v>
      </c>
    </row>
    <row r="306" spans="3:20" ht="21.95" customHeight="1">
      <c r="C306" s="843">
        <v>279</v>
      </c>
      <c r="D306" s="843">
        <v>182</v>
      </c>
      <c r="E306" s="843" t="s">
        <v>2676</v>
      </c>
      <c r="F306" s="868" t="s">
        <v>3158</v>
      </c>
      <c r="G306" s="843">
        <v>1</v>
      </c>
      <c r="H306" s="843">
        <v>2</v>
      </c>
      <c r="I306" s="843">
        <v>54</v>
      </c>
      <c r="K306" s="868" t="s">
        <v>1588</v>
      </c>
      <c r="L306" s="884">
        <v>2</v>
      </c>
      <c r="M306" s="884">
        <v>2.5</v>
      </c>
      <c r="N306" s="1142">
        <v>2.5</v>
      </c>
      <c r="O306" s="843">
        <v>0</v>
      </c>
      <c r="P306" s="843">
        <v>0</v>
      </c>
      <c r="Q306" s="843">
        <v>1</v>
      </c>
      <c r="R306" s="1143">
        <v>46198.752997685187</v>
      </c>
      <c r="S306" s="843">
        <v>1</v>
      </c>
      <c r="T306" s="843">
        <v>1</v>
      </c>
    </row>
    <row r="307" spans="3:20" ht="21.95" customHeight="1">
      <c r="C307" s="843">
        <v>280</v>
      </c>
      <c r="D307" s="843">
        <v>182</v>
      </c>
      <c r="E307" s="843" t="s">
        <v>2676</v>
      </c>
      <c r="F307" s="868" t="s">
        <v>3158</v>
      </c>
      <c r="G307" s="843">
        <v>1</v>
      </c>
      <c r="H307" s="843">
        <v>2</v>
      </c>
      <c r="I307" s="843">
        <v>16</v>
      </c>
      <c r="K307" s="868" t="s">
        <v>1588</v>
      </c>
      <c r="L307" s="884">
        <v>2</v>
      </c>
      <c r="M307" s="884">
        <v>0.20833333333333334</v>
      </c>
      <c r="N307" s="1142">
        <v>0.20833333333333334</v>
      </c>
      <c r="O307" s="843">
        <v>0</v>
      </c>
      <c r="P307" s="843">
        <v>0</v>
      </c>
      <c r="Q307" s="843">
        <v>1</v>
      </c>
      <c r="R307" s="1143">
        <v>46198.752997685187</v>
      </c>
      <c r="S307" s="843">
        <v>1</v>
      </c>
      <c r="T307" s="843">
        <v>1</v>
      </c>
    </row>
    <row r="308" spans="3:20" ht="21.95" customHeight="1">
      <c r="C308" s="843">
        <v>281</v>
      </c>
      <c r="D308" s="843">
        <v>183</v>
      </c>
      <c r="E308" s="843" t="s">
        <v>2678</v>
      </c>
      <c r="F308" s="868" t="s">
        <v>3159</v>
      </c>
      <c r="G308" s="843">
        <v>1</v>
      </c>
      <c r="H308" s="843">
        <v>2</v>
      </c>
      <c r="I308" s="843">
        <v>54</v>
      </c>
      <c r="K308" s="868" t="s">
        <v>1588</v>
      </c>
      <c r="L308" s="884">
        <v>4</v>
      </c>
      <c r="M308" s="884">
        <v>4.5</v>
      </c>
      <c r="N308" s="1142">
        <v>4.5</v>
      </c>
      <c r="O308" s="843">
        <v>0</v>
      </c>
      <c r="P308" s="843">
        <v>0</v>
      </c>
      <c r="Q308" s="843">
        <v>1</v>
      </c>
      <c r="R308" s="1143">
        <v>46198.752997685187</v>
      </c>
      <c r="S308" s="843">
        <v>1</v>
      </c>
      <c r="T308" s="843">
        <v>1</v>
      </c>
    </row>
    <row r="309" spans="3:20" ht="21.95" customHeight="1">
      <c r="C309" s="843">
        <v>282</v>
      </c>
      <c r="D309" s="843">
        <v>183</v>
      </c>
      <c r="E309" s="843" t="s">
        <v>2678</v>
      </c>
      <c r="F309" s="868" t="s">
        <v>3159</v>
      </c>
      <c r="G309" s="843">
        <v>1</v>
      </c>
      <c r="H309" s="843">
        <v>2</v>
      </c>
      <c r="I309" s="843">
        <v>16</v>
      </c>
      <c r="K309" s="868" t="s">
        <v>1588</v>
      </c>
      <c r="L309" s="884">
        <v>4</v>
      </c>
      <c r="M309" s="884">
        <v>0.375</v>
      </c>
      <c r="N309" s="1142">
        <v>0.375</v>
      </c>
      <c r="O309" s="843">
        <v>0</v>
      </c>
      <c r="P309" s="843">
        <v>0</v>
      </c>
      <c r="Q309" s="843">
        <v>1</v>
      </c>
      <c r="R309" s="1143">
        <v>46198.752997685187</v>
      </c>
      <c r="S309" s="843">
        <v>1</v>
      </c>
      <c r="T309" s="843">
        <v>1</v>
      </c>
    </row>
    <row r="310" spans="3:20" ht="21.95" customHeight="1">
      <c r="C310" s="843">
        <v>283</v>
      </c>
      <c r="D310" s="843">
        <v>184</v>
      </c>
      <c r="E310" s="843" t="s">
        <v>2680</v>
      </c>
      <c r="F310" s="868" t="s">
        <v>3160</v>
      </c>
      <c r="G310" s="843">
        <v>1</v>
      </c>
      <c r="H310" s="843">
        <v>2</v>
      </c>
      <c r="I310" s="843">
        <v>54</v>
      </c>
      <c r="K310" s="868" t="s">
        <v>1588</v>
      </c>
      <c r="L310" s="884">
        <v>6</v>
      </c>
      <c r="M310" s="884">
        <v>6.5</v>
      </c>
      <c r="N310" s="1142">
        <v>6.5</v>
      </c>
      <c r="O310" s="843">
        <v>0</v>
      </c>
      <c r="P310" s="843">
        <v>0</v>
      </c>
      <c r="Q310" s="843">
        <v>1</v>
      </c>
      <c r="R310" s="1143">
        <v>46198.752997685187</v>
      </c>
      <c r="S310" s="843">
        <v>1</v>
      </c>
      <c r="T310" s="843">
        <v>1</v>
      </c>
    </row>
    <row r="311" spans="3:20" ht="21.95" customHeight="1">
      <c r="C311" s="843">
        <v>284</v>
      </c>
      <c r="D311" s="843">
        <v>184</v>
      </c>
      <c r="E311" s="843" t="s">
        <v>2680</v>
      </c>
      <c r="F311" s="868" t="s">
        <v>3160</v>
      </c>
      <c r="G311" s="843">
        <v>1</v>
      </c>
      <c r="H311" s="843">
        <v>2</v>
      </c>
      <c r="I311" s="843">
        <v>16</v>
      </c>
      <c r="K311" s="868" t="s">
        <v>1588</v>
      </c>
      <c r="L311" s="884">
        <v>6</v>
      </c>
      <c r="M311" s="884">
        <v>0.54166666666666663</v>
      </c>
      <c r="N311" s="1142">
        <v>0.54166666666666663</v>
      </c>
      <c r="O311" s="843">
        <v>0</v>
      </c>
      <c r="P311" s="843">
        <v>0</v>
      </c>
      <c r="Q311" s="843">
        <v>1</v>
      </c>
      <c r="R311" s="1143">
        <v>46198.752997685187</v>
      </c>
      <c r="S311" s="843">
        <v>1</v>
      </c>
      <c r="T311" s="843">
        <v>1</v>
      </c>
    </row>
    <row r="312" spans="3:20" ht="21.95" customHeight="1">
      <c r="C312" s="843">
        <v>285</v>
      </c>
      <c r="D312" s="843">
        <v>185</v>
      </c>
      <c r="E312" s="843" t="s">
        <v>2682</v>
      </c>
      <c r="F312" s="868" t="s">
        <v>3161</v>
      </c>
      <c r="G312" s="843">
        <v>1</v>
      </c>
      <c r="H312" s="843">
        <v>2</v>
      </c>
      <c r="I312" s="843">
        <v>54</v>
      </c>
      <c r="K312" s="868" t="s">
        <v>1588</v>
      </c>
      <c r="L312" s="884">
        <v>8</v>
      </c>
      <c r="M312" s="884">
        <v>8.5</v>
      </c>
      <c r="N312" s="1142">
        <v>8.5</v>
      </c>
      <c r="O312" s="843">
        <v>0</v>
      </c>
      <c r="P312" s="843">
        <v>0</v>
      </c>
      <c r="Q312" s="843">
        <v>1</v>
      </c>
      <c r="R312" s="1143">
        <v>46198.752997685187</v>
      </c>
      <c r="S312" s="843">
        <v>1</v>
      </c>
      <c r="T312" s="843">
        <v>1</v>
      </c>
    </row>
    <row r="313" spans="3:20" ht="21.95" customHeight="1">
      <c r="C313" s="843">
        <v>286</v>
      </c>
      <c r="D313" s="843">
        <v>185</v>
      </c>
      <c r="E313" s="843" t="s">
        <v>2682</v>
      </c>
      <c r="F313" s="868" t="s">
        <v>3161</v>
      </c>
      <c r="G313" s="843">
        <v>1</v>
      </c>
      <c r="H313" s="843">
        <v>2</v>
      </c>
      <c r="I313" s="843">
        <v>16</v>
      </c>
      <c r="K313" s="868" t="s">
        <v>1588</v>
      </c>
      <c r="L313" s="884">
        <v>8</v>
      </c>
      <c r="M313" s="884">
        <v>0.70833333333333337</v>
      </c>
      <c r="N313" s="1142">
        <v>0.70833333333333337</v>
      </c>
      <c r="O313" s="843">
        <v>0</v>
      </c>
      <c r="P313" s="843">
        <v>0</v>
      </c>
      <c r="Q313" s="843">
        <v>1</v>
      </c>
      <c r="R313" s="1143">
        <v>46198.752997685187</v>
      </c>
      <c r="S313" s="843">
        <v>1</v>
      </c>
      <c r="T313" s="843">
        <v>1</v>
      </c>
    </row>
    <row r="314" spans="3:20" ht="21.95" customHeight="1">
      <c r="C314" s="843">
        <v>287</v>
      </c>
      <c r="D314" s="843">
        <v>186</v>
      </c>
      <c r="E314" s="843" t="s">
        <v>2684</v>
      </c>
      <c r="F314" s="868" t="s">
        <v>3162</v>
      </c>
      <c r="G314" s="843">
        <v>1</v>
      </c>
      <c r="H314" s="843">
        <v>2</v>
      </c>
      <c r="I314" s="843">
        <v>54</v>
      </c>
      <c r="K314" s="868" t="s">
        <v>1588</v>
      </c>
      <c r="L314" s="884">
        <v>12</v>
      </c>
      <c r="M314" s="884">
        <v>12.5</v>
      </c>
      <c r="N314" s="1142">
        <v>12.5</v>
      </c>
      <c r="O314" s="843">
        <v>0</v>
      </c>
      <c r="P314" s="843">
        <v>0</v>
      </c>
      <c r="Q314" s="843">
        <v>1</v>
      </c>
      <c r="R314" s="1143">
        <v>46198.752997685187</v>
      </c>
      <c r="S314" s="843">
        <v>1</v>
      </c>
      <c r="T314" s="843">
        <v>1</v>
      </c>
    </row>
    <row r="315" spans="3:20" ht="21.95" customHeight="1">
      <c r="C315" s="843">
        <v>288</v>
      </c>
      <c r="D315" s="843">
        <v>186</v>
      </c>
      <c r="E315" s="843" t="s">
        <v>2684</v>
      </c>
      <c r="F315" s="868" t="s">
        <v>3162</v>
      </c>
      <c r="G315" s="843">
        <v>1</v>
      </c>
      <c r="H315" s="843">
        <v>2</v>
      </c>
      <c r="I315" s="843">
        <v>16</v>
      </c>
      <c r="K315" s="868" t="s">
        <v>1588</v>
      </c>
      <c r="L315" s="884">
        <v>12</v>
      </c>
      <c r="M315" s="884">
        <v>1.0416666666666667</v>
      </c>
      <c r="N315" s="1142">
        <v>1.0416666666666667</v>
      </c>
      <c r="O315" s="843">
        <v>0</v>
      </c>
      <c r="P315" s="843">
        <v>0</v>
      </c>
      <c r="Q315" s="843">
        <v>1</v>
      </c>
      <c r="R315" s="1143">
        <v>46198.752997685187</v>
      </c>
      <c r="S315" s="843">
        <v>1</v>
      </c>
      <c r="T315" s="843">
        <v>1</v>
      </c>
    </row>
    <row r="316" spans="3:20" ht="21.95" customHeight="1">
      <c r="C316" s="843">
        <v>289</v>
      </c>
      <c r="D316" s="843">
        <v>187</v>
      </c>
      <c r="E316" s="843" t="s">
        <v>2686</v>
      </c>
      <c r="F316" s="868" t="s">
        <v>3163</v>
      </c>
      <c r="G316" s="843">
        <v>1</v>
      </c>
      <c r="H316" s="843">
        <v>2</v>
      </c>
      <c r="I316" s="843">
        <v>53</v>
      </c>
      <c r="K316" s="868" t="s">
        <v>1588</v>
      </c>
      <c r="L316" s="884">
        <v>3.37</v>
      </c>
      <c r="M316" s="884">
        <v>3.65</v>
      </c>
      <c r="N316" s="1142">
        <v>3.65</v>
      </c>
      <c r="O316" s="843">
        <v>0</v>
      </c>
      <c r="P316" s="843">
        <v>0</v>
      </c>
      <c r="Q316" s="843">
        <v>1</v>
      </c>
      <c r="R316" s="1143">
        <v>46198.752997685187</v>
      </c>
      <c r="S316" s="843">
        <v>1</v>
      </c>
      <c r="T316" s="843">
        <v>1</v>
      </c>
    </row>
    <row r="317" spans="3:20" ht="21.95" customHeight="1">
      <c r="C317" s="843">
        <v>290</v>
      </c>
      <c r="D317" s="843">
        <v>187</v>
      </c>
      <c r="E317" s="843" t="s">
        <v>2686</v>
      </c>
      <c r="F317" s="868" t="s">
        <v>3163</v>
      </c>
      <c r="G317" s="843">
        <v>1</v>
      </c>
      <c r="H317" s="843">
        <v>2</v>
      </c>
      <c r="I317" s="843">
        <v>16</v>
      </c>
      <c r="K317" s="868" t="s">
        <v>1588</v>
      </c>
      <c r="L317" s="884">
        <v>3.37</v>
      </c>
      <c r="M317" s="884">
        <v>0.91249999999999998</v>
      </c>
      <c r="N317" s="1142">
        <v>0.91249999999999998</v>
      </c>
      <c r="O317" s="843">
        <v>0</v>
      </c>
      <c r="P317" s="843">
        <v>0</v>
      </c>
      <c r="Q317" s="843">
        <v>1</v>
      </c>
      <c r="R317" s="1143">
        <v>46198.752997685187</v>
      </c>
      <c r="S317" s="843">
        <v>1</v>
      </c>
      <c r="T317" s="843">
        <v>1</v>
      </c>
    </row>
    <row r="318" spans="3:20" ht="21.95" customHeight="1">
      <c r="C318" s="843">
        <v>291</v>
      </c>
      <c r="D318" s="843">
        <v>188</v>
      </c>
      <c r="E318" s="843" t="s">
        <v>2688</v>
      </c>
      <c r="F318" s="868" t="s">
        <v>3164</v>
      </c>
      <c r="G318" s="843">
        <v>1</v>
      </c>
      <c r="H318" s="843">
        <v>2</v>
      </c>
      <c r="I318" s="843">
        <v>53</v>
      </c>
      <c r="K318" s="868" t="s">
        <v>1588</v>
      </c>
      <c r="L318" s="884">
        <v>3.9</v>
      </c>
      <c r="M318" s="884">
        <v>4.4000000000000004</v>
      </c>
      <c r="N318" s="1142">
        <v>4.4000000000000004</v>
      </c>
      <c r="O318" s="843">
        <v>0</v>
      </c>
      <c r="P318" s="843">
        <v>0</v>
      </c>
      <c r="Q318" s="843">
        <v>1</v>
      </c>
      <c r="R318" s="1143">
        <v>46198.752997685187</v>
      </c>
      <c r="S318" s="843">
        <v>1</v>
      </c>
      <c r="T318" s="843">
        <v>1</v>
      </c>
    </row>
    <row r="319" spans="3:20" ht="21.95" customHeight="1">
      <c r="C319" s="843">
        <v>292</v>
      </c>
      <c r="D319" s="843">
        <v>188</v>
      </c>
      <c r="E319" s="843" t="s">
        <v>2688</v>
      </c>
      <c r="F319" s="868" t="s">
        <v>3164</v>
      </c>
      <c r="G319" s="843">
        <v>1</v>
      </c>
      <c r="H319" s="843">
        <v>2</v>
      </c>
      <c r="I319" s="843">
        <v>16</v>
      </c>
      <c r="K319" s="868" t="s">
        <v>1588</v>
      </c>
      <c r="L319" s="884">
        <v>3.9</v>
      </c>
      <c r="M319" s="884">
        <v>1.1000000000000001</v>
      </c>
      <c r="N319" s="1142">
        <v>1.1000000000000001</v>
      </c>
      <c r="O319" s="843">
        <v>0</v>
      </c>
      <c r="P319" s="843">
        <v>0</v>
      </c>
      <c r="Q319" s="843">
        <v>1</v>
      </c>
      <c r="R319" s="1143">
        <v>46198.752997685187</v>
      </c>
      <c r="S319" s="843">
        <v>1</v>
      </c>
      <c r="T319" s="843">
        <v>1</v>
      </c>
    </row>
    <row r="320" spans="3:20" ht="21.95" customHeight="1">
      <c r="C320" s="843">
        <v>293</v>
      </c>
      <c r="D320" s="843">
        <v>189</v>
      </c>
      <c r="E320" s="843" t="s">
        <v>2690</v>
      </c>
      <c r="F320" s="868" t="s">
        <v>3165</v>
      </c>
      <c r="G320" s="843">
        <v>1</v>
      </c>
      <c r="H320" s="843">
        <v>2</v>
      </c>
      <c r="I320" s="843">
        <v>53</v>
      </c>
      <c r="K320" s="868" t="s">
        <v>1588</v>
      </c>
      <c r="L320" s="884">
        <v>4.09</v>
      </c>
      <c r="M320" s="884">
        <v>4.59</v>
      </c>
      <c r="N320" s="1142">
        <v>4.59</v>
      </c>
      <c r="O320" s="843">
        <v>0</v>
      </c>
      <c r="P320" s="843">
        <v>0</v>
      </c>
      <c r="Q320" s="843">
        <v>1</v>
      </c>
      <c r="R320" s="1143">
        <v>46198.752997685187</v>
      </c>
      <c r="S320" s="843">
        <v>1</v>
      </c>
      <c r="T320" s="843">
        <v>1</v>
      </c>
    </row>
    <row r="321" spans="3:20" ht="21.95" customHeight="1">
      <c r="C321" s="843">
        <v>294</v>
      </c>
      <c r="D321" s="843">
        <v>189</v>
      </c>
      <c r="E321" s="843" t="s">
        <v>2690</v>
      </c>
      <c r="F321" s="868" t="s">
        <v>3165</v>
      </c>
      <c r="G321" s="843">
        <v>1</v>
      </c>
      <c r="H321" s="843">
        <v>2</v>
      </c>
      <c r="I321" s="843">
        <v>16</v>
      </c>
      <c r="K321" s="868" t="s">
        <v>1588</v>
      </c>
      <c r="L321" s="884">
        <v>4.09</v>
      </c>
      <c r="M321" s="884">
        <v>1.1475</v>
      </c>
      <c r="N321" s="1142">
        <v>1.1475</v>
      </c>
      <c r="O321" s="843">
        <v>0</v>
      </c>
      <c r="P321" s="843">
        <v>0</v>
      </c>
      <c r="Q321" s="843">
        <v>1</v>
      </c>
      <c r="R321" s="1143">
        <v>46198.752997685187</v>
      </c>
      <c r="S321" s="843">
        <v>1</v>
      </c>
      <c r="T321" s="843">
        <v>1</v>
      </c>
    </row>
    <row r="322" spans="3:20" ht="21.95" customHeight="1">
      <c r="C322" s="843">
        <v>295</v>
      </c>
      <c r="D322" s="843">
        <v>190</v>
      </c>
      <c r="E322" s="843" t="s">
        <v>2692</v>
      </c>
      <c r="F322" s="868" t="s">
        <v>3166</v>
      </c>
      <c r="G322" s="843">
        <v>1</v>
      </c>
      <c r="H322" s="843">
        <v>2</v>
      </c>
      <c r="I322" s="843">
        <v>53</v>
      </c>
      <c r="K322" s="868" t="s">
        <v>1588</v>
      </c>
      <c r="L322" s="884">
        <v>4.7300000000000004</v>
      </c>
      <c r="M322" s="884">
        <v>5.2</v>
      </c>
      <c r="N322" s="1142">
        <v>5.2</v>
      </c>
      <c r="O322" s="843">
        <v>0</v>
      </c>
      <c r="P322" s="843">
        <v>0</v>
      </c>
      <c r="Q322" s="843">
        <v>1</v>
      </c>
      <c r="R322" s="1143">
        <v>46198.752997685187</v>
      </c>
      <c r="S322" s="843">
        <v>1</v>
      </c>
      <c r="T322" s="843">
        <v>1</v>
      </c>
    </row>
    <row r="323" spans="3:20" ht="21.95" customHeight="1">
      <c r="C323" s="843">
        <v>296</v>
      </c>
      <c r="D323" s="843">
        <v>190</v>
      </c>
      <c r="E323" s="843" t="s">
        <v>2692</v>
      </c>
      <c r="F323" s="868" t="s">
        <v>3166</v>
      </c>
      <c r="G323" s="843">
        <v>1</v>
      </c>
      <c r="H323" s="843">
        <v>2</v>
      </c>
      <c r="I323" s="843">
        <v>16</v>
      </c>
      <c r="K323" s="868" t="s">
        <v>1588</v>
      </c>
      <c r="L323" s="884">
        <v>4.7300000000000004</v>
      </c>
      <c r="M323" s="884">
        <v>1.3</v>
      </c>
      <c r="N323" s="1142">
        <v>1.3</v>
      </c>
      <c r="O323" s="843">
        <v>0</v>
      </c>
      <c r="P323" s="843">
        <v>0</v>
      </c>
      <c r="Q323" s="843">
        <v>1</v>
      </c>
      <c r="R323" s="1143">
        <v>46198.752997685187</v>
      </c>
      <c r="S323" s="843">
        <v>1</v>
      </c>
      <c r="T323" s="843">
        <v>1</v>
      </c>
    </row>
    <row r="324" spans="3:20" ht="21.95" customHeight="1">
      <c r="C324" s="843">
        <v>297</v>
      </c>
      <c r="D324" s="843">
        <v>191</v>
      </c>
      <c r="E324" s="843" t="s">
        <v>2694</v>
      </c>
      <c r="F324" s="868" t="s">
        <v>3167</v>
      </c>
      <c r="G324" s="843">
        <v>1</v>
      </c>
      <c r="H324" s="843">
        <v>2</v>
      </c>
      <c r="I324" s="843">
        <v>53</v>
      </c>
      <c r="K324" s="868" t="s">
        <v>1588</v>
      </c>
      <c r="L324" s="884">
        <v>4.92</v>
      </c>
      <c r="M324" s="884">
        <v>5.4</v>
      </c>
      <c r="N324" s="1142">
        <v>5.4</v>
      </c>
      <c r="O324" s="843">
        <v>0</v>
      </c>
      <c r="P324" s="843">
        <v>0</v>
      </c>
      <c r="Q324" s="843">
        <v>1</v>
      </c>
      <c r="R324" s="1143">
        <v>46198.752997685187</v>
      </c>
      <c r="S324" s="843">
        <v>1</v>
      </c>
      <c r="T324" s="843">
        <v>1</v>
      </c>
    </row>
    <row r="325" spans="3:20" ht="21.95" customHeight="1">
      <c r="C325" s="843">
        <v>298</v>
      </c>
      <c r="D325" s="843">
        <v>191</v>
      </c>
      <c r="E325" s="843" t="s">
        <v>2694</v>
      </c>
      <c r="F325" s="868" t="s">
        <v>3167</v>
      </c>
      <c r="G325" s="843">
        <v>1</v>
      </c>
      <c r="H325" s="843">
        <v>2</v>
      </c>
      <c r="I325" s="843">
        <v>16</v>
      </c>
      <c r="K325" s="868" t="s">
        <v>1588</v>
      </c>
      <c r="L325" s="884">
        <v>4.92</v>
      </c>
      <c r="M325" s="884">
        <v>1.35</v>
      </c>
      <c r="N325" s="1142">
        <v>1.35</v>
      </c>
      <c r="O325" s="843">
        <v>0</v>
      </c>
      <c r="P325" s="843">
        <v>0</v>
      </c>
      <c r="Q325" s="843">
        <v>1</v>
      </c>
      <c r="R325" s="1143">
        <v>46198.752997685187</v>
      </c>
      <c r="S325" s="843">
        <v>1</v>
      </c>
      <c r="T325" s="843">
        <v>1</v>
      </c>
    </row>
    <row r="326" spans="3:20" ht="21.95" customHeight="1">
      <c r="C326" s="843">
        <v>299</v>
      </c>
      <c r="D326" s="843">
        <v>192</v>
      </c>
      <c r="E326" s="843" t="s">
        <v>2696</v>
      </c>
      <c r="F326" s="868" t="s">
        <v>3168</v>
      </c>
      <c r="G326" s="843">
        <v>1</v>
      </c>
      <c r="H326" s="843">
        <v>2</v>
      </c>
      <c r="I326" s="843">
        <v>53</v>
      </c>
      <c r="K326" s="868" t="s">
        <v>1588</v>
      </c>
      <c r="L326" s="884">
        <v>6.03</v>
      </c>
      <c r="M326" s="884">
        <v>6.53</v>
      </c>
      <c r="N326" s="1142">
        <v>6.53</v>
      </c>
      <c r="O326" s="843">
        <v>0</v>
      </c>
      <c r="P326" s="843">
        <v>0</v>
      </c>
      <c r="Q326" s="843">
        <v>1</v>
      </c>
      <c r="R326" s="1143">
        <v>46198.752997685187</v>
      </c>
      <c r="S326" s="843">
        <v>1</v>
      </c>
      <c r="T326" s="843">
        <v>1</v>
      </c>
    </row>
    <row r="327" spans="3:20" ht="21.95" customHeight="1">
      <c r="C327" s="843">
        <v>300</v>
      </c>
      <c r="D327" s="843">
        <v>192</v>
      </c>
      <c r="E327" s="843" t="s">
        <v>2696</v>
      </c>
      <c r="F327" s="868" t="s">
        <v>3168</v>
      </c>
      <c r="G327" s="843">
        <v>1</v>
      </c>
      <c r="H327" s="843">
        <v>2</v>
      </c>
      <c r="I327" s="843">
        <v>16</v>
      </c>
      <c r="K327" s="868" t="s">
        <v>1588</v>
      </c>
      <c r="L327" s="884">
        <v>6.03</v>
      </c>
      <c r="M327" s="884">
        <v>1.6325000000000001</v>
      </c>
      <c r="N327" s="1142">
        <v>1.6325000000000001</v>
      </c>
      <c r="O327" s="843">
        <v>0</v>
      </c>
      <c r="P327" s="843">
        <v>0</v>
      </c>
      <c r="Q327" s="843">
        <v>1</v>
      </c>
      <c r="R327" s="1143">
        <v>46198.752997685187</v>
      </c>
      <c r="S327" s="843">
        <v>1</v>
      </c>
      <c r="T327" s="843">
        <v>1</v>
      </c>
    </row>
    <row r="328" spans="3:20" ht="21.95" customHeight="1">
      <c r="C328" s="843">
        <v>301</v>
      </c>
      <c r="D328" s="843">
        <v>193</v>
      </c>
      <c r="E328" s="843" t="s">
        <v>2698</v>
      </c>
      <c r="F328" s="868" t="s">
        <v>3169</v>
      </c>
      <c r="G328" s="843">
        <v>1</v>
      </c>
      <c r="H328" s="843">
        <v>2</v>
      </c>
      <c r="I328" s="843">
        <v>53</v>
      </c>
      <c r="K328" s="868" t="s">
        <v>1588</v>
      </c>
      <c r="L328" s="884">
        <v>3.88</v>
      </c>
      <c r="M328" s="884">
        <v>4.3</v>
      </c>
      <c r="N328" s="1142">
        <v>4.3</v>
      </c>
      <c r="O328" s="843">
        <v>0</v>
      </c>
      <c r="P328" s="843">
        <v>0</v>
      </c>
      <c r="Q328" s="843">
        <v>1</v>
      </c>
      <c r="R328" s="1143">
        <v>46198.752997685187</v>
      </c>
      <c r="S328" s="843">
        <v>1</v>
      </c>
      <c r="T328" s="843">
        <v>1</v>
      </c>
    </row>
    <row r="329" spans="3:20" ht="21.95" customHeight="1">
      <c r="C329" s="843">
        <v>302</v>
      </c>
      <c r="D329" s="843">
        <v>193</v>
      </c>
      <c r="E329" s="843" t="s">
        <v>2698</v>
      </c>
      <c r="F329" s="868" t="s">
        <v>3169</v>
      </c>
      <c r="G329" s="843">
        <v>1</v>
      </c>
      <c r="H329" s="843">
        <v>2</v>
      </c>
      <c r="I329" s="843">
        <v>16</v>
      </c>
      <c r="K329" s="868" t="s">
        <v>1588</v>
      </c>
      <c r="L329" s="884">
        <v>3.88</v>
      </c>
      <c r="M329" s="884">
        <v>1.075</v>
      </c>
      <c r="N329" s="1142">
        <v>1.075</v>
      </c>
      <c r="O329" s="843">
        <v>0</v>
      </c>
      <c r="P329" s="843">
        <v>0</v>
      </c>
      <c r="Q329" s="843">
        <v>1</v>
      </c>
      <c r="R329" s="1143">
        <v>46198.752997685187</v>
      </c>
      <c r="S329" s="843">
        <v>1</v>
      </c>
      <c r="T329" s="843">
        <v>1</v>
      </c>
    </row>
    <row r="330" spans="3:20" ht="21.95" customHeight="1">
      <c r="C330" s="843">
        <v>303</v>
      </c>
      <c r="D330" s="843">
        <v>194</v>
      </c>
      <c r="E330" s="843" t="s">
        <v>2700</v>
      </c>
      <c r="F330" s="868" t="s">
        <v>3170</v>
      </c>
      <c r="G330" s="843">
        <v>1</v>
      </c>
      <c r="H330" s="843">
        <v>2</v>
      </c>
      <c r="I330" s="843">
        <v>53</v>
      </c>
      <c r="K330" s="868" t="s">
        <v>1588</v>
      </c>
      <c r="L330" s="884">
        <v>4.7</v>
      </c>
      <c r="M330" s="884">
        <v>5.2</v>
      </c>
      <c r="N330" s="1142">
        <v>5.2</v>
      </c>
      <c r="O330" s="843">
        <v>0</v>
      </c>
      <c r="P330" s="843">
        <v>0</v>
      </c>
      <c r="Q330" s="843">
        <v>1</v>
      </c>
      <c r="R330" s="1143">
        <v>46198.752997685187</v>
      </c>
      <c r="S330" s="843">
        <v>1</v>
      </c>
      <c r="T330" s="843">
        <v>1</v>
      </c>
    </row>
    <row r="331" spans="3:20" ht="21.95" customHeight="1">
      <c r="C331" s="843">
        <v>304</v>
      </c>
      <c r="D331" s="843">
        <v>194</v>
      </c>
      <c r="E331" s="843" t="s">
        <v>2700</v>
      </c>
      <c r="F331" s="868" t="s">
        <v>3170</v>
      </c>
      <c r="G331" s="843">
        <v>1</v>
      </c>
      <c r="H331" s="843">
        <v>2</v>
      </c>
      <c r="I331" s="843">
        <v>16</v>
      </c>
      <c r="K331" s="868" t="s">
        <v>1588</v>
      </c>
      <c r="L331" s="884">
        <v>4.7</v>
      </c>
      <c r="M331" s="884">
        <v>1.3</v>
      </c>
      <c r="N331" s="1142">
        <v>1.3</v>
      </c>
      <c r="O331" s="843">
        <v>0</v>
      </c>
      <c r="P331" s="843">
        <v>0</v>
      </c>
      <c r="Q331" s="843">
        <v>1</v>
      </c>
      <c r="R331" s="1143">
        <v>46198.752997685187</v>
      </c>
      <c r="S331" s="843">
        <v>1</v>
      </c>
      <c r="T331" s="843">
        <v>1</v>
      </c>
    </row>
    <row r="332" spans="3:20" ht="21.95" customHeight="1">
      <c r="C332" s="843">
        <v>305</v>
      </c>
      <c r="D332" s="843">
        <v>195</v>
      </c>
      <c r="E332" s="843" t="s">
        <v>2702</v>
      </c>
      <c r="F332" s="868" t="s">
        <v>3171</v>
      </c>
      <c r="G332" s="843">
        <v>1</v>
      </c>
      <c r="H332" s="843">
        <v>2</v>
      </c>
      <c r="I332" s="843">
        <v>53</v>
      </c>
      <c r="K332" s="868" t="s">
        <v>1588</v>
      </c>
      <c r="L332" s="884">
        <v>6.28</v>
      </c>
      <c r="M332" s="884">
        <v>6.75</v>
      </c>
      <c r="N332" s="1142">
        <v>6.75</v>
      </c>
      <c r="O332" s="843">
        <v>0</v>
      </c>
      <c r="P332" s="843">
        <v>0</v>
      </c>
      <c r="Q332" s="843">
        <v>1</v>
      </c>
      <c r="R332" s="1143">
        <v>46198.752997685187</v>
      </c>
      <c r="S332" s="843">
        <v>1</v>
      </c>
      <c r="T332" s="843">
        <v>1</v>
      </c>
    </row>
    <row r="333" spans="3:20" ht="21.95" customHeight="1">
      <c r="C333" s="843">
        <v>306</v>
      </c>
      <c r="D333" s="843">
        <v>195</v>
      </c>
      <c r="E333" s="843" t="s">
        <v>2702</v>
      </c>
      <c r="F333" s="868" t="s">
        <v>3171</v>
      </c>
      <c r="G333" s="843">
        <v>1</v>
      </c>
      <c r="H333" s="843">
        <v>2</v>
      </c>
      <c r="I333" s="843">
        <v>16</v>
      </c>
      <c r="K333" s="868" t="s">
        <v>1588</v>
      </c>
      <c r="L333" s="884">
        <v>6.28</v>
      </c>
      <c r="M333" s="884">
        <v>1.6875</v>
      </c>
      <c r="N333" s="1142">
        <v>1.6875</v>
      </c>
      <c r="O333" s="843">
        <v>0</v>
      </c>
      <c r="P333" s="843">
        <v>0</v>
      </c>
      <c r="Q333" s="843">
        <v>1</v>
      </c>
      <c r="R333" s="1143">
        <v>46198.752997685187</v>
      </c>
      <c r="S333" s="843">
        <v>1</v>
      </c>
      <c r="T333" s="843">
        <v>1</v>
      </c>
    </row>
    <row r="334" spans="3:20" ht="21.95" customHeight="1">
      <c r="C334" s="843">
        <v>307</v>
      </c>
      <c r="D334" s="843">
        <v>196</v>
      </c>
      <c r="E334" s="843" t="s">
        <v>2704</v>
      </c>
      <c r="F334" s="868" t="s">
        <v>3172</v>
      </c>
      <c r="G334" s="843">
        <v>1</v>
      </c>
      <c r="H334" s="843">
        <v>2</v>
      </c>
      <c r="I334" s="843">
        <v>53</v>
      </c>
      <c r="K334" s="868" t="s">
        <v>1588</v>
      </c>
      <c r="L334" s="884">
        <v>7.06</v>
      </c>
      <c r="M334" s="884">
        <v>7.56</v>
      </c>
      <c r="N334" s="1142">
        <v>7.56</v>
      </c>
      <c r="O334" s="843">
        <v>0</v>
      </c>
      <c r="P334" s="843">
        <v>0</v>
      </c>
      <c r="Q334" s="843">
        <v>1</v>
      </c>
      <c r="R334" s="1143">
        <v>46198.752997685187</v>
      </c>
      <c r="S334" s="843">
        <v>1</v>
      </c>
      <c r="T334" s="843">
        <v>1</v>
      </c>
    </row>
    <row r="335" spans="3:20" ht="21.95" customHeight="1">
      <c r="C335" s="843">
        <v>308</v>
      </c>
      <c r="D335" s="843">
        <v>196</v>
      </c>
      <c r="E335" s="843" t="s">
        <v>2704</v>
      </c>
      <c r="F335" s="868" t="s">
        <v>3172</v>
      </c>
      <c r="G335" s="843">
        <v>1</v>
      </c>
      <c r="H335" s="843">
        <v>2</v>
      </c>
      <c r="I335" s="843">
        <v>16</v>
      </c>
      <c r="K335" s="868" t="s">
        <v>1588</v>
      </c>
      <c r="L335" s="884">
        <v>7.06</v>
      </c>
      <c r="M335" s="884">
        <v>1.89</v>
      </c>
      <c r="N335" s="1142">
        <v>1.89</v>
      </c>
      <c r="O335" s="843">
        <v>0</v>
      </c>
      <c r="P335" s="843">
        <v>0</v>
      </c>
      <c r="Q335" s="843">
        <v>1</v>
      </c>
      <c r="R335" s="1143">
        <v>46198.752997685187</v>
      </c>
      <c r="S335" s="843">
        <v>1</v>
      </c>
      <c r="T335" s="843">
        <v>1</v>
      </c>
    </row>
    <row r="336" spans="3:20" ht="21.95" customHeight="1">
      <c r="C336" s="843">
        <v>309</v>
      </c>
      <c r="D336" s="843">
        <v>197</v>
      </c>
      <c r="E336" s="843" t="s">
        <v>2706</v>
      </c>
      <c r="F336" s="868" t="s">
        <v>3173</v>
      </c>
      <c r="G336" s="843">
        <v>1</v>
      </c>
      <c r="H336" s="843">
        <v>2</v>
      </c>
      <c r="I336" s="843">
        <v>53</v>
      </c>
      <c r="K336" s="868" t="s">
        <v>1588</v>
      </c>
      <c r="L336" s="884">
        <v>8.36</v>
      </c>
      <c r="M336" s="884">
        <v>8.7799999999999994</v>
      </c>
      <c r="N336" s="1142">
        <v>8.7799999999999994</v>
      </c>
      <c r="O336" s="843">
        <v>0</v>
      </c>
      <c r="P336" s="843">
        <v>0</v>
      </c>
      <c r="Q336" s="843">
        <v>1</v>
      </c>
      <c r="R336" s="1143">
        <v>46198.752997685187</v>
      </c>
      <c r="S336" s="843">
        <v>1</v>
      </c>
      <c r="T336" s="843">
        <v>1</v>
      </c>
    </row>
    <row r="337" spans="3:20" ht="21.95" customHeight="1">
      <c r="C337" s="843">
        <v>310</v>
      </c>
      <c r="D337" s="843">
        <v>197</v>
      </c>
      <c r="E337" s="843" t="s">
        <v>2706</v>
      </c>
      <c r="F337" s="868" t="s">
        <v>3173</v>
      </c>
      <c r="G337" s="843">
        <v>1</v>
      </c>
      <c r="H337" s="843">
        <v>2</v>
      </c>
      <c r="I337" s="843">
        <v>16</v>
      </c>
      <c r="K337" s="868" t="s">
        <v>1588</v>
      </c>
      <c r="L337" s="884">
        <v>8.36</v>
      </c>
      <c r="M337" s="884">
        <v>2.1949999999999998</v>
      </c>
      <c r="N337" s="1142">
        <v>2.1949999999999998</v>
      </c>
      <c r="O337" s="843">
        <v>0</v>
      </c>
      <c r="P337" s="843">
        <v>0</v>
      </c>
      <c r="Q337" s="843">
        <v>1</v>
      </c>
      <c r="R337" s="1143">
        <v>46198.752997685187</v>
      </c>
      <c r="S337" s="843">
        <v>1</v>
      </c>
      <c r="T337" s="843">
        <v>1</v>
      </c>
    </row>
    <row r="338" spans="3:20" ht="21.95" customHeight="1">
      <c r="C338" s="843">
        <v>311</v>
      </c>
      <c r="D338" s="843">
        <v>198</v>
      </c>
      <c r="E338" s="843" t="s">
        <v>2717</v>
      </c>
      <c r="F338" s="868" t="s">
        <v>3174</v>
      </c>
      <c r="G338" s="843">
        <v>1</v>
      </c>
      <c r="H338" s="843">
        <v>2</v>
      </c>
      <c r="I338" s="843">
        <v>53</v>
      </c>
      <c r="K338" s="868" t="s">
        <v>1588</v>
      </c>
      <c r="L338" s="884">
        <v>9.48</v>
      </c>
      <c r="M338" s="884">
        <v>10</v>
      </c>
      <c r="N338" s="1142">
        <v>10</v>
      </c>
      <c r="O338" s="843">
        <v>0</v>
      </c>
      <c r="P338" s="843">
        <v>0</v>
      </c>
      <c r="Q338" s="843">
        <v>1</v>
      </c>
      <c r="R338" s="1143">
        <v>46198.752997685187</v>
      </c>
      <c r="S338" s="843">
        <v>1</v>
      </c>
      <c r="T338" s="843">
        <v>1</v>
      </c>
    </row>
    <row r="339" spans="3:20" ht="21.95" customHeight="1">
      <c r="C339" s="843">
        <v>312</v>
      </c>
      <c r="D339" s="843">
        <v>198</v>
      </c>
      <c r="E339" s="843" t="s">
        <v>2717</v>
      </c>
      <c r="F339" s="868" t="s">
        <v>3174</v>
      </c>
      <c r="G339" s="843">
        <v>1</v>
      </c>
      <c r="H339" s="843">
        <v>2</v>
      </c>
      <c r="I339" s="843">
        <v>16</v>
      </c>
      <c r="K339" s="868" t="s">
        <v>1588</v>
      </c>
      <c r="L339" s="884">
        <v>9.48</v>
      </c>
      <c r="M339" s="884">
        <v>2.5</v>
      </c>
      <c r="N339" s="1142">
        <v>2.5</v>
      </c>
      <c r="O339" s="843">
        <v>0</v>
      </c>
      <c r="P339" s="843">
        <v>0</v>
      </c>
      <c r="Q339" s="843">
        <v>1</v>
      </c>
      <c r="R339" s="1143">
        <v>46198.752997685187</v>
      </c>
      <c r="S339" s="843">
        <v>1</v>
      </c>
      <c r="T339" s="843">
        <v>1</v>
      </c>
    </row>
    <row r="340" spans="3:20" ht="21.95" customHeight="1">
      <c r="C340" s="843">
        <v>313</v>
      </c>
      <c r="D340" s="843">
        <v>199</v>
      </c>
      <c r="E340" s="843" t="s">
        <v>2718</v>
      </c>
      <c r="F340" s="868" t="s">
        <v>3175</v>
      </c>
      <c r="G340" s="843">
        <v>1</v>
      </c>
      <c r="H340" s="843">
        <v>2</v>
      </c>
      <c r="I340" s="843">
        <v>53</v>
      </c>
      <c r="K340" s="868" t="s">
        <v>1588</v>
      </c>
      <c r="L340" s="884">
        <v>10.58</v>
      </c>
      <c r="M340" s="884">
        <v>11</v>
      </c>
      <c r="N340" s="1142">
        <v>11</v>
      </c>
      <c r="O340" s="843">
        <v>0</v>
      </c>
      <c r="P340" s="843">
        <v>0</v>
      </c>
      <c r="Q340" s="843">
        <v>1</v>
      </c>
      <c r="R340" s="1143">
        <v>46198.752997685187</v>
      </c>
      <c r="S340" s="843">
        <v>1</v>
      </c>
      <c r="T340" s="843">
        <v>1</v>
      </c>
    </row>
    <row r="341" spans="3:20" ht="21.95" customHeight="1">
      <c r="C341" s="843">
        <v>314</v>
      </c>
      <c r="D341" s="843">
        <v>199</v>
      </c>
      <c r="E341" s="843" t="s">
        <v>2718</v>
      </c>
      <c r="F341" s="868" t="s">
        <v>3175</v>
      </c>
      <c r="G341" s="843">
        <v>1</v>
      </c>
      <c r="H341" s="843">
        <v>2</v>
      </c>
      <c r="I341" s="843">
        <v>16</v>
      </c>
      <c r="K341" s="868" t="s">
        <v>1588</v>
      </c>
      <c r="L341" s="884">
        <v>10.58</v>
      </c>
      <c r="M341" s="884">
        <v>2.75</v>
      </c>
      <c r="N341" s="1142">
        <v>2.75</v>
      </c>
      <c r="O341" s="843">
        <v>0</v>
      </c>
      <c r="P341" s="843">
        <v>0</v>
      </c>
      <c r="Q341" s="843">
        <v>1</v>
      </c>
      <c r="R341" s="1143">
        <v>46198.752997685187</v>
      </c>
      <c r="S341" s="843">
        <v>1</v>
      </c>
      <c r="T341" s="843">
        <v>1</v>
      </c>
    </row>
    <row r="342" spans="3:20" ht="21.95" customHeight="1">
      <c r="C342" s="843">
        <v>315</v>
      </c>
      <c r="D342" s="843">
        <v>200</v>
      </c>
      <c r="E342" s="843" t="s">
        <v>2719</v>
      </c>
      <c r="F342" s="868" t="s">
        <v>3176</v>
      </c>
      <c r="G342" s="843">
        <v>1</v>
      </c>
      <c r="H342" s="843">
        <v>2</v>
      </c>
      <c r="I342" s="843">
        <v>53</v>
      </c>
      <c r="K342" s="868" t="s">
        <v>1588</v>
      </c>
      <c r="L342" s="884">
        <v>11.94</v>
      </c>
      <c r="M342" s="884">
        <v>12.5</v>
      </c>
      <c r="N342" s="1142">
        <v>12.5</v>
      </c>
      <c r="O342" s="843">
        <v>0</v>
      </c>
      <c r="P342" s="843">
        <v>0</v>
      </c>
      <c r="Q342" s="843">
        <v>1</v>
      </c>
      <c r="R342" s="1143">
        <v>46198.752997685187</v>
      </c>
      <c r="S342" s="843">
        <v>1</v>
      </c>
      <c r="T342" s="843">
        <v>1</v>
      </c>
    </row>
    <row r="343" spans="3:20" ht="21.95" customHeight="1">
      <c r="C343" s="843">
        <v>316</v>
      </c>
      <c r="D343" s="843">
        <v>200</v>
      </c>
      <c r="E343" s="843" t="s">
        <v>2719</v>
      </c>
      <c r="F343" s="868" t="s">
        <v>3176</v>
      </c>
      <c r="G343" s="843">
        <v>1</v>
      </c>
      <c r="H343" s="843">
        <v>2</v>
      </c>
      <c r="I343" s="843">
        <v>16</v>
      </c>
      <c r="K343" s="868" t="s">
        <v>1588</v>
      </c>
      <c r="L343" s="884">
        <v>11.94</v>
      </c>
      <c r="M343" s="884">
        <v>3.125</v>
      </c>
      <c r="N343" s="1142">
        <v>3.125</v>
      </c>
      <c r="O343" s="843">
        <v>0</v>
      </c>
      <c r="P343" s="843">
        <v>0</v>
      </c>
      <c r="Q343" s="843">
        <v>1</v>
      </c>
      <c r="R343" s="1143">
        <v>46198.752997685187</v>
      </c>
      <c r="S343" s="843">
        <v>1</v>
      </c>
      <c r="T343" s="843">
        <v>1</v>
      </c>
    </row>
  </sheetData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7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5" r:id="rId6" name="Button 19">
          <controlPr defaultSize="0" autoFill="0" autoPict="0" macro="[0]!AddProductPriceByUom">
            <anchor>
              <from>
                <xdr:col>16</xdr:col>
                <xdr:colOff>333375</xdr:colOff>
                <xdr:row>2</xdr:row>
                <xdr:rowOff>66675</xdr:rowOff>
              </from>
              <to>
                <xdr:col>16</xdr:col>
                <xdr:colOff>1685925</xdr:colOff>
                <xdr:row>3</xdr:row>
                <xdr:rowOff>295275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zoomScale="90" zoomScaleNormal="90" workbookViewId="0">
      <pane ySplit="7" topLeftCell="A8" activePane="bottomLeft" state="frozen"/>
      <selection pane="bottomLeft" activeCell="M11" sqref="M11"/>
    </sheetView>
  </sheetViews>
  <sheetFormatPr defaultRowHeight="25.5"/>
  <cols>
    <col min="3" max="3" width="9.140625" style="204"/>
    <col min="4" max="4" width="25.85546875" style="256" customWidth="1"/>
    <col min="5" max="5" width="26.5703125" style="757" customWidth="1"/>
    <col min="6" max="6" width="32.85546875" style="757" customWidth="1"/>
    <col min="7" max="7" width="32.140625" style="204" customWidth="1"/>
    <col min="8" max="8" width="17.140625" style="204" customWidth="1"/>
    <col min="9" max="9" width="14.7109375" style="204" customWidth="1"/>
    <col min="10" max="10" width="34.5703125" style="68" customWidth="1"/>
  </cols>
  <sheetData>
    <row r="1" spans="3:10" ht="23.25" hidden="1">
      <c r="C1" s="13"/>
      <c r="D1" s="121"/>
      <c r="E1" s="13"/>
      <c r="F1" s="13"/>
    </row>
    <row r="2" spans="3:10" ht="23.25" hidden="1">
      <c r="C2" s="13"/>
      <c r="D2" s="121"/>
      <c r="E2" s="13"/>
      <c r="F2" s="13"/>
    </row>
    <row r="3" spans="3:10" ht="8.25" customHeight="1">
      <c r="C3" s="13"/>
      <c r="D3" s="121"/>
      <c r="E3" s="13"/>
      <c r="F3" s="13"/>
    </row>
    <row r="4" spans="3:10" ht="60.75" customHeight="1">
      <c r="C4" s="978" t="s">
        <v>2168</v>
      </c>
      <c r="D4" s="849"/>
      <c r="E4" s="849"/>
      <c r="F4" s="849"/>
      <c r="G4" s="576"/>
      <c r="H4" s="576"/>
      <c r="I4" s="576"/>
    </row>
    <row r="5" spans="3:10" ht="9" customHeight="1">
      <c r="C5" s="849"/>
      <c r="D5" s="849"/>
      <c r="E5" s="849"/>
      <c r="F5" s="849"/>
    </row>
    <row r="6" spans="3:10">
      <c r="C6" s="900" t="s">
        <v>47</v>
      </c>
      <c r="D6" s="900" t="s">
        <v>237</v>
      </c>
      <c r="E6" s="900" t="s">
        <v>2166</v>
      </c>
      <c r="F6" s="900" t="s">
        <v>83</v>
      </c>
      <c r="G6" s="900" t="s">
        <v>734</v>
      </c>
      <c r="H6" s="900" t="s">
        <v>2224</v>
      </c>
      <c r="I6" s="900" t="s">
        <v>224</v>
      </c>
    </row>
    <row r="7" spans="3:10" ht="23.25" customHeight="1">
      <c r="C7" s="921" t="s">
        <v>2161</v>
      </c>
      <c r="D7" s="921" t="s">
        <v>12</v>
      </c>
      <c r="E7" s="921" t="s">
        <v>750</v>
      </c>
      <c r="F7" s="921" t="s">
        <v>86</v>
      </c>
      <c r="G7" s="921" t="s">
        <v>720</v>
      </c>
      <c r="H7" s="921" t="s">
        <v>2212</v>
      </c>
      <c r="I7" s="921" t="s">
        <v>1743</v>
      </c>
    </row>
    <row r="8" spans="3:10">
      <c r="C8" s="843">
        <v>1</v>
      </c>
      <c r="D8" s="868" t="s">
        <v>2225</v>
      </c>
      <c r="E8" s="868" t="s">
        <v>2226</v>
      </c>
      <c r="F8" s="840"/>
      <c r="G8" s="1141">
        <v>46188</v>
      </c>
      <c r="H8" s="843">
        <v>1</v>
      </c>
      <c r="I8" s="843">
        <v>1</v>
      </c>
      <c r="J8" s="264" t="str">
        <f>IF(D8="","",TEXT(C8,"000")&amp;"."&amp;E8)</f>
        <v xml:space="preserve">001.General </v>
      </c>
    </row>
    <row r="9" spans="3:10">
      <c r="C9" s="843">
        <v>2</v>
      </c>
      <c r="D9" s="868" t="s">
        <v>2053</v>
      </c>
      <c r="E9" s="868" t="s">
        <v>2051</v>
      </c>
      <c r="F9" s="840"/>
      <c r="G9" s="1141">
        <v>46188</v>
      </c>
      <c r="H9" s="843">
        <v>2</v>
      </c>
      <c r="I9" s="843">
        <v>1</v>
      </c>
      <c r="J9" s="264" t="str">
        <f t="shared" ref="J9:J14" si="0">IF(D9="","",TEXT(C9,"000")&amp;"."&amp;E9)</f>
        <v>002.CHIP MONG</v>
      </c>
    </row>
    <row r="10" spans="3:10">
      <c r="C10" s="843">
        <v>3</v>
      </c>
      <c r="D10" s="868" t="s">
        <v>2177</v>
      </c>
      <c r="E10" s="868" t="s">
        <v>2173</v>
      </c>
      <c r="F10" s="840"/>
      <c r="G10" s="1141">
        <v>46188</v>
      </c>
      <c r="H10" s="843">
        <v>3</v>
      </c>
      <c r="I10" s="843">
        <v>1</v>
      </c>
      <c r="J10" s="264" t="str">
        <f t="shared" si="0"/>
        <v>003.ECO PIPE</v>
      </c>
    </row>
    <row r="11" spans="3:10">
      <c r="C11" s="843">
        <v>4</v>
      </c>
      <c r="D11" s="868" t="s">
        <v>2181</v>
      </c>
      <c r="E11" s="868" t="s">
        <v>2174</v>
      </c>
      <c r="F11" s="840"/>
      <c r="G11" s="1141">
        <v>46188</v>
      </c>
      <c r="H11" s="843">
        <v>4</v>
      </c>
      <c r="I11" s="843">
        <v>1</v>
      </c>
      <c r="J11" s="264" t="str">
        <f t="shared" si="0"/>
        <v>004.China</v>
      </c>
    </row>
    <row r="12" spans="3:10">
      <c r="C12" s="843">
        <v>5</v>
      </c>
      <c r="D12" s="868" t="s">
        <v>2175</v>
      </c>
      <c r="E12" s="868" t="s">
        <v>2179</v>
      </c>
      <c r="F12" s="840"/>
      <c r="G12" s="1141">
        <v>46188</v>
      </c>
      <c r="H12" s="843">
        <v>5</v>
      </c>
      <c r="I12" s="843">
        <v>1</v>
      </c>
      <c r="J12" s="264" t="str">
        <f t="shared" si="0"/>
        <v>005.Kbal Kla</v>
      </c>
    </row>
    <row r="13" spans="3:10">
      <c r="C13" s="843">
        <v>6</v>
      </c>
      <c r="D13" s="868" t="s">
        <v>2182</v>
      </c>
      <c r="E13" s="868" t="s">
        <v>2180</v>
      </c>
      <c r="F13" s="840"/>
      <c r="G13" s="1141">
        <v>46188</v>
      </c>
      <c r="H13" s="843">
        <v>6</v>
      </c>
      <c r="I13" s="843">
        <v>1</v>
      </c>
      <c r="J13" s="264" t="str">
        <f t="shared" si="0"/>
        <v>006.PL</v>
      </c>
    </row>
    <row r="14" spans="3:10">
      <c r="C14" s="843">
        <v>7</v>
      </c>
      <c r="D14" s="868" t="s">
        <v>2178</v>
      </c>
      <c r="E14" s="868" t="s">
        <v>2176</v>
      </c>
      <c r="F14" s="840"/>
      <c r="G14" s="1141">
        <v>46188</v>
      </c>
      <c r="H14" s="843">
        <v>7</v>
      </c>
      <c r="I14" s="843">
        <v>1</v>
      </c>
      <c r="J14" s="264" t="str">
        <f t="shared" si="0"/>
        <v>007.U-91</v>
      </c>
    </row>
    <row r="15" spans="3:10">
      <c r="J15" s="264" t="str">
        <f t="shared" ref="J15:J73" si="1">IF(D15="","",TEXT(C15,"000")&amp;"."&amp;D15&amp;" ("&amp;E15&amp;")")</f>
        <v/>
      </c>
    </row>
    <row r="16" spans="3:10">
      <c r="J16" s="264" t="str">
        <f t="shared" si="1"/>
        <v/>
      </c>
    </row>
    <row r="17" spans="10:10">
      <c r="J17" s="264" t="str">
        <f t="shared" si="1"/>
        <v/>
      </c>
    </row>
    <row r="18" spans="10:10">
      <c r="J18" s="264" t="str">
        <f t="shared" si="1"/>
        <v/>
      </c>
    </row>
    <row r="19" spans="10:10">
      <c r="J19" s="264" t="str">
        <f t="shared" si="1"/>
        <v/>
      </c>
    </row>
    <row r="20" spans="10:10">
      <c r="J20" s="264" t="str">
        <f t="shared" si="1"/>
        <v/>
      </c>
    </row>
    <row r="21" spans="10:10">
      <c r="J21" s="264" t="str">
        <f t="shared" si="1"/>
        <v/>
      </c>
    </row>
    <row r="22" spans="10:10">
      <c r="J22" s="264" t="str">
        <f t="shared" si="1"/>
        <v/>
      </c>
    </row>
    <row r="23" spans="10:10">
      <c r="J23" s="264" t="str">
        <f t="shared" si="1"/>
        <v/>
      </c>
    </row>
    <row r="24" spans="10:10">
      <c r="J24" s="264" t="str">
        <f t="shared" si="1"/>
        <v/>
      </c>
    </row>
    <row r="25" spans="10:10">
      <c r="J25" s="264" t="str">
        <f t="shared" si="1"/>
        <v/>
      </c>
    </row>
    <row r="26" spans="10:10">
      <c r="J26" s="264" t="str">
        <f t="shared" si="1"/>
        <v/>
      </c>
    </row>
    <row r="27" spans="10:10">
      <c r="J27" s="264" t="str">
        <f t="shared" si="1"/>
        <v/>
      </c>
    </row>
    <row r="28" spans="10:10">
      <c r="J28" s="264" t="str">
        <f t="shared" si="1"/>
        <v/>
      </c>
    </row>
    <row r="29" spans="10:10">
      <c r="J29" s="264" t="str">
        <f t="shared" si="1"/>
        <v/>
      </c>
    </row>
    <row r="30" spans="10:10">
      <c r="J30" s="264" t="str">
        <f t="shared" si="1"/>
        <v/>
      </c>
    </row>
    <row r="31" spans="10:10">
      <c r="J31" s="264" t="str">
        <f t="shared" si="1"/>
        <v/>
      </c>
    </row>
    <row r="32" spans="10:10">
      <c r="J32" s="264" t="str">
        <f t="shared" si="1"/>
        <v/>
      </c>
    </row>
    <row r="33" spans="10:10">
      <c r="J33" s="264" t="str">
        <f t="shared" si="1"/>
        <v/>
      </c>
    </row>
    <row r="34" spans="10:10">
      <c r="J34" s="264" t="str">
        <f t="shared" si="1"/>
        <v/>
      </c>
    </row>
    <row r="35" spans="10:10">
      <c r="J35" s="264" t="str">
        <f t="shared" si="1"/>
        <v/>
      </c>
    </row>
    <row r="36" spans="10:10">
      <c r="J36" s="264" t="str">
        <f t="shared" si="1"/>
        <v/>
      </c>
    </row>
    <row r="37" spans="10:10">
      <c r="J37" s="264" t="str">
        <f t="shared" si="1"/>
        <v/>
      </c>
    </row>
    <row r="38" spans="10:10">
      <c r="J38" s="264" t="str">
        <f t="shared" si="1"/>
        <v/>
      </c>
    </row>
    <row r="39" spans="10:10">
      <c r="J39" s="264" t="str">
        <f t="shared" si="1"/>
        <v/>
      </c>
    </row>
    <row r="40" spans="10:10">
      <c r="J40" s="264" t="str">
        <f t="shared" si="1"/>
        <v/>
      </c>
    </row>
    <row r="41" spans="10:10">
      <c r="J41" s="264" t="str">
        <f t="shared" si="1"/>
        <v/>
      </c>
    </row>
    <row r="42" spans="10:10">
      <c r="J42" s="264" t="str">
        <f t="shared" si="1"/>
        <v/>
      </c>
    </row>
    <row r="43" spans="10:10">
      <c r="J43" s="264" t="str">
        <f t="shared" si="1"/>
        <v/>
      </c>
    </row>
    <row r="44" spans="10:10">
      <c r="J44" s="264" t="str">
        <f t="shared" si="1"/>
        <v/>
      </c>
    </row>
    <row r="45" spans="10:10">
      <c r="J45" s="264" t="str">
        <f t="shared" si="1"/>
        <v/>
      </c>
    </row>
    <row r="46" spans="10:10">
      <c r="J46" s="264" t="str">
        <f t="shared" si="1"/>
        <v/>
      </c>
    </row>
    <row r="47" spans="10:10">
      <c r="J47" s="264" t="str">
        <f t="shared" si="1"/>
        <v/>
      </c>
    </row>
    <row r="48" spans="10:10">
      <c r="J48" s="264" t="str">
        <f t="shared" si="1"/>
        <v/>
      </c>
    </row>
    <row r="49" spans="10:10">
      <c r="J49" s="264" t="str">
        <f t="shared" si="1"/>
        <v/>
      </c>
    </row>
    <row r="50" spans="10:10">
      <c r="J50" s="264" t="str">
        <f t="shared" si="1"/>
        <v/>
      </c>
    </row>
    <row r="51" spans="10:10">
      <c r="J51" s="264" t="str">
        <f t="shared" si="1"/>
        <v/>
      </c>
    </row>
    <row r="52" spans="10:10">
      <c r="J52" s="264" t="str">
        <f t="shared" si="1"/>
        <v/>
      </c>
    </row>
    <row r="53" spans="10:10">
      <c r="J53" s="264" t="str">
        <f t="shared" si="1"/>
        <v/>
      </c>
    </row>
    <row r="54" spans="10:10">
      <c r="J54" s="264" t="str">
        <f t="shared" si="1"/>
        <v/>
      </c>
    </row>
    <row r="55" spans="10:10">
      <c r="J55" s="264" t="str">
        <f t="shared" si="1"/>
        <v/>
      </c>
    </row>
    <row r="56" spans="10:10">
      <c r="J56" s="264" t="str">
        <f t="shared" si="1"/>
        <v/>
      </c>
    </row>
    <row r="57" spans="10:10">
      <c r="J57" s="264" t="str">
        <f t="shared" si="1"/>
        <v/>
      </c>
    </row>
    <row r="58" spans="10:10">
      <c r="J58" s="264" t="str">
        <f t="shared" si="1"/>
        <v/>
      </c>
    </row>
    <row r="59" spans="10:10">
      <c r="J59" s="264" t="str">
        <f t="shared" si="1"/>
        <v/>
      </c>
    </row>
    <row r="60" spans="10:10">
      <c r="J60" s="264" t="str">
        <f t="shared" si="1"/>
        <v/>
      </c>
    </row>
    <row r="61" spans="10:10">
      <c r="J61" s="264" t="str">
        <f t="shared" si="1"/>
        <v/>
      </c>
    </row>
    <row r="62" spans="10:10">
      <c r="J62" s="264" t="str">
        <f t="shared" si="1"/>
        <v/>
      </c>
    </row>
    <row r="63" spans="10:10">
      <c r="J63" s="264" t="str">
        <f t="shared" si="1"/>
        <v/>
      </c>
    </row>
    <row r="64" spans="10:10">
      <c r="J64" s="264" t="str">
        <f t="shared" si="1"/>
        <v/>
      </c>
    </row>
    <row r="65" spans="10:10">
      <c r="J65" s="264" t="str">
        <f t="shared" si="1"/>
        <v/>
      </c>
    </row>
    <row r="66" spans="10:10">
      <c r="J66" s="264" t="str">
        <f t="shared" si="1"/>
        <v/>
      </c>
    </row>
    <row r="67" spans="10:10">
      <c r="J67" s="264" t="str">
        <f t="shared" si="1"/>
        <v/>
      </c>
    </row>
    <row r="68" spans="10:10">
      <c r="J68" s="264" t="str">
        <f t="shared" si="1"/>
        <v/>
      </c>
    </row>
    <row r="69" spans="10:10">
      <c r="J69" s="264" t="str">
        <f t="shared" si="1"/>
        <v/>
      </c>
    </row>
    <row r="70" spans="10:10">
      <c r="J70" s="264" t="str">
        <f t="shared" si="1"/>
        <v/>
      </c>
    </row>
    <row r="71" spans="10:10">
      <c r="J71" s="264" t="str">
        <f t="shared" si="1"/>
        <v/>
      </c>
    </row>
    <row r="72" spans="10:10">
      <c r="J72" s="264" t="str">
        <f t="shared" si="1"/>
        <v/>
      </c>
    </row>
    <row r="73" spans="10:10">
      <c r="J73" s="264" t="str">
        <f t="shared" si="1"/>
        <v/>
      </c>
    </row>
    <row r="74" spans="10:10">
      <c r="J74" s="264" t="str">
        <f t="shared" ref="J74:J137" si="2">IF(D74="","",TEXT(C74,"000")&amp;"."&amp;D74&amp;" ("&amp;E74&amp;")")</f>
        <v/>
      </c>
    </row>
    <row r="75" spans="10:10">
      <c r="J75" s="264" t="str">
        <f t="shared" si="2"/>
        <v/>
      </c>
    </row>
    <row r="76" spans="10:10">
      <c r="J76" s="264" t="str">
        <f t="shared" si="2"/>
        <v/>
      </c>
    </row>
    <row r="77" spans="10:10">
      <c r="J77" s="264" t="str">
        <f t="shared" si="2"/>
        <v/>
      </c>
    </row>
    <row r="78" spans="10:10">
      <c r="J78" s="264" t="str">
        <f t="shared" si="2"/>
        <v/>
      </c>
    </row>
    <row r="79" spans="10:10">
      <c r="J79" s="264" t="str">
        <f t="shared" si="2"/>
        <v/>
      </c>
    </row>
    <row r="80" spans="10:10">
      <c r="J80" s="264" t="str">
        <f t="shared" si="2"/>
        <v/>
      </c>
    </row>
    <row r="81" spans="10:10">
      <c r="J81" s="264" t="str">
        <f t="shared" si="2"/>
        <v/>
      </c>
    </row>
    <row r="82" spans="10:10">
      <c r="J82" s="264" t="str">
        <f t="shared" si="2"/>
        <v/>
      </c>
    </row>
    <row r="83" spans="10:10">
      <c r="J83" s="264" t="str">
        <f t="shared" si="2"/>
        <v/>
      </c>
    </row>
    <row r="84" spans="10:10">
      <c r="J84" s="264" t="str">
        <f t="shared" si="2"/>
        <v/>
      </c>
    </row>
    <row r="85" spans="10:10">
      <c r="J85" s="264" t="str">
        <f t="shared" si="2"/>
        <v/>
      </c>
    </row>
    <row r="86" spans="10:10">
      <c r="J86" s="264" t="str">
        <f t="shared" si="2"/>
        <v/>
      </c>
    </row>
    <row r="87" spans="10:10">
      <c r="J87" s="264" t="str">
        <f t="shared" si="2"/>
        <v/>
      </c>
    </row>
    <row r="88" spans="10:10">
      <c r="J88" s="264" t="str">
        <f t="shared" si="2"/>
        <v/>
      </c>
    </row>
    <row r="89" spans="10:10">
      <c r="J89" s="264" t="str">
        <f t="shared" si="2"/>
        <v/>
      </c>
    </row>
    <row r="90" spans="10:10">
      <c r="J90" s="264" t="str">
        <f t="shared" si="2"/>
        <v/>
      </c>
    </row>
    <row r="91" spans="10:10">
      <c r="J91" s="264" t="str">
        <f t="shared" si="2"/>
        <v/>
      </c>
    </row>
    <row r="92" spans="10:10">
      <c r="J92" s="264" t="str">
        <f t="shared" si="2"/>
        <v/>
      </c>
    </row>
    <row r="93" spans="10:10">
      <c r="J93" s="264" t="str">
        <f t="shared" si="2"/>
        <v/>
      </c>
    </row>
    <row r="94" spans="10:10">
      <c r="J94" s="264" t="str">
        <f t="shared" si="2"/>
        <v/>
      </c>
    </row>
    <row r="95" spans="10:10">
      <c r="J95" s="264" t="str">
        <f t="shared" si="2"/>
        <v/>
      </c>
    </row>
    <row r="96" spans="10:10">
      <c r="J96" s="264" t="str">
        <f t="shared" si="2"/>
        <v/>
      </c>
    </row>
    <row r="97" spans="10:10">
      <c r="J97" s="264" t="str">
        <f t="shared" si="2"/>
        <v/>
      </c>
    </row>
    <row r="98" spans="10:10">
      <c r="J98" s="264" t="str">
        <f t="shared" si="2"/>
        <v/>
      </c>
    </row>
    <row r="99" spans="10:10">
      <c r="J99" s="264" t="str">
        <f t="shared" si="2"/>
        <v/>
      </c>
    </row>
    <row r="100" spans="10:10">
      <c r="J100" s="264" t="str">
        <f t="shared" si="2"/>
        <v/>
      </c>
    </row>
    <row r="101" spans="10:10">
      <c r="J101" s="264" t="str">
        <f t="shared" si="2"/>
        <v/>
      </c>
    </row>
    <row r="102" spans="10:10">
      <c r="J102" s="264" t="str">
        <f t="shared" si="2"/>
        <v/>
      </c>
    </row>
    <row r="103" spans="10:10">
      <c r="J103" s="264" t="str">
        <f t="shared" si="2"/>
        <v/>
      </c>
    </row>
    <row r="104" spans="10:10">
      <c r="J104" s="264" t="str">
        <f t="shared" si="2"/>
        <v/>
      </c>
    </row>
    <row r="105" spans="10:10">
      <c r="J105" s="264" t="str">
        <f t="shared" si="2"/>
        <v/>
      </c>
    </row>
    <row r="106" spans="10:10">
      <c r="J106" s="264" t="str">
        <f t="shared" si="2"/>
        <v/>
      </c>
    </row>
    <row r="107" spans="10:10">
      <c r="J107" s="264" t="str">
        <f t="shared" si="2"/>
        <v/>
      </c>
    </row>
    <row r="108" spans="10:10">
      <c r="J108" s="264" t="str">
        <f t="shared" si="2"/>
        <v/>
      </c>
    </row>
    <row r="109" spans="10:10">
      <c r="J109" s="264" t="str">
        <f t="shared" si="2"/>
        <v/>
      </c>
    </row>
    <row r="110" spans="10:10">
      <c r="J110" s="264" t="str">
        <f t="shared" si="2"/>
        <v/>
      </c>
    </row>
    <row r="111" spans="10:10">
      <c r="J111" s="264" t="str">
        <f t="shared" si="2"/>
        <v/>
      </c>
    </row>
    <row r="112" spans="10:10">
      <c r="J112" s="264" t="str">
        <f t="shared" si="2"/>
        <v/>
      </c>
    </row>
    <row r="113" spans="10:10">
      <c r="J113" s="264" t="str">
        <f t="shared" si="2"/>
        <v/>
      </c>
    </row>
    <row r="114" spans="10:10">
      <c r="J114" s="264" t="str">
        <f t="shared" si="2"/>
        <v/>
      </c>
    </row>
    <row r="115" spans="10:10">
      <c r="J115" s="264" t="str">
        <f t="shared" si="2"/>
        <v/>
      </c>
    </row>
    <row r="116" spans="10:10">
      <c r="J116" s="264" t="str">
        <f t="shared" si="2"/>
        <v/>
      </c>
    </row>
    <row r="117" spans="10:10">
      <c r="J117" s="264" t="str">
        <f t="shared" si="2"/>
        <v/>
      </c>
    </row>
    <row r="118" spans="10:10">
      <c r="J118" s="264" t="str">
        <f t="shared" si="2"/>
        <v/>
      </c>
    </row>
    <row r="119" spans="10:10">
      <c r="J119" s="264" t="str">
        <f t="shared" si="2"/>
        <v/>
      </c>
    </row>
    <row r="120" spans="10:10">
      <c r="J120" s="264" t="str">
        <f t="shared" si="2"/>
        <v/>
      </c>
    </row>
    <row r="121" spans="10:10">
      <c r="J121" s="264" t="str">
        <f t="shared" si="2"/>
        <v/>
      </c>
    </row>
    <row r="122" spans="10:10">
      <c r="J122" s="264" t="str">
        <f t="shared" si="2"/>
        <v/>
      </c>
    </row>
    <row r="123" spans="10:10">
      <c r="J123" s="264" t="str">
        <f t="shared" si="2"/>
        <v/>
      </c>
    </row>
    <row r="124" spans="10:10">
      <c r="J124" s="264" t="str">
        <f t="shared" si="2"/>
        <v/>
      </c>
    </row>
    <row r="125" spans="10:10">
      <c r="J125" s="264" t="str">
        <f t="shared" si="2"/>
        <v/>
      </c>
    </row>
    <row r="126" spans="10:10">
      <c r="J126" s="264" t="str">
        <f t="shared" si="2"/>
        <v/>
      </c>
    </row>
    <row r="127" spans="10:10">
      <c r="J127" s="264" t="str">
        <f t="shared" si="2"/>
        <v/>
      </c>
    </row>
    <row r="128" spans="10:10">
      <c r="J128" s="264" t="str">
        <f t="shared" si="2"/>
        <v/>
      </c>
    </row>
    <row r="129" spans="10:10">
      <c r="J129" s="264" t="str">
        <f t="shared" si="2"/>
        <v/>
      </c>
    </row>
    <row r="130" spans="10:10">
      <c r="J130" s="264" t="str">
        <f t="shared" si="2"/>
        <v/>
      </c>
    </row>
    <row r="131" spans="10:10">
      <c r="J131" s="264" t="str">
        <f t="shared" si="2"/>
        <v/>
      </c>
    </row>
    <row r="132" spans="10:10">
      <c r="J132" s="264" t="str">
        <f t="shared" si="2"/>
        <v/>
      </c>
    </row>
    <row r="133" spans="10:10">
      <c r="J133" s="264" t="str">
        <f t="shared" si="2"/>
        <v/>
      </c>
    </row>
    <row r="134" spans="10:10">
      <c r="J134" s="264" t="str">
        <f t="shared" si="2"/>
        <v/>
      </c>
    </row>
    <row r="135" spans="10:10">
      <c r="J135" s="264" t="str">
        <f t="shared" si="2"/>
        <v/>
      </c>
    </row>
    <row r="136" spans="10:10">
      <c r="J136" s="264" t="str">
        <f t="shared" si="2"/>
        <v/>
      </c>
    </row>
    <row r="137" spans="10:10">
      <c r="J137" s="264" t="str">
        <f t="shared" si="2"/>
        <v/>
      </c>
    </row>
    <row r="138" spans="10:10">
      <c r="J138" s="264" t="str">
        <f t="shared" ref="J138:J201" si="3">IF(D138="","",TEXT(C138,"000")&amp;"."&amp;D138&amp;" ("&amp;E138&amp;")")</f>
        <v/>
      </c>
    </row>
    <row r="139" spans="10:10">
      <c r="J139" s="264" t="str">
        <f t="shared" si="3"/>
        <v/>
      </c>
    </row>
    <row r="140" spans="10:10">
      <c r="J140" s="264" t="str">
        <f t="shared" si="3"/>
        <v/>
      </c>
    </row>
    <row r="141" spans="10:10">
      <c r="J141" s="264" t="str">
        <f t="shared" si="3"/>
        <v/>
      </c>
    </row>
    <row r="142" spans="10:10">
      <c r="J142" s="264" t="str">
        <f t="shared" si="3"/>
        <v/>
      </c>
    </row>
    <row r="143" spans="10:10">
      <c r="J143" s="264" t="str">
        <f t="shared" si="3"/>
        <v/>
      </c>
    </row>
    <row r="144" spans="10:10">
      <c r="J144" s="264" t="str">
        <f t="shared" si="3"/>
        <v/>
      </c>
    </row>
    <row r="145" spans="10:10">
      <c r="J145" s="264" t="str">
        <f t="shared" si="3"/>
        <v/>
      </c>
    </row>
    <row r="146" spans="10:10">
      <c r="J146" s="264" t="str">
        <f t="shared" si="3"/>
        <v/>
      </c>
    </row>
    <row r="147" spans="10:10">
      <c r="J147" s="264" t="str">
        <f t="shared" si="3"/>
        <v/>
      </c>
    </row>
    <row r="148" spans="10:10">
      <c r="J148" s="264" t="str">
        <f t="shared" si="3"/>
        <v/>
      </c>
    </row>
    <row r="149" spans="10:10">
      <c r="J149" s="264" t="str">
        <f t="shared" si="3"/>
        <v/>
      </c>
    </row>
    <row r="150" spans="10:10">
      <c r="J150" s="264" t="str">
        <f t="shared" si="3"/>
        <v/>
      </c>
    </row>
    <row r="151" spans="10:10">
      <c r="J151" s="264" t="str">
        <f t="shared" si="3"/>
        <v/>
      </c>
    </row>
    <row r="152" spans="10:10">
      <c r="J152" s="264" t="str">
        <f t="shared" si="3"/>
        <v/>
      </c>
    </row>
    <row r="153" spans="10:10">
      <c r="J153" s="264" t="str">
        <f t="shared" si="3"/>
        <v/>
      </c>
    </row>
    <row r="154" spans="10:10">
      <c r="J154" s="264" t="str">
        <f t="shared" si="3"/>
        <v/>
      </c>
    </row>
    <row r="155" spans="10:10">
      <c r="J155" s="264" t="str">
        <f t="shared" si="3"/>
        <v/>
      </c>
    </row>
    <row r="156" spans="10:10">
      <c r="J156" s="264" t="str">
        <f t="shared" si="3"/>
        <v/>
      </c>
    </row>
    <row r="157" spans="10:10">
      <c r="J157" s="264" t="str">
        <f t="shared" si="3"/>
        <v/>
      </c>
    </row>
    <row r="158" spans="10:10">
      <c r="J158" s="264" t="str">
        <f t="shared" si="3"/>
        <v/>
      </c>
    </row>
    <row r="159" spans="10:10">
      <c r="J159" s="264" t="str">
        <f t="shared" si="3"/>
        <v/>
      </c>
    </row>
    <row r="160" spans="10:10">
      <c r="J160" s="264" t="str">
        <f t="shared" si="3"/>
        <v/>
      </c>
    </row>
    <row r="161" spans="10:10">
      <c r="J161" s="264" t="str">
        <f t="shared" si="3"/>
        <v/>
      </c>
    </row>
    <row r="162" spans="10:10">
      <c r="J162" s="264" t="str">
        <f t="shared" si="3"/>
        <v/>
      </c>
    </row>
    <row r="163" spans="10:10">
      <c r="J163" s="264" t="str">
        <f t="shared" si="3"/>
        <v/>
      </c>
    </row>
    <row r="164" spans="10:10">
      <c r="J164" s="264" t="str">
        <f t="shared" si="3"/>
        <v/>
      </c>
    </row>
    <row r="165" spans="10:10">
      <c r="J165" s="264" t="str">
        <f t="shared" si="3"/>
        <v/>
      </c>
    </row>
    <row r="166" spans="10:10">
      <c r="J166" s="264" t="str">
        <f t="shared" si="3"/>
        <v/>
      </c>
    </row>
    <row r="167" spans="10:10">
      <c r="J167" s="264" t="str">
        <f t="shared" si="3"/>
        <v/>
      </c>
    </row>
    <row r="168" spans="10:10">
      <c r="J168" s="264" t="str">
        <f t="shared" si="3"/>
        <v/>
      </c>
    </row>
    <row r="169" spans="10:10">
      <c r="J169" s="264" t="str">
        <f t="shared" si="3"/>
        <v/>
      </c>
    </row>
    <row r="170" spans="10:10">
      <c r="J170" s="264" t="str">
        <f t="shared" si="3"/>
        <v/>
      </c>
    </row>
    <row r="171" spans="10:10">
      <c r="J171" s="264" t="str">
        <f t="shared" si="3"/>
        <v/>
      </c>
    </row>
    <row r="172" spans="10:10">
      <c r="J172" s="264" t="str">
        <f t="shared" si="3"/>
        <v/>
      </c>
    </row>
    <row r="173" spans="10:10">
      <c r="J173" s="264" t="str">
        <f t="shared" si="3"/>
        <v/>
      </c>
    </row>
    <row r="174" spans="10:10">
      <c r="J174" s="264" t="str">
        <f t="shared" si="3"/>
        <v/>
      </c>
    </row>
    <row r="175" spans="10:10">
      <c r="J175" s="264" t="str">
        <f t="shared" si="3"/>
        <v/>
      </c>
    </row>
    <row r="176" spans="10:10">
      <c r="J176" s="264" t="str">
        <f t="shared" si="3"/>
        <v/>
      </c>
    </row>
    <row r="177" spans="10:10">
      <c r="J177" s="264" t="str">
        <f t="shared" si="3"/>
        <v/>
      </c>
    </row>
    <row r="178" spans="10:10">
      <c r="J178" s="264" t="str">
        <f t="shared" si="3"/>
        <v/>
      </c>
    </row>
    <row r="179" spans="10:10">
      <c r="J179" s="264" t="str">
        <f t="shared" si="3"/>
        <v/>
      </c>
    </row>
    <row r="180" spans="10:10">
      <c r="J180" s="264" t="str">
        <f t="shared" si="3"/>
        <v/>
      </c>
    </row>
    <row r="181" spans="10:10">
      <c r="J181" s="264" t="str">
        <f t="shared" si="3"/>
        <v/>
      </c>
    </row>
    <row r="182" spans="10:10">
      <c r="J182" s="264" t="str">
        <f t="shared" si="3"/>
        <v/>
      </c>
    </row>
    <row r="183" spans="10:10">
      <c r="J183" s="264" t="str">
        <f t="shared" si="3"/>
        <v/>
      </c>
    </row>
    <row r="184" spans="10:10">
      <c r="J184" s="264" t="str">
        <f t="shared" si="3"/>
        <v/>
      </c>
    </row>
    <row r="185" spans="10:10">
      <c r="J185" s="264" t="str">
        <f t="shared" si="3"/>
        <v/>
      </c>
    </row>
    <row r="186" spans="10:10">
      <c r="J186" s="264" t="str">
        <f t="shared" si="3"/>
        <v/>
      </c>
    </row>
    <row r="187" spans="10:10">
      <c r="J187" s="264" t="str">
        <f t="shared" si="3"/>
        <v/>
      </c>
    </row>
    <row r="188" spans="10:10">
      <c r="J188" s="264" t="str">
        <f t="shared" si="3"/>
        <v/>
      </c>
    </row>
    <row r="189" spans="10:10">
      <c r="J189" s="264" t="str">
        <f t="shared" si="3"/>
        <v/>
      </c>
    </row>
    <row r="190" spans="10:10">
      <c r="J190" s="264" t="str">
        <f t="shared" si="3"/>
        <v/>
      </c>
    </row>
    <row r="191" spans="10:10">
      <c r="J191" s="264" t="str">
        <f t="shared" si="3"/>
        <v/>
      </c>
    </row>
    <row r="192" spans="10:10">
      <c r="J192" s="264" t="str">
        <f t="shared" si="3"/>
        <v/>
      </c>
    </row>
    <row r="193" spans="10:10">
      <c r="J193" s="264" t="str">
        <f t="shared" si="3"/>
        <v/>
      </c>
    </row>
    <row r="194" spans="10:10">
      <c r="J194" s="264" t="str">
        <f t="shared" si="3"/>
        <v/>
      </c>
    </row>
    <row r="195" spans="10:10">
      <c r="J195" s="264" t="str">
        <f t="shared" si="3"/>
        <v/>
      </c>
    </row>
    <row r="196" spans="10:10">
      <c r="J196" s="264" t="str">
        <f t="shared" si="3"/>
        <v/>
      </c>
    </row>
    <row r="197" spans="10:10">
      <c r="J197" s="264" t="str">
        <f t="shared" si="3"/>
        <v/>
      </c>
    </row>
    <row r="198" spans="10:10">
      <c r="J198" s="264" t="str">
        <f t="shared" si="3"/>
        <v/>
      </c>
    </row>
    <row r="199" spans="10:10">
      <c r="J199" s="264" t="str">
        <f t="shared" si="3"/>
        <v/>
      </c>
    </row>
    <row r="200" spans="10:10">
      <c r="J200" s="264" t="str">
        <f t="shared" si="3"/>
        <v/>
      </c>
    </row>
    <row r="201" spans="10:10">
      <c r="J201" s="264" t="str">
        <f t="shared" si="3"/>
        <v/>
      </c>
    </row>
    <row r="202" spans="10:10">
      <c r="J202" s="264" t="str">
        <f t="shared" ref="J202:J265" si="4">IF(D202="","",TEXT(C202,"000")&amp;"."&amp;D202&amp;" ("&amp;E202&amp;")")</f>
        <v/>
      </c>
    </row>
    <row r="203" spans="10:10">
      <c r="J203" s="264" t="str">
        <f t="shared" si="4"/>
        <v/>
      </c>
    </row>
    <row r="204" spans="10:10">
      <c r="J204" s="264" t="str">
        <f t="shared" si="4"/>
        <v/>
      </c>
    </row>
    <row r="205" spans="10:10">
      <c r="J205" s="264" t="str">
        <f t="shared" si="4"/>
        <v/>
      </c>
    </row>
    <row r="206" spans="10:10">
      <c r="J206" s="264" t="str">
        <f t="shared" si="4"/>
        <v/>
      </c>
    </row>
    <row r="207" spans="10:10">
      <c r="J207" s="264" t="str">
        <f t="shared" si="4"/>
        <v/>
      </c>
    </row>
    <row r="208" spans="10:10">
      <c r="J208" s="264" t="str">
        <f t="shared" si="4"/>
        <v/>
      </c>
    </row>
    <row r="209" spans="10:10">
      <c r="J209" s="264" t="str">
        <f t="shared" si="4"/>
        <v/>
      </c>
    </row>
    <row r="210" spans="10:10">
      <c r="J210" s="264" t="str">
        <f t="shared" si="4"/>
        <v/>
      </c>
    </row>
    <row r="211" spans="10:10">
      <c r="J211" s="264" t="str">
        <f t="shared" si="4"/>
        <v/>
      </c>
    </row>
    <row r="212" spans="10:10">
      <c r="J212" s="264" t="str">
        <f t="shared" si="4"/>
        <v/>
      </c>
    </row>
    <row r="213" spans="10:10">
      <c r="J213" s="264" t="str">
        <f t="shared" si="4"/>
        <v/>
      </c>
    </row>
    <row r="214" spans="10:10">
      <c r="J214" s="264" t="str">
        <f t="shared" si="4"/>
        <v/>
      </c>
    </row>
    <row r="215" spans="10:10">
      <c r="J215" s="264" t="str">
        <f t="shared" si="4"/>
        <v/>
      </c>
    </row>
    <row r="216" spans="10:10">
      <c r="J216" s="264" t="str">
        <f t="shared" si="4"/>
        <v/>
      </c>
    </row>
    <row r="217" spans="10:10">
      <c r="J217" s="264" t="str">
        <f t="shared" si="4"/>
        <v/>
      </c>
    </row>
    <row r="218" spans="10:10">
      <c r="J218" s="264" t="str">
        <f t="shared" si="4"/>
        <v/>
      </c>
    </row>
    <row r="219" spans="10:10">
      <c r="J219" s="264" t="str">
        <f t="shared" si="4"/>
        <v/>
      </c>
    </row>
    <row r="220" spans="10:10">
      <c r="J220" s="264" t="str">
        <f t="shared" si="4"/>
        <v/>
      </c>
    </row>
    <row r="221" spans="10:10">
      <c r="J221" s="264" t="str">
        <f t="shared" si="4"/>
        <v/>
      </c>
    </row>
    <row r="222" spans="10:10">
      <c r="J222" s="264" t="str">
        <f t="shared" si="4"/>
        <v/>
      </c>
    </row>
    <row r="223" spans="10:10">
      <c r="J223" s="264" t="str">
        <f t="shared" si="4"/>
        <v/>
      </c>
    </row>
    <row r="224" spans="10:10">
      <c r="J224" s="264" t="str">
        <f t="shared" si="4"/>
        <v/>
      </c>
    </row>
    <row r="225" spans="10:10">
      <c r="J225" s="264" t="str">
        <f t="shared" si="4"/>
        <v/>
      </c>
    </row>
    <row r="226" spans="10:10">
      <c r="J226" s="264" t="str">
        <f t="shared" si="4"/>
        <v/>
      </c>
    </row>
    <row r="227" spans="10:10">
      <c r="J227" s="264" t="str">
        <f t="shared" si="4"/>
        <v/>
      </c>
    </row>
    <row r="228" spans="10:10">
      <c r="J228" s="264" t="str">
        <f t="shared" si="4"/>
        <v/>
      </c>
    </row>
    <row r="229" spans="10:10">
      <c r="J229" s="264" t="str">
        <f t="shared" si="4"/>
        <v/>
      </c>
    </row>
    <row r="230" spans="10:10">
      <c r="J230" s="264" t="str">
        <f t="shared" si="4"/>
        <v/>
      </c>
    </row>
    <row r="231" spans="10:10">
      <c r="J231" s="264" t="str">
        <f t="shared" si="4"/>
        <v/>
      </c>
    </row>
    <row r="232" spans="10:10">
      <c r="J232" s="264" t="str">
        <f t="shared" si="4"/>
        <v/>
      </c>
    </row>
    <row r="233" spans="10:10">
      <c r="J233" s="264" t="str">
        <f t="shared" si="4"/>
        <v/>
      </c>
    </row>
    <row r="234" spans="10:10">
      <c r="J234" s="264" t="str">
        <f t="shared" si="4"/>
        <v/>
      </c>
    </row>
    <row r="235" spans="10:10">
      <c r="J235" s="264" t="str">
        <f t="shared" si="4"/>
        <v/>
      </c>
    </row>
    <row r="236" spans="10:10">
      <c r="J236" s="264" t="str">
        <f t="shared" si="4"/>
        <v/>
      </c>
    </row>
    <row r="237" spans="10:10">
      <c r="J237" s="264" t="str">
        <f t="shared" si="4"/>
        <v/>
      </c>
    </row>
    <row r="238" spans="10:10">
      <c r="J238" s="264" t="str">
        <f t="shared" si="4"/>
        <v/>
      </c>
    </row>
    <row r="239" spans="10:10">
      <c r="J239" s="264" t="str">
        <f t="shared" si="4"/>
        <v/>
      </c>
    </row>
    <row r="240" spans="10:10">
      <c r="J240" s="264" t="str">
        <f t="shared" si="4"/>
        <v/>
      </c>
    </row>
    <row r="241" spans="10:10">
      <c r="J241" s="264" t="str">
        <f t="shared" si="4"/>
        <v/>
      </c>
    </row>
    <row r="242" spans="10:10">
      <c r="J242" s="264" t="str">
        <f t="shared" si="4"/>
        <v/>
      </c>
    </row>
    <row r="243" spans="10:10">
      <c r="J243" s="264" t="str">
        <f t="shared" si="4"/>
        <v/>
      </c>
    </row>
    <row r="244" spans="10:10">
      <c r="J244" s="264" t="str">
        <f t="shared" si="4"/>
        <v/>
      </c>
    </row>
    <row r="245" spans="10:10">
      <c r="J245" s="264" t="str">
        <f t="shared" si="4"/>
        <v/>
      </c>
    </row>
    <row r="246" spans="10:10">
      <c r="J246" s="264" t="str">
        <f t="shared" si="4"/>
        <v/>
      </c>
    </row>
    <row r="247" spans="10:10">
      <c r="J247" s="264" t="str">
        <f t="shared" si="4"/>
        <v/>
      </c>
    </row>
    <row r="248" spans="10:10">
      <c r="J248" s="264" t="str">
        <f t="shared" si="4"/>
        <v/>
      </c>
    </row>
    <row r="249" spans="10:10">
      <c r="J249" s="264" t="str">
        <f t="shared" si="4"/>
        <v/>
      </c>
    </row>
    <row r="250" spans="10:10">
      <c r="J250" s="264" t="str">
        <f t="shared" si="4"/>
        <v/>
      </c>
    </row>
    <row r="251" spans="10:10">
      <c r="J251" s="264" t="str">
        <f t="shared" si="4"/>
        <v/>
      </c>
    </row>
    <row r="252" spans="10:10">
      <c r="J252" s="264" t="str">
        <f t="shared" si="4"/>
        <v/>
      </c>
    </row>
    <row r="253" spans="10:10">
      <c r="J253" s="264" t="str">
        <f t="shared" si="4"/>
        <v/>
      </c>
    </row>
    <row r="254" spans="10:10">
      <c r="J254" s="264" t="str">
        <f t="shared" si="4"/>
        <v/>
      </c>
    </row>
    <row r="255" spans="10:10">
      <c r="J255" s="264" t="str">
        <f t="shared" si="4"/>
        <v/>
      </c>
    </row>
    <row r="256" spans="10:10">
      <c r="J256" s="264" t="str">
        <f t="shared" si="4"/>
        <v/>
      </c>
    </row>
    <row r="257" spans="10:10">
      <c r="J257" s="264" t="str">
        <f t="shared" si="4"/>
        <v/>
      </c>
    </row>
    <row r="258" spans="10:10">
      <c r="J258" s="264" t="str">
        <f t="shared" si="4"/>
        <v/>
      </c>
    </row>
    <row r="259" spans="10:10">
      <c r="J259" s="264" t="str">
        <f t="shared" si="4"/>
        <v/>
      </c>
    </row>
    <row r="260" spans="10:10">
      <c r="J260" s="264" t="str">
        <f t="shared" si="4"/>
        <v/>
      </c>
    </row>
    <row r="261" spans="10:10">
      <c r="J261" s="264" t="str">
        <f t="shared" si="4"/>
        <v/>
      </c>
    </row>
    <row r="262" spans="10:10">
      <c r="J262" s="264" t="str">
        <f t="shared" si="4"/>
        <v/>
      </c>
    </row>
    <row r="263" spans="10:10">
      <c r="J263" s="264" t="str">
        <f t="shared" si="4"/>
        <v/>
      </c>
    </row>
    <row r="264" spans="10:10">
      <c r="J264" s="264" t="str">
        <f t="shared" si="4"/>
        <v/>
      </c>
    </row>
    <row r="265" spans="10:10">
      <c r="J265" s="264" t="str">
        <f t="shared" si="4"/>
        <v/>
      </c>
    </row>
    <row r="266" spans="10:10">
      <c r="J266" s="264" t="str">
        <f t="shared" ref="J266:J329" si="5">IF(D266="","",TEXT(C266,"000")&amp;"."&amp;D266&amp;" ("&amp;E266&amp;")")</f>
        <v/>
      </c>
    </row>
    <row r="267" spans="10:10">
      <c r="J267" s="264" t="str">
        <f t="shared" si="5"/>
        <v/>
      </c>
    </row>
    <row r="268" spans="10:10">
      <c r="J268" s="264" t="str">
        <f t="shared" si="5"/>
        <v/>
      </c>
    </row>
    <row r="269" spans="10:10">
      <c r="J269" s="264" t="str">
        <f t="shared" si="5"/>
        <v/>
      </c>
    </row>
    <row r="270" spans="10:10">
      <c r="J270" s="264" t="str">
        <f t="shared" si="5"/>
        <v/>
      </c>
    </row>
    <row r="271" spans="10:10">
      <c r="J271" s="264" t="str">
        <f t="shared" si="5"/>
        <v/>
      </c>
    </row>
    <row r="272" spans="10:10">
      <c r="J272" s="264" t="str">
        <f t="shared" si="5"/>
        <v/>
      </c>
    </row>
    <row r="273" spans="10:10">
      <c r="J273" s="264" t="str">
        <f t="shared" si="5"/>
        <v/>
      </c>
    </row>
    <row r="274" spans="10:10">
      <c r="J274" s="264" t="str">
        <f t="shared" si="5"/>
        <v/>
      </c>
    </row>
    <row r="275" spans="10:10">
      <c r="J275" s="264" t="str">
        <f t="shared" si="5"/>
        <v/>
      </c>
    </row>
    <row r="276" spans="10:10">
      <c r="J276" s="264" t="str">
        <f t="shared" si="5"/>
        <v/>
      </c>
    </row>
    <row r="277" spans="10:10">
      <c r="J277" s="264" t="str">
        <f t="shared" si="5"/>
        <v/>
      </c>
    </row>
    <row r="278" spans="10:10">
      <c r="J278" s="264" t="str">
        <f t="shared" si="5"/>
        <v/>
      </c>
    </row>
    <row r="279" spans="10:10">
      <c r="J279" s="264" t="str">
        <f t="shared" si="5"/>
        <v/>
      </c>
    </row>
    <row r="280" spans="10:10">
      <c r="J280" s="264" t="str">
        <f t="shared" si="5"/>
        <v/>
      </c>
    </row>
    <row r="281" spans="10:10">
      <c r="J281" s="264" t="str">
        <f t="shared" si="5"/>
        <v/>
      </c>
    </row>
    <row r="282" spans="10:10">
      <c r="J282" s="264" t="str">
        <f t="shared" si="5"/>
        <v/>
      </c>
    </row>
    <row r="283" spans="10:10">
      <c r="J283" s="264" t="str">
        <f t="shared" si="5"/>
        <v/>
      </c>
    </row>
    <row r="284" spans="10:10">
      <c r="J284" s="264" t="str">
        <f t="shared" si="5"/>
        <v/>
      </c>
    </row>
    <row r="285" spans="10:10">
      <c r="J285" s="264" t="str">
        <f t="shared" si="5"/>
        <v/>
      </c>
    </row>
    <row r="286" spans="10:10">
      <c r="J286" s="264" t="str">
        <f t="shared" si="5"/>
        <v/>
      </c>
    </row>
    <row r="287" spans="10:10">
      <c r="J287" s="264" t="str">
        <f t="shared" si="5"/>
        <v/>
      </c>
    </row>
    <row r="288" spans="10:10">
      <c r="J288" s="264" t="str">
        <f t="shared" si="5"/>
        <v/>
      </c>
    </row>
    <row r="289" spans="10:10">
      <c r="J289" s="264" t="str">
        <f t="shared" si="5"/>
        <v/>
      </c>
    </row>
    <row r="290" spans="10:10">
      <c r="J290" s="264" t="str">
        <f t="shared" si="5"/>
        <v/>
      </c>
    </row>
    <row r="291" spans="10:10">
      <c r="J291" s="264" t="str">
        <f t="shared" si="5"/>
        <v/>
      </c>
    </row>
    <row r="292" spans="10:10">
      <c r="J292" s="264" t="str">
        <f t="shared" si="5"/>
        <v/>
      </c>
    </row>
    <row r="293" spans="10:10">
      <c r="J293" s="264" t="str">
        <f t="shared" si="5"/>
        <v/>
      </c>
    </row>
    <row r="294" spans="10:10">
      <c r="J294" s="264" t="str">
        <f t="shared" si="5"/>
        <v/>
      </c>
    </row>
    <row r="295" spans="10:10">
      <c r="J295" s="264" t="str">
        <f t="shared" si="5"/>
        <v/>
      </c>
    </row>
    <row r="296" spans="10:10">
      <c r="J296" s="264" t="str">
        <f t="shared" si="5"/>
        <v/>
      </c>
    </row>
    <row r="297" spans="10:10">
      <c r="J297" s="264" t="str">
        <f t="shared" si="5"/>
        <v/>
      </c>
    </row>
    <row r="298" spans="10:10">
      <c r="J298" s="264" t="str">
        <f t="shared" si="5"/>
        <v/>
      </c>
    </row>
    <row r="299" spans="10:10">
      <c r="J299" s="264" t="str">
        <f t="shared" si="5"/>
        <v/>
      </c>
    </row>
    <row r="300" spans="10:10">
      <c r="J300" s="264" t="str">
        <f t="shared" si="5"/>
        <v/>
      </c>
    </row>
    <row r="301" spans="10:10">
      <c r="J301" s="264" t="str">
        <f t="shared" si="5"/>
        <v/>
      </c>
    </row>
    <row r="302" spans="10:10">
      <c r="J302" s="264" t="str">
        <f t="shared" si="5"/>
        <v/>
      </c>
    </row>
    <row r="303" spans="10:10">
      <c r="J303" s="264" t="str">
        <f t="shared" si="5"/>
        <v/>
      </c>
    </row>
    <row r="304" spans="10:10">
      <c r="J304" s="264" t="str">
        <f t="shared" si="5"/>
        <v/>
      </c>
    </row>
    <row r="305" spans="10:10">
      <c r="J305" s="264" t="str">
        <f t="shared" si="5"/>
        <v/>
      </c>
    </row>
    <row r="306" spans="10:10">
      <c r="J306" s="264" t="str">
        <f t="shared" si="5"/>
        <v/>
      </c>
    </row>
    <row r="307" spans="10:10">
      <c r="J307" s="264" t="str">
        <f t="shared" si="5"/>
        <v/>
      </c>
    </row>
    <row r="308" spans="10:10">
      <c r="J308" s="264" t="str">
        <f t="shared" si="5"/>
        <v/>
      </c>
    </row>
    <row r="309" spans="10:10">
      <c r="J309" s="264" t="str">
        <f t="shared" si="5"/>
        <v/>
      </c>
    </row>
    <row r="310" spans="10:10">
      <c r="J310" s="264" t="str">
        <f t="shared" si="5"/>
        <v/>
      </c>
    </row>
    <row r="311" spans="10:10">
      <c r="J311" s="264" t="str">
        <f t="shared" si="5"/>
        <v/>
      </c>
    </row>
    <row r="312" spans="10:10">
      <c r="J312" s="264" t="str">
        <f t="shared" si="5"/>
        <v/>
      </c>
    </row>
    <row r="313" spans="10:10">
      <c r="J313" s="264" t="str">
        <f t="shared" si="5"/>
        <v/>
      </c>
    </row>
    <row r="314" spans="10:10">
      <c r="J314" s="264" t="str">
        <f t="shared" si="5"/>
        <v/>
      </c>
    </row>
    <row r="315" spans="10:10">
      <c r="J315" s="264" t="str">
        <f t="shared" si="5"/>
        <v/>
      </c>
    </row>
    <row r="316" spans="10:10">
      <c r="J316" s="264" t="str">
        <f t="shared" si="5"/>
        <v/>
      </c>
    </row>
    <row r="317" spans="10:10">
      <c r="J317" s="264" t="str">
        <f t="shared" si="5"/>
        <v/>
      </c>
    </row>
    <row r="318" spans="10:10">
      <c r="J318" s="264" t="str">
        <f t="shared" si="5"/>
        <v/>
      </c>
    </row>
    <row r="319" spans="10:10">
      <c r="J319" s="264" t="str">
        <f t="shared" si="5"/>
        <v/>
      </c>
    </row>
    <row r="320" spans="10:10">
      <c r="J320" s="264" t="str">
        <f t="shared" si="5"/>
        <v/>
      </c>
    </row>
    <row r="321" spans="10:10">
      <c r="J321" s="264" t="str">
        <f t="shared" si="5"/>
        <v/>
      </c>
    </row>
    <row r="322" spans="10:10">
      <c r="J322" s="264" t="str">
        <f t="shared" si="5"/>
        <v/>
      </c>
    </row>
    <row r="323" spans="10:10">
      <c r="J323" s="264" t="str">
        <f t="shared" si="5"/>
        <v/>
      </c>
    </row>
    <row r="324" spans="10:10">
      <c r="J324" s="264" t="str">
        <f t="shared" si="5"/>
        <v/>
      </c>
    </row>
    <row r="325" spans="10:10">
      <c r="J325" s="264" t="str">
        <f t="shared" si="5"/>
        <v/>
      </c>
    </row>
    <row r="326" spans="10:10">
      <c r="J326" s="264" t="str">
        <f t="shared" si="5"/>
        <v/>
      </c>
    </row>
    <row r="327" spans="10:10">
      <c r="J327" s="264" t="str">
        <f t="shared" si="5"/>
        <v/>
      </c>
    </row>
    <row r="328" spans="10:10">
      <c r="J328" s="264" t="str">
        <f t="shared" si="5"/>
        <v/>
      </c>
    </row>
    <row r="329" spans="10:10">
      <c r="J329" s="264" t="str">
        <f t="shared" si="5"/>
        <v/>
      </c>
    </row>
    <row r="330" spans="10:10">
      <c r="J330" s="264" t="str">
        <f t="shared" ref="J330:J383" si="6">IF(D330="","",TEXT(C330,"000")&amp;"."&amp;D330&amp;" ("&amp;E330&amp;")")</f>
        <v/>
      </c>
    </row>
    <row r="331" spans="10:10">
      <c r="J331" s="264" t="str">
        <f t="shared" si="6"/>
        <v/>
      </c>
    </row>
    <row r="332" spans="10:10">
      <c r="J332" s="264" t="str">
        <f t="shared" si="6"/>
        <v/>
      </c>
    </row>
    <row r="333" spans="10:10">
      <c r="J333" s="264" t="str">
        <f t="shared" si="6"/>
        <v/>
      </c>
    </row>
    <row r="334" spans="10:10">
      <c r="J334" s="264" t="str">
        <f t="shared" si="6"/>
        <v/>
      </c>
    </row>
    <row r="335" spans="10:10">
      <c r="J335" s="264" t="str">
        <f t="shared" si="6"/>
        <v/>
      </c>
    </row>
    <row r="336" spans="10:10">
      <c r="J336" s="264" t="str">
        <f t="shared" si="6"/>
        <v/>
      </c>
    </row>
    <row r="337" spans="10:10">
      <c r="J337" s="264" t="str">
        <f t="shared" si="6"/>
        <v/>
      </c>
    </row>
    <row r="338" spans="10:10">
      <c r="J338" s="264" t="str">
        <f t="shared" si="6"/>
        <v/>
      </c>
    </row>
    <row r="339" spans="10:10">
      <c r="J339" s="264" t="str">
        <f t="shared" si="6"/>
        <v/>
      </c>
    </row>
    <row r="340" spans="10:10">
      <c r="J340" s="264" t="str">
        <f t="shared" si="6"/>
        <v/>
      </c>
    </row>
    <row r="341" spans="10:10">
      <c r="J341" s="264" t="str">
        <f t="shared" si="6"/>
        <v/>
      </c>
    </row>
    <row r="342" spans="10:10">
      <c r="J342" s="264" t="str">
        <f t="shared" si="6"/>
        <v/>
      </c>
    </row>
    <row r="343" spans="10:10">
      <c r="J343" s="264" t="str">
        <f t="shared" si="6"/>
        <v/>
      </c>
    </row>
    <row r="344" spans="10:10">
      <c r="J344" s="264" t="str">
        <f t="shared" si="6"/>
        <v/>
      </c>
    </row>
    <row r="345" spans="10:10">
      <c r="J345" s="264" t="str">
        <f t="shared" si="6"/>
        <v/>
      </c>
    </row>
    <row r="346" spans="10:10">
      <c r="J346" s="264" t="str">
        <f t="shared" si="6"/>
        <v/>
      </c>
    </row>
    <row r="347" spans="10:10">
      <c r="J347" s="264" t="str">
        <f t="shared" si="6"/>
        <v/>
      </c>
    </row>
    <row r="348" spans="10:10">
      <c r="J348" s="264" t="str">
        <f t="shared" si="6"/>
        <v/>
      </c>
    </row>
    <row r="349" spans="10:10">
      <c r="J349" s="264" t="str">
        <f t="shared" si="6"/>
        <v/>
      </c>
    </row>
    <row r="350" spans="10:10">
      <c r="J350" s="264" t="str">
        <f t="shared" si="6"/>
        <v/>
      </c>
    </row>
    <row r="351" spans="10:10">
      <c r="J351" s="264" t="str">
        <f t="shared" si="6"/>
        <v/>
      </c>
    </row>
    <row r="352" spans="10:10">
      <c r="J352" s="264" t="str">
        <f t="shared" si="6"/>
        <v/>
      </c>
    </row>
    <row r="353" spans="10:10">
      <c r="J353" s="264" t="str">
        <f t="shared" si="6"/>
        <v/>
      </c>
    </row>
    <row r="354" spans="10:10">
      <c r="J354" s="264" t="str">
        <f t="shared" si="6"/>
        <v/>
      </c>
    </row>
    <row r="355" spans="10:10">
      <c r="J355" s="264" t="str">
        <f t="shared" si="6"/>
        <v/>
      </c>
    </row>
    <row r="356" spans="10:10">
      <c r="J356" s="264" t="str">
        <f t="shared" si="6"/>
        <v/>
      </c>
    </row>
    <row r="357" spans="10:10">
      <c r="J357" s="264" t="str">
        <f t="shared" si="6"/>
        <v/>
      </c>
    </row>
    <row r="358" spans="10:10">
      <c r="J358" s="264" t="str">
        <f t="shared" si="6"/>
        <v/>
      </c>
    </row>
    <row r="359" spans="10:10">
      <c r="J359" s="264" t="str">
        <f t="shared" si="6"/>
        <v/>
      </c>
    </row>
    <row r="360" spans="10:10">
      <c r="J360" s="264" t="str">
        <f t="shared" si="6"/>
        <v/>
      </c>
    </row>
    <row r="361" spans="10:10">
      <c r="J361" s="264" t="str">
        <f t="shared" si="6"/>
        <v/>
      </c>
    </row>
    <row r="362" spans="10:10">
      <c r="J362" s="264" t="str">
        <f t="shared" si="6"/>
        <v/>
      </c>
    </row>
    <row r="363" spans="10:10">
      <c r="J363" s="264" t="str">
        <f t="shared" si="6"/>
        <v/>
      </c>
    </row>
    <row r="364" spans="10:10">
      <c r="J364" s="264" t="str">
        <f t="shared" si="6"/>
        <v/>
      </c>
    </row>
    <row r="365" spans="10:10">
      <c r="J365" s="264" t="str">
        <f t="shared" si="6"/>
        <v/>
      </c>
    </row>
    <row r="366" spans="10:10">
      <c r="J366" s="264" t="str">
        <f t="shared" si="6"/>
        <v/>
      </c>
    </row>
    <row r="367" spans="10:10">
      <c r="J367" s="264" t="str">
        <f t="shared" si="6"/>
        <v/>
      </c>
    </row>
    <row r="368" spans="10:10">
      <c r="J368" s="264" t="str">
        <f t="shared" si="6"/>
        <v/>
      </c>
    </row>
    <row r="369" spans="10:10">
      <c r="J369" s="264" t="str">
        <f t="shared" si="6"/>
        <v/>
      </c>
    </row>
    <row r="370" spans="10:10">
      <c r="J370" s="264" t="str">
        <f t="shared" si="6"/>
        <v/>
      </c>
    </row>
    <row r="371" spans="10:10">
      <c r="J371" s="264" t="str">
        <f t="shared" si="6"/>
        <v/>
      </c>
    </row>
    <row r="372" spans="10:10">
      <c r="J372" s="264" t="str">
        <f t="shared" si="6"/>
        <v/>
      </c>
    </row>
    <row r="373" spans="10:10">
      <c r="J373" s="264" t="str">
        <f t="shared" si="6"/>
        <v/>
      </c>
    </row>
    <row r="374" spans="10:10">
      <c r="J374" s="264" t="str">
        <f t="shared" si="6"/>
        <v/>
      </c>
    </row>
    <row r="375" spans="10:10">
      <c r="J375" s="264" t="str">
        <f t="shared" si="6"/>
        <v/>
      </c>
    </row>
    <row r="376" spans="10:10">
      <c r="J376" s="264" t="str">
        <f t="shared" si="6"/>
        <v/>
      </c>
    </row>
    <row r="377" spans="10:10">
      <c r="J377" s="264" t="str">
        <f t="shared" si="6"/>
        <v/>
      </c>
    </row>
    <row r="378" spans="10:10">
      <c r="J378" s="264" t="str">
        <f t="shared" si="6"/>
        <v/>
      </c>
    </row>
    <row r="379" spans="10:10">
      <c r="J379" s="264" t="str">
        <f t="shared" si="6"/>
        <v/>
      </c>
    </row>
    <row r="380" spans="10:10">
      <c r="J380" s="264" t="str">
        <f t="shared" si="6"/>
        <v/>
      </c>
    </row>
    <row r="381" spans="10:10">
      <c r="J381" s="264" t="str">
        <f t="shared" si="6"/>
        <v/>
      </c>
    </row>
    <row r="382" spans="10:10">
      <c r="J382" s="264" t="str">
        <f t="shared" si="6"/>
        <v/>
      </c>
    </row>
    <row r="383" spans="10:10">
      <c r="J383" s="264" t="str">
        <f t="shared" si="6"/>
        <v/>
      </c>
    </row>
  </sheetData>
  <phoneticPr fontId="37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topLeftCell="C1" zoomScale="80" zoomScaleNormal="80" zoomScaleSheetLayoutView="30" workbookViewId="0">
      <pane ySplit="7" topLeftCell="A8" activePane="bottomLeft" state="frozen"/>
      <selection pane="bottomLeft" activeCell="J29" sqref="J29"/>
    </sheetView>
  </sheetViews>
  <sheetFormatPr defaultRowHeight="23.25"/>
  <cols>
    <col min="3" max="3" width="6.85546875" style="13" customWidth="1"/>
    <col min="4" max="4" width="14" style="13" bestFit="1" customWidth="1"/>
    <col min="5" max="5" width="26" style="360" customWidth="1"/>
    <col min="6" max="6" width="45.7109375" style="360" bestFit="1" customWidth="1"/>
    <col min="7" max="7" width="40.85546875" style="360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91.42578125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827" t="s">
        <v>2167</v>
      </c>
      <c r="D4" s="849"/>
      <c r="E4" s="849"/>
      <c r="F4" s="849"/>
      <c r="G4" s="849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900" t="s">
        <v>47</v>
      </c>
      <c r="D6" s="900" t="s">
        <v>2164</v>
      </c>
      <c r="E6" s="900" t="s">
        <v>2165</v>
      </c>
      <c r="F6" s="900" t="s">
        <v>237</v>
      </c>
      <c r="G6" s="900" t="s">
        <v>2166</v>
      </c>
      <c r="H6" s="900" t="s">
        <v>83</v>
      </c>
      <c r="I6" s="900" t="s">
        <v>2211</v>
      </c>
      <c r="J6" s="900" t="s">
        <v>734</v>
      </c>
      <c r="K6" s="900" t="s">
        <v>224</v>
      </c>
      <c r="L6"/>
    </row>
    <row r="7" spans="3:12" ht="23.25" customHeight="1">
      <c r="C7" s="1140" t="s">
        <v>2161</v>
      </c>
      <c r="D7" s="1140" t="s">
        <v>2162</v>
      </c>
      <c r="E7" s="1140" t="s">
        <v>2163</v>
      </c>
      <c r="F7" s="1140" t="s">
        <v>12</v>
      </c>
      <c r="G7" s="1140" t="s">
        <v>750</v>
      </c>
      <c r="H7" s="1140" t="s">
        <v>86</v>
      </c>
      <c r="I7" s="1140" t="s">
        <v>2212</v>
      </c>
      <c r="J7" s="1140" t="s">
        <v>720</v>
      </c>
      <c r="K7" s="1140" t="s">
        <v>1743</v>
      </c>
      <c r="L7"/>
    </row>
    <row r="8" spans="3:12" ht="25.5">
      <c r="C8" s="843">
        <v>1</v>
      </c>
      <c r="D8" s="843"/>
      <c r="E8" s="868" t="s">
        <v>2170</v>
      </c>
      <c r="F8" s="868" t="s">
        <v>2170</v>
      </c>
      <c r="G8" s="870" t="s">
        <v>2223</v>
      </c>
      <c r="H8" s="1139"/>
      <c r="I8" s="843">
        <v>1</v>
      </c>
      <c r="J8" s="843"/>
      <c r="K8" s="843">
        <v>1</v>
      </c>
      <c r="L8" s="256" t="str">
        <f>IF(F8="","",TEXT(C8,"000")&amp;"."&amp;F8)</f>
        <v>001.គ្រឿងជាង</v>
      </c>
    </row>
    <row r="9" spans="3:12" ht="25.5">
      <c r="C9" s="843">
        <v>2</v>
      </c>
      <c r="D9" s="843"/>
      <c r="E9" s="868" t="s">
        <v>2215</v>
      </c>
      <c r="F9" s="868" t="s">
        <v>2215</v>
      </c>
      <c r="G9" s="870" t="s">
        <v>2172</v>
      </c>
      <c r="H9" s="1139"/>
      <c r="I9" s="843">
        <v>2</v>
      </c>
      <c r="J9" s="843"/>
      <c r="K9" s="843">
        <v>1</v>
      </c>
      <c r="L9" s="256" t="str">
        <f t="shared" ref="L9:L35" si="0">IF(F9="","",TEXT(C9,"000")&amp;"."&amp;F9)</f>
        <v>002.គ្រឿងដែក</v>
      </c>
    </row>
    <row r="10" spans="3:12" ht="25.5">
      <c r="C10" s="843">
        <v>3</v>
      </c>
      <c r="D10" s="843"/>
      <c r="E10" s="868" t="s">
        <v>2213</v>
      </c>
      <c r="F10" s="868" t="s">
        <v>2213</v>
      </c>
      <c r="G10" s="870" t="s">
        <v>2222</v>
      </c>
      <c r="H10" s="1139"/>
      <c r="I10" s="843">
        <v>3</v>
      </c>
      <c r="J10" s="843"/>
      <c r="K10" s="843">
        <v>1</v>
      </c>
      <c r="L10" s="256" t="str">
        <f t="shared" si="0"/>
        <v>003.គ្រឿងទឹក</v>
      </c>
    </row>
    <row r="11" spans="3:12" ht="25.5">
      <c r="C11" s="843">
        <v>4</v>
      </c>
      <c r="D11" s="843"/>
      <c r="E11" s="868" t="s">
        <v>2169</v>
      </c>
      <c r="F11" s="868" t="s">
        <v>2169</v>
      </c>
      <c r="G11" s="870" t="s">
        <v>2186</v>
      </c>
      <c r="H11" s="1139"/>
      <c r="I11" s="843">
        <v>4</v>
      </c>
      <c r="J11" s="843"/>
      <c r="K11" s="843">
        <v>1</v>
      </c>
      <c r="L11" s="256" t="str">
        <f t="shared" si="0"/>
        <v>004.គ្រឿងភ្លើង</v>
      </c>
    </row>
    <row r="12" spans="3:12" ht="25.5">
      <c r="C12" s="843">
        <v>5</v>
      </c>
      <c r="D12" s="843"/>
      <c r="E12" s="868" t="s">
        <v>2171</v>
      </c>
      <c r="F12" s="868" t="s">
        <v>2171</v>
      </c>
      <c r="G12" s="870" t="s">
        <v>2210</v>
      </c>
      <c r="H12" s="1139"/>
      <c r="I12" s="843">
        <v>5</v>
      </c>
      <c r="J12" s="843"/>
      <c r="K12" s="843">
        <v>1</v>
      </c>
      <c r="L12" s="256" t="str">
        <f t="shared" si="0"/>
        <v>005.គ្រឿងសំណង់</v>
      </c>
    </row>
    <row r="13" spans="3:12" ht="25.5">
      <c r="C13" s="843">
        <v>6</v>
      </c>
      <c r="D13" s="843"/>
      <c r="E13" s="868" t="s">
        <v>2216</v>
      </c>
      <c r="F13" s="868" t="s">
        <v>2216</v>
      </c>
      <c r="G13" s="870" t="s">
        <v>2183</v>
      </c>
      <c r="H13" s="1139"/>
      <c r="I13" s="843">
        <v>6</v>
      </c>
      <c r="J13" s="843"/>
      <c r="K13" s="843">
        <v>1</v>
      </c>
      <c r="L13" s="256" t="str">
        <f t="shared" si="0"/>
        <v>006.ថ្នាំលាប</v>
      </c>
    </row>
    <row r="14" spans="3:12" ht="25.5">
      <c r="C14" s="843">
        <v>7</v>
      </c>
      <c r="D14" s="843"/>
      <c r="E14" s="868" t="s">
        <v>2209</v>
      </c>
      <c r="F14" s="868" t="s">
        <v>2209</v>
      </c>
      <c r="G14" s="870" t="s">
        <v>2214</v>
      </c>
      <c r="H14" s="1139"/>
      <c r="I14" s="843">
        <v>7</v>
      </c>
      <c r="J14" s="843"/>
      <c r="K14" s="843">
        <v>1</v>
      </c>
      <c r="L14" s="256" t="str">
        <f t="shared" si="0"/>
        <v>007.គ្រឿងបរិក្ខាផ្សេងៗ</v>
      </c>
    </row>
    <row r="15" spans="3:12" ht="25.5">
      <c r="C15" s="843">
        <v>8</v>
      </c>
      <c r="D15" s="843">
        <v>1</v>
      </c>
      <c r="E15" s="868" t="s">
        <v>2170</v>
      </c>
      <c r="F15" s="868" t="s">
        <v>2188</v>
      </c>
      <c r="G15" s="870" t="s">
        <v>2187</v>
      </c>
      <c r="H15" s="1139"/>
      <c r="I15" s="843">
        <v>8</v>
      </c>
      <c r="J15" s="843"/>
      <c r="K15" s="843">
        <v>1</v>
      </c>
      <c r="L15" s="256" t="str">
        <f t="shared" si="0"/>
        <v>008.ឧបករណ៍​រុះរើ និង​បេតុង</v>
      </c>
    </row>
    <row r="16" spans="3:12" ht="25.5">
      <c r="C16" s="843">
        <v>9</v>
      </c>
      <c r="D16" s="843">
        <v>1</v>
      </c>
      <c r="E16" s="868" t="s">
        <v>2170</v>
      </c>
      <c r="F16" s="868" t="s">
        <v>2900</v>
      </c>
      <c r="G16" s="870" t="s">
        <v>2217</v>
      </c>
      <c r="H16" s="1139"/>
      <c r="I16" s="843">
        <v>9</v>
      </c>
      <c r="J16" s="843"/>
      <c r="K16" s="843">
        <v>1</v>
      </c>
      <c r="L16" s="256" t="str">
        <f t="shared" si="0"/>
        <v>009.ឧបករណ៍ដៃ ដង្កាប់ ទួណឺវីស…</v>
      </c>
    </row>
    <row r="17" spans="3:12" ht="25.5">
      <c r="C17" s="843">
        <v>10</v>
      </c>
      <c r="D17" s="843">
        <v>1</v>
      </c>
      <c r="E17" s="868" t="s">
        <v>2170</v>
      </c>
      <c r="F17" s="868" t="s">
        <v>2218</v>
      </c>
      <c r="G17" s="870" t="s">
        <v>2208</v>
      </c>
      <c r="H17" s="1139"/>
      <c r="I17" s="843">
        <v>10</v>
      </c>
      <c r="J17" s="843"/>
      <c r="K17" s="843">
        <v>1</v>
      </c>
      <c r="L17" s="256" t="str">
        <f t="shared" si="0"/>
        <v>010.ឧបករណ៍ការពារ PPE</v>
      </c>
    </row>
    <row r="18" spans="3:12" ht="25.5">
      <c r="C18" s="843">
        <v>11</v>
      </c>
      <c r="D18" s="843">
        <v>1</v>
      </c>
      <c r="E18" s="868" t="s">
        <v>2170</v>
      </c>
      <c r="F18" s="868" t="s">
        <v>2205</v>
      </c>
      <c r="G18" s="870" t="s">
        <v>2219</v>
      </c>
      <c r="H18" s="1139"/>
      <c r="I18" s="843">
        <v>11</v>
      </c>
      <c r="J18" s="843"/>
      <c r="K18" s="843">
        <v>1</v>
      </c>
      <c r="L18" s="256" t="str">
        <f t="shared" si="0"/>
        <v>011.ឧបករណ៍ កាត់ សំណឹក…</v>
      </c>
    </row>
    <row r="19" spans="3:12" ht="25.5">
      <c r="C19" s="843">
        <v>12</v>
      </c>
      <c r="D19" s="843">
        <v>1</v>
      </c>
      <c r="E19" s="868" t="s">
        <v>2170</v>
      </c>
      <c r="F19" s="868" t="s">
        <v>2901</v>
      </c>
      <c r="G19" s="870" t="s">
        <v>2899</v>
      </c>
      <c r="H19" s="1139"/>
      <c r="I19" s="843">
        <v>12</v>
      </c>
      <c r="J19" s="843"/>
      <c r="K19" s="843">
        <v>1</v>
      </c>
      <c r="L19" s="256" t="str">
        <f t="shared" si="0"/>
        <v>012.ឧបករណ៍ភ្ជាប់ ដែកគោល វីស...</v>
      </c>
    </row>
    <row r="20" spans="3:12" ht="25.5">
      <c r="C20" s="843">
        <v>13</v>
      </c>
      <c r="D20" s="843">
        <v>2</v>
      </c>
      <c r="E20" s="868" t="s">
        <v>2215</v>
      </c>
      <c r="F20" s="868" t="s">
        <v>2297</v>
      </c>
      <c r="G20" s="870" t="s">
        <v>2198</v>
      </c>
      <c r="H20" s="1139"/>
      <c r="I20" s="843">
        <v>13</v>
      </c>
      <c r="J20" s="843"/>
      <c r="K20" s="843">
        <v>1</v>
      </c>
      <c r="L20" s="256" t="str">
        <f t="shared" si="0"/>
        <v>013.ដែកសរសៃ</v>
      </c>
    </row>
    <row r="21" spans="3:12" ht="25.5">
      <c r="C21" s="843">
        <v>14</v>
      </c>
      <c r="D21" s="843">
        <v>2</v>
      </c>
      <c r="E21" s="868" t="s">
        <v>2215</v>
      </c>
      <c r="F21" s="868" t="s">
        <v>2206</v>
      </c>
      <c r="G21" s="870" t="s">
        <v>2199</v>
      </c>
      <c r="H21" s="1139"/>
      <c r="I21" s="843">
        <v>14</v>
      </c>
      <c r="J21" s="843"/>
      <c r="K21" s="843">
        <v>1</v>
      </c>
      <c r="L21" s="256" t="str">
        <f t="shared" si="0"/>
        <v>014.ដែកទីប និងដែកជ្រុង</v>
      </c>
    </row>
    <row r="22" spans="3:12" ht="25.5">
      <c r="C22" s="843">
        <v>15</v>
      </c>
      <c r="D22" s="843">
        <v>3</v>
      </c>
      <c r="E22" s="868" t="s">
        <v>2213</v>
      </c>
      <c r="F22" s="868" t="s">
        <v>2221</v>
      </c>
      <c r="G22" s="870" t="s">
        <v>2204</v>
      </c>
      <c r="H22" s="1139"/>
      <c r="I22" s="843">
        <v>15</v>
      </c>
      <c r="J22" s="843"/>
      <c r="K22" s="843">
        <v>1</v>
      </c>
      <c r="L22" s="256" t="str">
        <f t="shared" si="0"/>
        <v>015.ទុយោទឹក</v>
      </c>
    </row>
    <row r="23" spans="3:12" ht="25.5">
      <c r="C23" s="843">
        <v>16</v>
      </c>
      <c r="D23" s="843">
        <v>3</v>
      </c>
      <c r="E23" s="868" t="s">
        <v>2213</v>
      </c>
      <c r="F23" s="868" t="s">
        <v>2185</v>
      </c>
      <c r="G23" s="870" t="s">
        <v>2184</v>
      </c>
      <c r="H23" s="1139"/>
      <c r="I23" s="843">
        <v>16</v>
      </c>
      <c r="J23" s="843"/>
      <c r="K23" s="843">
        <v>1</v>
      </c>
      <c r="L23" s="256" t="str">
        <f t="shared" si="0"/>
        <v>016.គ្រឿងដំណរទុយោ</v>
      </c>
    </row>
    <row r="24" spans="3:12" ht="25.5">
      <c r="C24" s="843">
        <v>17</v>
      </c>
      <c r="D24" s="843">
        <v>4</v>
      </c>
      <c r="E24" s="868" t="s">
        <v>2169</v>
      </c>
      <c r="F24" s="868" t="s">
        <v>2902</v>
      </c>
      <c r="G24" s="870" t="s">
        <v>2903</v>
      </c>
      <c r="H24" s="1139"/>
      <c r="I24" s="843">
        <v>17</v>
      </c>
      <c r="J24" s="843"/>
      <c r="K24" s="843">
        <v>1</v>
      </c>
      <c r="L24" s="256" t="str">
        <f t="shared" si="0"/>
        <v>017.ខ្សែភ្លើង និងខ្សែ</v>
      </c>
    </row>
    <row r="25" spans="3:12" ht="25.5">
      <c r="C25" s="843">
        <v>18</v>
      </c>
      <c r="D25" s="843">
        <v>4</v>
      </c>
      <c r="E25" s="868" t="s">
        <v>2169</v>
      </c>
      <c r="F25" s="868" t="s">
        <v>2904</v>
      </c>
      <c r="G25" s="870" t="s">
        <v>2905</v>
      </c>
      <c r="H25" s="1139"/>
      <c r="I25" s="843">
        <v>18</v>
      </c>
      <c r="J25" s="843"/>
      <c r="K25" s="843">
        <v>1</v>
      </c>
      <c r="L25" s="256" t="str">
        <f t="shared" si="0"/>
        <v>018.ព្រីភ្លើង និងគ្រឿងចែកចាយថាមពល</v>
      </c>
    </row>
    <row r="26" spans="3:12" ht="25.5">
      <c r="C26" s="843">
        <v>19</v>
      </c>
      <c r="D26" s="843">
        <v>4</v>
      </c>
      <c r="E26" s="868" t="s">
        <v>2169</v>
      </c>
      <c r="F26" s="868" t="s">
        <v>2906</v>
      </c>
      <c r="G26" s="870" t="s">
        <v>2907</v>
      </c>
      <c r="H26" s="1139"/>
      <c r="I26" s="843">
        <v>19</v>
      </c>
      <c r="J26" s="843"/>
      <c r="K26" s="843">
        <v>1</v>
      </c>
      <c r="L26" s="256" t="str">
        <f t="shared" si="0"/>
        <v>019.គ្រឿងបរិក្ខារ និងឧបករណ៍ភ្ជាប់</v>
      </c>
    </row>
    <row r="27" spans="3:12" ht="25.5">
      <c r="C27" s="843">
        <v>20</v>
      </c>
      <c r="D27" s="843">
        <v>4</v>
      </c>
      <c r="E27" s="868" t="s">
        <v>2169</v>
      </c>
      <c r="F27" s="868" t="s">
        <v>2908</v>
      </c>
      <c r="G27" s="870" t="s">
        <v>2909</v>
      </c>
      <c r="H27" s="1139"/>
      <c r="I27" s="843">
        <v>20</v>
      </c>
      <c r="J27" s="843"/>
      <c r="K27" s="843">
        <v>1</v>
      </c>
      <c r="L27" s="256" t="str">
        <f t="shared" si="0"/>
        <v>020.គ្រឿងបំភ្លឺ និងគ្រឿងបន្លាស់</v>
      </c>
    </row>
    <row r="28" spans="3:12" ht="25.5">
      <c r="C28" s="843">
        <v>21</v>
      </c>
      <c r="D28" s="843">
        <v>5</v>
      </c>
      <c r="E28" s="868" t="s">
        <v>2171</v>
      </c>
      <c r="F28" s="868" t="s">
        <v>2220</v>
      </c>
      <c r="G28" s="870" t="s">
        <v>2200</v>
      </c>
      <c r="H28" s="1139"/>
      <c r="I28" s="843">
        <v>21</v>
      </c>
      <c r="J28" s="843"/>
      <c r="K28" s="843">
        <v>1</v>
      </c>
      <c r="L28" s="256" t="str">
        <f t="shared" si="0"/>
        <v>021.វត្ថុធាតុដើមសំណង់ ខ្សាច់ ថ្ម...</v>
      </c>
    </row>
    <row r="29" spans="3:12" ht="25.5">
      <c r="C29" s="843">
        <v>22</v>
      </c>
      <c r="D29" s="843">
        <v>5</v>
      </c>
      <c r="E29" s="868" t="s">
        <v>2171</v>
      </c>
      <c r="F29" s="868" t="s">
        <v>2203</v>
      </c>
      <c r="G29" s="870" t="s">
        <v>2197</v>
      </c>
      <c r="H29" s="1139"/>
      <c r="I29" s="843">
        <v>22</v>
      </c>
      <c r="J29" s="843"/>
      <c r="K29" s="843">
        <v>1</v>
      </c>
      <c r="L29" s="256" t="str">
        <f t="shared" si="0"/>
        <v>022.ស៊ីម៉ង់ត៍ និងបេតុង</v>
      </c>
    </row>
    <row r="30" spans="3:12" ht="25.5">
      <c r="C30" s="843">
        <v>23</v>
      </c>
      <c r="D30" s="843">
        <v>6</v>
      </c>
      <c r="E30" s="868" t="s">
        <v>2216</v>
      </c>
      <c r="F30" s="868" t="s">
        <v>2201</v>
      </c>
      <c r="G30" s="870" t="s">
        <v>2195</v>
      </c>
      <c r="H30" s="1139"/>
      <c r="I30" s="843">
        <v>23</v>
      </c>
      <c r="J30" s="843"/>
      <c r="K30" s="843">
        <v>1</v>
      </c>
      <c r="L30" s="256" t="str">
        <f t="shared" si="0"/>
        <v>023.ថ្នាំលាប និងថ្នាំកូត</v>
      </c>
    </row>
    <row r="31" spans="3:12" ht="25.5">
      <c r="C31" s="843">
        <v>24</v>
      </c>
      <c r="D31" s="843">
        <v>6</v>
      </c>
      <c r="E31" s="868" t="s">
        <v>2216</v>
      </c>
      <c r="F31" s="868" t="s">
        <v>2202</v>
      </c>
      <c r="G31" s="870" t="s">
        <v>2196</v>
      </c>
      <c r="H31" s="1139"/>
      <c r="I31" s="843">
        <v>24</v>
      </c>
      <c r="J31" s="843"/>
      <c r="K31" s="843">
        <v>1</v>
      </c>
      <c r="L31" s="256" t="str">
        <f t="shared" si="0"/>
        <v>024.ឧបករណ៍លាបថ្នាំលាប</v>
      </c>
    </row>
    <row r="32" spans="3:12" ht="25.5">
      <c r="C32" s="843">
        <v>25</v>
      </c>
      <c r="D32" s="843">
        <v>7</v>
      </c>
      <c r="E32" s="868" t="s">
        <v>2209</v>
      </c>
      <c r="F32" s="868" t="s">
        <v>2898</v>
      </c>
      <c r="G32" s="870" t="s">
        <v>2207</v>
      </c>
      <c r="H32" s="1139"/>
      <c r="I32" s="843">
        <v>25</v>
      </c>
      <c r="J32" s="843"/>
      <c r="K32" s="843">
        <v>1</v>
      </c>
      <c r="L32" s="256" t="str">
        <f t="shared" si="0"/>
        <v>025.សោ និងកូនសោ</v>
      </c>
    </row>
    <row r="33" spans="3:12" ht="25.5">
      <c r="C33" s="843">
        <v>26</v>
      </c>
      <c r="D33" s="843">
        <v>7</v>
      </c>
      <c r="E33" s="868" t="s">
        <v>2209</v>
      </c>
      <c r="F33" s="868" t="s">
        <v>2190</v>
      </c>
      <c r="G33" s="870" t="s">
        <v>2189</v>
      </c>
      <c r="H33" s="1139"/>
      <c r="I33" s="843">
        <v>26</v>
      </c>
      <c r="J33" s="843"/>
      <c r="K33" s="843">
        <v>1</v>
      </c>
      <c r="L33" s="256" t="str">
        <f t="shared" si="0"/>
        <v>026.ឧបករណ៍សម្រាប់បិទភ្ជាប់ និងស្អិត</v>
      </c>
    </row>
    <row r="34" spans="3:12" ht="25.5">
      <c r="C34" s="843">
        <v>27</v>
      </c>
      <c r="D34" s="843">
        <v>7</v>
      </c>
      <c r="E34" s="868" t="s">
        <v>2209</v>
      </c>
      <c r="F34" s="868" t="s">
        <v>2193</v>
      </c>
      <c r="G34" s="870" t="s">
        <v>2191</v>
      </c>
      <c r="H34" s="1139"/>
      <c r="I34" s="843">
        <v>27</v>
      </c>
      <c r="J34" s="843"/>
      <c r="K34" s="843">
        <v>1</v>
      </c>
      <c r="L34" s="256" t="str">
        <f t="shared" si="0"/>
        <v>027.ឧបករណ៍សួនច្បារ និងឧបករណ៍កាត់</v>
      </c>
    </row>
    <row r="35" spans="3:12" ht="25.5">
      <c r="C35" s="843">
        <v>28</v>
      </c>
      <c r="D35" s="843">
        <v>7</v>
      </c>
      <c r="E35" s="868" t="s">
        <v>2209</v>
      </c>
      <c r="F35" s="868" t="s">
        <v>2194</v>
      </c>
      <c r="G35" s="870" t="s">
        <v>2192</v>
      </c>
      <c r="H35" s="1139"/>
      <c r="I35" s="843">
        <v>28</v>
      </c>
      <c r="J35" s="843"/>
      <c r="K35" s="843">
        <v>1</v>
      </c>
      <c r="L35" s="256" t="str">
        <f t="shared" si="0"/>
        <v>028.ការសម្អាត និងការដុសខាត់</v>
      </c>
    </row>
    <row r="36" spans="3:12" ht="25.5">
      <c r="L36" s="256" t="str">
        <f t="shared" ref="L36:L38" si="1">IF(F36="","",TEXT(C36,"000")&amp;"."&amp;F36&amp;" ("&amp;G36&amp;")")</f>
        <v/>
      </c>
    </row>
    <row r="37" spans="3:12" ht="25.5">
      <c r="L37" s="256" t="str">
        <f t="shared" si="1"/>
        <v/>
      </c>
    </row>
    <row r="38" spans="3:12" ht="25.5">
      <c r="L38" s="256" t="str">
        <f t="shared" si="1"/>
        <v/>
      </c>
    </row>
    <row r="39" spans="3:12" ht="25.5">
      <c r="L39" s="256" t="str">
        <f t="shared" ref="L39:L102" si="2">IF(F39="","",TEXT(C39,"000")&amp;"."&amp;F39&amp;" ("&amp;G39&amp;")")</f>
        <v/>
      </c>
    </row>
    <row r="40" spans="3:12" ht="25.5">
      <c r="L40" s="256" t="str">
        <f t="shared" si="2"/>
        <v/>
      </c>
    </row>
    <row r="41" spans="3:12" ht="25.5">
      <c r="L41" s="256" t="str">
        <f t="shared" si="2"/>
        <v/>
      </c>
    </row>
    <row r="42" spans="3:12" ht="25.5">
      <c r="L42" s="256" t="str">
        <f t="shared" si="2"/>
        <v/>
      </c>
    </row>
    <row r="43" spans="3:12" ht="25.5">
      <c r="L43" s="256" t="str">
        <f t="shared" si="2"/>
        <v/>
      </c>
    </row>
    <row r="44" spans="3:12" ht="25.5">
      <c r="L44" s="256" t="str">
        <f t="shared" si="2"/>
        <v/>
      </c>
    </row>
    <row r="45" spans="3:12" ht="25.5">
      <c r="L45" s="256" t="str">
        <f t="shared" si="2"/>
        <v/>
      </c>
    </row>
    <row r="46" spans="3:12" ht="25.5">
      <c r="L46" s="256" t="str">
        <f t="shared" si="2"/>
        <v/>
      </c>
    </row>
    <row r="47" spans="3:12" ht="25.5">
      <c r="L47" s="256" t="str">
        <f t="shared" si="2"/>
        <v/>
      </c>
    </row>
    <row r="48" spans="3:12" ht="25.5">
      <c r="L48" s="256" t="str">
        <f t="shared" si="2"/>
        <v/>
      </c>
    </row>
    <row r="49" spans="12:12" ht="25.5">
      <c r="L49" s="256" t="str">
        <f t="shared" si="2"/>
        <v/>
      </c>
    </row>
    <row r="50" spans="12:12" ht="25.5">
      <c r="L50" s="256" t="str">
        <f t="shared" si="2"/>
        <v/>
      </c>
    </row>
    <row r="51" spans="12:12" ht="25.5">
      <c r="L51" s="256" t="str">
        <f t="shared" si="2"/>
        <v/>
      </c>
    </row>
    <row r="52" spans="12:12" ht="25.5">
      <c r="L52" s="256" t="str">
        <f t="shared" si="2"/>
        <v/>
      </c>
    </row>
    <row r="53" spans="12:12" ht="25.5">
      <c r="L53" s="256" t="str">
        <f t="shared" si="2"/>
        <v/>
      </c>
    </row>
    <row r="54" spans="12:12" ht="25.5">
      <c r="L54" s="256" t="str">
        <f t="shared" si="2"/>
        <v/>
      </c>
    </row>
    <row r="55" spans="12:12" ht="25.5">
      <c r="L55" s="256" t="str">
        <f t="shared" si="2"/>
        <v/>
      </c>
    </row>
    <row r="56" spans="12:12" ht="25.5">
      <c r="L56" s="256" t="str">
        <f t="shared" si="2"/>
        <v/>
      </c>
    </row>
    <row r="57" spans="12:12" ht="25.5">
      <c r="L57" s="256" t="str">
        <f t="shared" si="2"/>
        <v/>
      </c>
    </row>
    <row r="58" spans="12:12" ht="25.5">
      <c r="L58" s="256" t="str">
        <f t="shared" si="2"/>
        <v/>
      </c>
    </row>
    <row r="59" spans="12:12" ht="25.5">
      <c r="L59" s="256" t="str">
        <f t="shared" si="2"/>
        <v/>
      </c>
    </row>
    <row r="60" spans="12:12" ht="25.5">
      <c r="L60" s="256" t="str">
        <f t="shared" si="2"/>
        <v/>
      </c>
    </row>
    <row r="61" spans="12:12" ht="25.5">
      <c r="L61" s="256" t="str">
        <f t="shared" si="2"/>
        <v/>
      </c>
    </row>
    <row r="62" spans="12:12" ht="25.5">
      <c r="L62" s="256" t="str">
        <f t="shared" si="2"/>
        <v/>
      </c>
    </row>
    <row r="63" spans="12:12" ht="25.5">
      <c r="L63" s="256" t="str">
        <f t="shared" si="2"/>
        <v/>
      </c>
    </row>
    <row r="64" spans="12:12" ht="25.5">
      <c r="L64" s="256" t="str">
        <f t="shared" si="2"/>
        <v/>
      </c>
    </row>
    <row r="65" spans="12:12" ht="25.5">
      <c r="L65" s="256" t="str">
        <f t="shared" si="2"/>
        <v/>
      </c>
    </row>
    <row r="66" spans="12:12" ht="25.5">
      <c r="L66" s="256" t="str">
        <f t="shared" si="2"/>
        <v/>
      </c>
    </row>
    <row r="67" spans="12:12" ht="25.5">
      <c r="L67" s="256" t="str">
        <f t="shared" si="2"/>
        <v/>
      </c>
    </row>
    <row r="68" spans="12:12" ht="25.5">
      <c r="L68" s="256" t="str">
        <f t="shared" si="2"/>
        <v/>
      </c>
    </row>
    <row r="69" spans="12:12" ht="25.5">
      <c r="L69" s="256" t="str">
        <f t="shared" si="2"/>
        <v/>
      </c>
    </row>
    <row r="70" spans="12:12" ht="25.5">
      <c r="L70" s="256" t="str">
        <f t="shared" si="2"/>
        <v/>
      </c>
    </row>
    <row r="71" spans="12:12" ht="25.5">
      <c r="L71" s="256" t="str">
        <f t="shared" si="2"/>
        <v/>
      </c>
    </row>
    <row r="72" spans="12:12" ht="25.5">
      <c r="L72" s="256" t="str">
        <f t="shared" si="2"/>
        <v/>
      </c>
    </row>
    <row r="73" spans="12:12" ht="25.5">
      <c r="L73" s="256" t="str">
        <f t="shared" si="2"/>
        <v/>
      </c>
    </row>
    <row r="74" spans="12:12" ht="25.5">
      <c r="L74" s="256" t="str">
        <f t="shared" si="2"/>
        <v/>
      </c>
    </row>
    <row r="75" spans="12:12" ht="25.5">
      <c r="L75" s="256" t="str">
        <f t="shared" si="2"/>
        <v/>
      </c>
    </row>
    <row r="76" spans="12:12" ht="25.5">
      <c r="L76" s="256" t="str">
        <f t="shared" si="2"/>
        <v/>
      </c>
    </row>
    <row r="77" spans="12:12" ht="25.5">
      <c r="L77" s="256" t="str">
        <f t="shared" si="2"/>
        <v/>
      </c>
    </row>
    <row r="78" spans="12:12" ht="25.5">
      <c r="L78" s="256" t="str">
        <f t="shared" si="2"/>
        <v/>
      </c>
    </row>
    <row r="79" spans="12:12" ht="25.5">
      <c r="L79" s="256" t="str">
        <f t="shared" si="2"/>
        <v/>
      </c>
    </row>
    <row r="80" spans="12:12" ht="25.5">
      <c r="L80" s="256" t="str">
        <f t="shared" si="2"/>
        <v/>
      </c>
    </row>
    <row r="81" spans="12:12" ht="25.5">
      <c r="L81" s="256" t="str">
        <f t="shared" si="2"/>
        <v/>
      </c>
    </row>
    <row r="82" spans="12:12" ht="25.5">
      <c r="L82" s="256" t="str">
        <f t="shared" si="2"/>
        <v/>
      </c>
    </row>
    <row r="83" spans="12:12" ht="25.5">
      <c r="L83" s="256" t="str">
        <f t="shared" si="2"/>
        <v/>
      </c>
    </row>
    <row r="84" spans="12:12" ht="25.5">
      <c r="L84" s="256" t="str">
        <f t="shared" si="2"/>
        <v/>
      </c>
    </row>
    <row r="85" spans="12:12" ht="25.5">
      <c r="L85" s="256" t="str">
        <f t="shared" si="2"/>
        <v/>
      </c>
    </row>
    <row r="86" spans="12:12" ht="25.5">
      <c r="L86" s="256" t="str">
        <f t="shared" si="2"/>
        <v/>
      </c>
    </row>
    <row r="87" spans="12:12" ht="25.5">
      <c r="L87" s="256" t="str">
        <f t="shared" si="2"/>
        <v/>
      </c>
    </row>
    <row r="88" spans="12:12" ht="25.5">
      <c r="L88" s="256" t="str">
        <f t="shared" si="2"/>
        <v/>
      </c>
    </row>
    <row r="89" spans="12:12" ht="25.5">
      <c r="L89" s="256" t="str">
        <f t="shared" si="2"/>
        <v/>
      </c>
    </row>
    <row r="90" spans="12:12" ht="25.5">
      <c r="L90" s="256" t="str">
        <f t="shared" si="2"/>
        <v/>
      </c>
    </row>
    <row r="91" spans="12:12" ht="25.5">
      <c r="L91" s="256" t="str">
        <f t="shared" si="2"/>
        <v/>
      </c>
    </row>
    <row r="92" spans="12:12" ht="25.5">
      <c r="L92" s="256" t="str">
        <f t="shared" si="2"/>
        <v/>
      </c>
    </row>
    <row r="93" spans="12:12" ht="25.5">
      <c r="L93" s="256" t="str">
        <f t="shared" si="2"/>
        <v/>
      </c>
    </row>
    <row r="94" spans="12:12" ht="25.5">
      <c r="L94" s="256" t="str">
        <f t="shared" si="2"/>
        <v/>
      </c>
    </row>
    <row r="95" spans="12:12" ht="25.5">
      <c r="L95" s="256" t="str">
        <f t="shared" si="2"/>
        <v/>
      </c>
    </row>
    <row r="96" spans="12:12" ht="25.5">
      <c r="L96" s="256" t="str">
        <f t="shared" si="2"/>
        <v/>
      </c>
    </row>
    <row r="97" spans="12:12" ht="25.5">
      <c r="L97" s="256" t="str">
        <f t="shared" si="2"/>
        <v/>
      </c>
    </row>
    <row r="98" spans="12:12" ht="25.5">
      <c r="L98" s="256" t="str">
        <f t="shared" si="2"/>
        <v/>
      </c>
    </row>
    <row r="99" spans="12:12" ht="25.5">
      <c r="L99" s="256" t="str">
        <f t="shared" si="2"/>
        <v/>
      </c>
    </row>
    <row r="100" spans="12:12" ht="25.5">
      <c r="L100" s="256" t="str">
        <f t="shared" si="2"/>
        <v/>
      </c>
    </row>
    <row r="101" spans="12:12" ht="25.5">
      <c r="L101" s="256" t="str">
        <f t="shared" si="2"/>
        <v/>
      </c>
    </row>
    <row r="102" spans="12:12" ht="25.5">
      <c r="L102" s="256" t="str">
        <f t="shared" si="2"/>
        <v/>
      </c>
    </row>
    <row r="103" spans="12:12" ht="25.5">
      <c r="L103" s="256" t="str">
        <f t="shared" ref="L103:L166" si="3">IF(F103="","",TEXT(C103,"000")&amp;"."&amp;F103&amp;" ("&amp;G103&amp;")")</f>
        <v/>
      </c>
    </row>
    <row r="104" spans="12:12" ht="25.5">
      <c r="L104" s="256" t="str">
        <f t="shared" si="3"/>
        <v/>
      </c>
    </row>
    <row r="105" spans="12:12" ht="25.5">
      <c r="L105" s="256" t="str">
        <f t="shared" si="3"/>
        <v/>
      </c>
    </row>
    <row r="106" spans="12:12" ht="25.5">
      <c r="L106" s="256" t="str">
        <f t="shared" si="3"/>
        <v/>
      </c>
    </row>
    <row r="107" spans="12:12" ht="25.5">
      <c r="L107" s="256" t="str">
        <f t="shared" si="3"/>
        <v/>
      </c>
    </row>
    <row r="108" spans="12:12" ht="25.5">
      <c r="L108" s="256" t="str">
        <f t="shared" si="3"/>
        <v/>
      </c>
    </row>
    <row r="109" spans="12:12" ht="25.5">
      <c r="L109" s="256" t="str">
        <f t="shared" si="3"/>
        <v/>
      </c>
    </row>
    <row r="110" spans="12:12" ht="25.5">
      <c r="L110" s="256" t="str">
        <f t="shared" si="3"/>
        <v/>
      </c>
    </row>
    <row r="111" spans="12:12" ht="25.5">
      <c r="L111" s="256" t="str">
        <f t="shared" si="3"/>
        <v/>
      </c>
    </row>
    <row r="112" spans="12:12" ht="25.5">
      <c r="L112" s="256" t="str">
        <f t="shared" si="3"/>
        <v/>
      </c>
    </row>
    <row r="113" spans="12:12" ht="25.5">
      <c r="L113" s="256" t="str">
        <f t="shared" si="3"/>
        <v/>
      </c>
    </row>
    <row r="114" spans="12:12" ht="25.5">
      <c r="L114" s="256" t="str">
        <f t="shared" si="3"/>
        <v/>
      </c>
    </row>
    <row r="115" spans="12:12" ht="25.5">
      <c r="L115" s="256" t="str">
        <f t="shared" si="3"/>
        <v/>
      </c>
    </row>
    <row r="116" spans="12:12" ht="25.5">
      <c r="L116" s="256" t="str">
        <f t="shared" si="3"/>
        <v/>
      </c>
    </row>
    <row r="117" spans="12:12" ht="25.5">
      <c r="L117" s="256" t="str">
        <f t="shared" si="3"/>
        <v/>
      </c>
    </row>
    <row r="118" spans="12:12" ht="25.5">
      <c r="L118" s="256" t="str">
        <f t="shared" si="3"/>
        <v/>
      </c>
    </row>
    <row r="119" spans="12:12" ht="25.5">
      <c r="L119" s="256" t="str">
        <f t="shared" si="3"/>
        <v/>
      </c>
    </row>
    <row r="120" spans="12:12" ht="25.5">
      <c r="L120" s="256" t="str">
        <f t="shared" si="3"/>
        <v/>
      </c>
    </row>
    <row r="121" spans="12:12" ht="25.5">
      <c r="L121" s="256" t="str">
        <f t="shared" si="3"/>
        <v/>
      </c>
    </row>
    <row r="122" spans="12:12" ht="25.5">
      <c r="L122" s="256" t="str">
        <f t="shared" si="3"/>
        <v/>
      </c>
    </row>
    <row r="123" spans="12:12" ht="25.5">
      <c r="L123" s="256" t="str">
        <f t="shared" si="3"/>
        <v/>
      </c>
    </row>
    <row r="124" spans="12:12" ht="25.5">
      <c r="L124" s="256" t="str">
        <f t="shared" si="3"/>
        <v/>
      </c>
    </row>
    <row r="125" spans="12:12" ht="25.5">
      <c r="L125" s="256" t="str">
        <f t="shared" si="3"/>
        <v/>
      </c>
    </row>
    <row r="126" spans="12:12" ht="25.5">
      <c r="L126" s="256" t="str">
        <f t="shared" si="3"/>
        <v/>
      </c>
    </row>
    <row r="127" spans="12:12" ht="25.5">
      <c r="L127" s="256" t="str">
        <f t="shared" si="3"/>
        <v/>
      </c>
    </row>
    <row r="128" spans="12:12" ht="25.5">
      <c r="L128" s="256" t="str">
        <f t="shared" si="3"/>
        <v/>
      </c>
    </row>
    <row r="129" spans="12:12" ht="25.5">
      <c r="L129" s="256" t="str">
        <f t="shared" si="3"/>
        <v/>
      </c>
    </row>
    <row r="130" spans="12:12" ht="25.5">
      <c r="L130" s="256" t="str">
        <f t="shared" si="3"/>
        <v/>
      </c>
    </row>
    <row r="131" spans="12:12" ht="25.5">
      <c r="L131" s="256" t="str">
        <f t="shared" si="3"/>
        <v/>
      </c>
    </row>
    <row r="132" spans="12:12" ht="25.5">
      <c r="L132" s="256" t="str">
        <f t="shared" si="3"/>
        <v/>
      </c>
    </row>
    <row r="133" spans="12:12" ht="25.5">
      <c r="L133" s="256" t="str">
        <f t="shared" si="3"/>
        <v/>
      </c>
    </row>
    <row r="134" spans="12:12" ht="25.5">
      <c r="L134" s="256" t="str">
        <f t="shared" si="3"/>
        <v/>
      </c>
    </row>
    <row r="135" spans="12:12" ht="25.5">
      <c r="L135" s="256" t="str">
        <f t="shared" si="3"/>
        <v/>
      </c>
    </row>
    <row r="136" spans="12:12" ht="25.5">
      <c r="L136" s="256" t="str">
        <f t="shared" si="3"/>
        <v/>
      </c>
    </row>
    <row r="137" spans="12:12" ht="25.5">
      <c r="L137" s="256" t="str">
        <f t="shared" si="3"/>
        <v/>
      </c>
    </row>
    <row r="138" spans="12:12" ht="25.5">
      <c r="L138" s="256" t="str">
        <f t="shared" si="3"/>
        <v/>
      </c>
    </row>
    <row r="139" spans="12:12" ht="25.5">
      <c r="L139" s="256" t="str">
        <f t="shared" si="3"/>
        <v/>
      </c>
    </row>
    <row r="140" spans="12:12" ht="25.5">
      <c r="L140" s="256" t="str">
        <f t="shared" si="3"/>
        <v/>
      </c>
    </row>
    <row r="141" spans="12:12" ht="25.5">
      <c r="L141" s="256" t="str">
        <f t="shared" si="3"/>
        <v/>
      </c>
    </row>
    <row r="142" spans="12:12" ht="25.5">
      <c r="L142" s="256" t="str">
        <f t="shared" si="3"/>
        <v/>
      </c>
    </row>
    <row r="143" spans="12:12" ht="25.5">
      <c r="L143" s="256" t="str">
        <f t="shared" si="3"/>
        <v/>
      </c>
    </row>
    <row r="144" spans="12:12" ht="25.5">
      <c r="L144" s="256" t="str">
        <f t="shared" si="3"/>
        <v/>
      </c>
    </row>
    <row r="145" spans="12:12" ht="25.5">
      <c r="L145" s="256" t="str">
        <f t="shared" si="3"/>
        <v/>
      </c>
    </row>
    <row r="146" spans="12:12" ht="25.5">
      <c r="L146" s="256" t="str">
        <f t="shared" si="3"/>
        <v/>
      </c>
    </row>
    <row r="147" spans="12:12" ht="25.5">
      <c r="L147" s="256" t="str">
        <f t="shared" si="3"/>
        <v/>
      </c>
    </row>
    <row r="148" spans="12:12" ht="25.5">
      <c r="L148" s="256" t="str">
        <f t="shared" si="3"/>
        <v/>
      </c>
    </row>
    <row r="149" spans="12:12" ht="25.5">
      <c r="L149" s="256" t="str">
        <f t="shared" si="3"/>
        <v/>
      </c>
    </row>
    <row r="150" spans="12:12" ht="25.5">
      <c r="L150" s="256" t="str">
        <f t="shared" si="3"/>
        <v/>
      </c>
    </row>
    <row r="151" spans="12:12" ht="25.5">
      <c r="L151" s="256" t="str">
        <f t="shared" si="3"/>
        <v/>
      </c>
    </row>
    <row r="152" spans="12:12" ht="25.5">
      <c r="L152" s="256" t="str">
        <f t="shared" si="3"/>
        <v/>
      </c>
    </row>
    <row r="153" spans="12:12" ht="25.5">
      <c r="L153" s="256" t="str">
        <f t="shared" si="3"/>
        <v/>
      </c>
    </row>
    <row r="154" spans="12:12" ht="25.5">
      <c r="L154" s="256" t="str">
        <f t="shared" si="3"/>
        <v/>
      </c>
    </row>
    <row r="155" spans="12:12" ht="25.5">
      <c r="L155" s="256" t="str">
        <f t="shared" si="3"/>
        <v/>
      </c>
    </row>
    <row r="156" spans="12:12" ht="25.5">
      <c r="L156" s="256" t="str">
        <f t="shared" si="3"/>
        <v/>
      </c>
    </row>
    <row r="157" spans="12:12" ht="25.5">
      <c r="L157" s="256" t="str">
        <f t="shared" si="3"/>
        <v/>
      </c>
    </row>
    <row r="158" spans="12:12" ht="25.5">
      <c r="L158" s="256" t="str">
        <f t="shared" si="3"/>
        <v/>
      </c>
    </row>
    <row r="159" spans="12:12" ht="25.5">
      <c r="L159" s="256" t="str">
        <f t="shared" si="3"/>
        <v/>
      </c>
    </row>
    <row r="160" spans="12:12" ht="25.5">
      <c r="L160" s="256" t="str">
        <f t="shared" si="3"/>
        <v/>
      </c>
    </row>
    <row r="161" spans="12:12" ht="25.5">
      <c r="L161" s="256" t="str">
        <f t="shared" si="3"/>
        <v/>
      </c>
    </row>
    <row r="162" spans="12:12" ht="25.5">
      <c r="L162" s="256" t="str">
        <f t="shared" si="3"/>
        <v/>
      </c>
    </row>
    <row r="163" spans="12:12" ht="25.5">
      <c r="L163" s="256" t="str">
        <f t="shared" si="3"/>
        <v/>
      </c>
    </row>
    <row r="164" spans="12:12" ht="25.5">
      <c r="L164" s="256" t="str">
        <f t="shared" si="3"/>
        <v/>
      </c>
    </row>
    <row r="165" spans="12:12" ht="25.5">
      <c r="L165" s="256" t="str">
        <f t="shared" si="3"/>
        <v/>
      </c>
    </row>
    <row r="166" spans="12:12" ht="25.5">
      <c r="L166" s="256" t="str">
        <f t="shared" si="3"/>
        <v/>
      </c>
    </row>
    <row r="167" spans="12:12" ht="25.5">
      <c r="L167" s="256" t="str">
        <f t="shared" ref="L167:L230" si="4">IF(F167="","",TEXT(C167,"000")&amp;"."&amp;F167&amp;" ("&amp;G167&amp;")")</f>
        <v/>
      </c>
    </row>
    <row r="168" spans="12:12" ht="25.5">
      <c r="L168" s="256" t="str">
        <f t="shared" si="4"/>
        <v/>
      </c>
    </row>
    <row r="169" spans="12:12" ht="25.5">
      <c r="L169" s="256" t="str">
        <f t="shared" si="4"/>
        <v/>
      </c>
    </row>
    <row r="170" spans="12:12" ht="25.5">
      <c r="L170" s="256" t="str">
        <f t="shared" si="4"/>
        <v/>
      </c>
    </row>
    <row r="171" spans="12:12" ht="25.5">
      <c r="L171" s="256" t="str">
        <f t="shared" si="4"/>
        <v/>
      </c>
    </row>
    <row r="172" spans="12:12" ht="25.5">
      <c r="L172" s="256" t="str">
        <f t="shared" si="4"/>
        <v/>
      </c>
    </row>
    <row r="173" spans="12:12" ht="25.5">
      <c r="L173" s="256" t="str">
        <f t="shared" si="4"/>
        <v/>
      </c>
    </row>
    <row r="174" spans="12:12" ht="25.5">
      <c r="L174" s="256" t="str">
        <f t="shared" si="4"/>
        <v/>
      </c>
    </row>
    <row r="175" spans="12:12" ht="25.5">
      <c r="L175" s="256" t="str">
        <f t="shared" si="4"/>
        <v/>
      </c>
    </row>
    <row r="176" spans="12:12" ht="25.5">
      <c r="L176" s="256" t="str">
        <f t="shared" si="4"/>
        <v/>
      </c>
    </row>
    <row r="177" spans="12:12" ht="25.5">
      <c r="L177" s="256" t="str">
        <f t="shared" si="4"/>
        <v/>
      </c>
    </row>
    <row r="178" spans="12:12" ht="25.5">
      <c r="L178" s="256" t="str">
        <f t="shared" si="4"/>
        <v/>
      </c>
    </row>
    <row r="179" spans="12:12" ht="25.5">
      <c r="L179" s="256" t="str">
        <f t="shared" si="4"/>
        <v/>
      </c>
    </row>
    <row r="180" spans="12:12" ht="25.5">
      <c r="L180" s="256" t="str">
        <f t="shared" si="4"/>
        <v/>
      </c>
    </row>
    <row r="181" spans="12:12" ht="25.5">
      <c r="L181" s="256" t="str">
        <f t="shared" si="4"/>
        <v/>
      </c>
    </row>
    <row r="182" spans="12:12" ht="25.5">
      <c r="L182" s="256" t="str">
        <f t="shared" si="4"/>
        <v/>
      </c>
    </row>
    <row r="183" spans="12:12" ht="25.5">
      <c r="L183" s="256" t="str">
        <f t="shared" si="4"/>
        <v/>
      </c>
    </row>
    <row r="184" spans="12:12" ht="25.5">
      <c r="L184" s="256" t="str">
        <f t="shared" si="4"/>
        <v/>
      </c>
    </row>
    <row r="185" spans="12:12" ht="25.5">
      <c r="L185" s="256" t="str">
        <f t="shared" si="4"/>
        <v/>
      </c>
    </row>
    <row r="186" spans="12:12" ht="25.5">
      <c r="L186" s="256" t="str">
        <f t="shared" si="4"/>
        <v/>
      </c>
    </row>
    <row r="187" spans="12:12" ht="25.5">
      <c r="L187" s="256" t="str">
        <f t="shared" si="4"/>
        <v/>
      </c>
    </row>
    <row r="188" spans="12:12" ht="25.5">
      <c r="L188" s="256" t="str">
        <f t="shared" si="4"/>
        <v/>
      </c>
    </row>
    <row r="189" spans="12:12" ht="25.5">
      <c r="L189" s="256" t="str">
        <f t="shared" si="4"/>
        <v/>
      </c>
    </row>
    <row r="190" spans="12:12" ht="25.5">
      <c r="L190" s="256" t="str">
        <f t="shared" si="4"/>
        <v/>
      </c>
    </row>
    <row r="191" spans="12:12" ht="25.5">
      <c r="L191" s="256" t="str">
        <f t="shared" si="4"/>
        <v/>
      </c>
    </row>
    <row r="192" spans="12:12" ht="25.5">
      <c r="L192" s="256" t="str">
        <f t="shared" si="4"/>
        <v/>
      </c>
    </row>
    <row r="193" spans="12:12" ht="25.5">
      <c r="L193" s="256" t="str">
        <f t="shared" si="4"/>
        <v/>
      </c>
    </row>
    <row r="194" spans="12:12" ht="25.5">
      <c r="L194" s="256" t="str">
        <f t="shared" si="4"/>
        <v/>
      </c>
    </row>
    <row r="195" spans="12:12" ht="25.5">
      <c r="L195" s="256" t="str">
        <f t="shared" si="4"/>
        <v/>
      </c>
    </row>
    <row r="196" spans="12:12" ht="25.5">
      <c r="L196" s="256" t="str">
        <f t="shared" si="4"/>
        <v/>
      </c>
    </row>
    <row r="197" spans="12:12" ht="25.5">
      <c r="L197" s="256" t="str">
        <f t="shared" si="4"/>
        <v/>
      </c>
    </row>
    <row r="198" spans="12:12" ht="25.5">
      <c r="L198" s="256" t="str">
        <f t="shared" si="4"/>
        <v/>
      </c>
    </row>
    <row r="199" spans="12:12" ht="25.5">
      <c r="L199" s="256" t="str">
        <f t="shared" si="4"/>
        <v/>
      </c>
    </row>
    <row r="200" spans="12:12" ht="25.5">
      <c r="L200" s="256" t="str">
        <f t="shared" si="4"/>
        <v/>
      </c>
    </row>
    <row r="201" spans="12:12" ht="25.5">
      <c r="L201" s="256" t="str">
        <f t="shared" si="4"/>
        <v/>
      </c>
    </row>
    <row r="202" spans="12:12" ht="25.5">
      <c r="L202" s="256" t="str">
        <f t="shared" si="4"/>
        <v/>
      </c>
    </row>
    <row r="203" spans="12:12" ht="25.5">
      <c r="L203" s="256" t="str">
        <f t="shared" si="4"/>
        <v/>
      </c>
    </row>
    <row r="204" spans="12:12" ht="25.5">
      <c r="L204" s="256" t="str">
        <f t="shared" si="4"/>
        <v/>
      </c>
    </row>
    <row r="205" spans="12:12" ht="25.5">
      <c r="L205" s="256" t="str">
        <f t="shared" si="4"/>
        <v/>
      </c>
    </row>
    <row r="206" spans="12:12" ht="25.5">
      <c r="L206" s="256" t="str">
        <f t="shared" si="4"/>
        <v/>
      </c>
    </row>
    <row r="207" spans="12:12" ht="25.5">
      <c r="L207" s="256" t="str">
        <f t="shared" si="4"/>
        <v/>
      </c>
    </row>
    <row r="208" spans="12:12" ht="25.5">
      <c r="L208" s="256" t="str">
        <f t="shared" si="4"/>
        <v/>
      </c>
    </row>
    <row r="209" spans="12:12" ht="25.5">
      <c r="L209" s="256" t="str">
        <f t="shared" si="4"/>
        <v/>
      </c>
    </row>
    <row r="210" spans="12:12" ht="25.5">
      <c r="L210" s="256" t="str">
        <f t="shared" si="4"/>
        <v/>
      </c>
    </row>
    <row r="211" spans="12:12" ht="25.5">
      <c r="L211" s="256" t="str">
        <f t="shared" si="4"/>
        <v/>
      </c>
    </row>
    <row r="212" spans="12:12" ht="25.5">
      <c r="L212" s="256" t="str">
        <f t="shared" si="4"/>
        <v/>
      </c>
    </row>
    <row r="213" spans="12:12" ht="25.5">
      <c r="L213" s="256" t="str">
        <f t="shared" si="4"/>
        <v/>
      </c>
    </row>
    <row r="214" spans="12:12" ht="25.5">
      <c r="L214" s="256" t="str">
        <f t="shared" si="4"/>
        <v/>
      </c>
    </row>
    <row r="215" spans="12:12" ht="25.5">
      <c r="L215" s="256" t="str">
        <f t="shared" si="4"/>
        <v/>
      </c>
    </row>
    <row r="216" spans="12:12" ht="25.5">
      <c r="L216" s="256" t="str">
        <f t="shared" si="4"/>
        <v/>
      </c>
    </row>
    <row r="217" spans="12:12" ht="25.5">
      <c r="L217" s="256" t="str">
        <f t="shared" si="4"/>
        <v/>
      </c>
    </row>
    <row r="218" spans="12:12" ht="25.5">
      <c r="L218" s="256" t="str">
        <f t="shared" si="4"/>
        <v/>
      </c>
    </row>
    <row r="219" spans="12:12" ht="25.5">
      <c r="L219" s="256" t="str">
        <f t="shared" si="4"/>
        <v/>
      </c>
    </row>
    <row r="220" spans="12:12" ht="25.5">
      <c r="L220" s="256" t="str">
        <f t="shared" si="4"/>
        <v/>
      </c>
    </row>
    <row r="221" spans="12:12" ht="25.5">
      <c r="L221" s="256" t="str">
        <f t="shared" si="4"/>
        <v/>
      </c>
    </row>
    <row r="222" spans="12:12" ht="25.5">
      <c r="L222" s="256" t="str">
        <f t="shared" si="4"/>
        <v/>
      </c>
    </row>
    <row r="223" spans="12:12" ht="25.5">
      <c r="L223" s="256" t="str">
        <f t="shared" si="4"/>
        <v/>
      </c>
    </row>
    <row r="224" spans="12:12" ht="25.5">
      <c r="L224" s="256" t="str">
        <f t="shared" si="4"/>
        <v/>
      </c>
    </row>
    <row r="225" spans="12:12" ht="25.5">
      <c r="L225" s="256" t="str">
        <f t="shared" si="4"/>
        <v/>
      </c>
    </row>
    <row r="226" spans="12:12" ht="25.5">
      <c r="L226" s="256" t="str">
        <f t="shared" si="4"/>
        <v/>
      </c>
    </row>
    <row r="227" spans="12:12" ht="25.5">
      <c r="L227" s="256" t="str">
        <f t="shared" si="4"/>
        <v/>
      </c>
    </row>
    <row r="228" spans="12:12" ht="25.5">
      <c r="L228" s="256" t="str">
        <f t="shared" si="4"/>
        <v/>
      </c>
    </row>
    <row r="229" spans="12:12" ht="25.5">
      <c r="L229" s="256" t="str">
        <f t="shared" si="4"/>
        <v/>
      </c>
    </row>
    <row r="230" spans="12:12" ht="25.5">
      <c r="L230" s="256" t="str">
        <f t="shared" si="4"/>
        <v/>
      </c>
    </row>
    <row r="231" spans="12:12" ht="25.5">
      <c r="L231" s="256" t="str">
        <f t="shared" ref="L231:L294" si="5">IF(F231="","",TEXT(C231,"000")&amp;"."&amp;F231&amp;" ("&amp;G231&amp;")")</f>
        <v/>
      </c>
    </row>
    <row r="232" spans="12:12" ht="25.5">
      <c r="L232" s="256" t="str">
        <f t="shared" si="5"/>
        <v/>
      </c>
    </row>
    <row r="233" spans="12:12" ht="25.5">
      <c r="L233" s="256" t="str">
        <f t="shared" si="5"/>
        <v/>
      </c>
    </row>
    <row r="234" spans="12:12" ht="25.5">
      <c r="L234" s="256" t="str">
        <f t="shared" si="5"/>
        <v/>
      </c>
    </row>
    <row r="235" spans="12:12" ht="25.5">
      <c r="L235" s="256" t="str">
        <f t="shared" si="5"/>
        <v/>
      </c>
    </row>
    <row r="236" spans="12:12" ht="25.5">
      <c r="L236" s="256" t="str">
        <f t="shared" si="5"/>
        <v/>
      </c>
    </row>
    <row r="237" spans="12:12" ht="25.5">
      <c r="L237" s="256" t="str">
        <f t="shared" si="5"/>
        <v/>
      </c>
    </row>
    <row r="238" spans="12:12" ht="25.5">
      <c r="L238" s="256" t="str">
        <f t="shared" si="5"/>
        <v/>
      </c>
    </row>
    <row r="239" spans="12:12" ht="25.5">
      <c r="L239" s="256" t="str">
        <f t="shared" si="5"/>
        <v/>
      </c>
    </row>
    <row r="240" spans="12:12" ht="25.5">
      <c r="L240" s="256" t="str">
        <f t="shared" si="5"/>
        <v/>
      </c>
    </row>
    <row r="241" spans="12:12" ht="25.5">
      <c r="L241" s="256" t="str">
        <f t="shared" si="5"/>
        <v/>
      </c>
    </row>
    <row r="242" spans="12:12" ht="25.5">
      <c r="L242" s="256" t="str">
        <f t="shared" si="5"/>
        <v/>
      </c>
    </row>
    <row r="243" spans="12:12" ht="25.5">
      <c r="L243" s="256" t="str">
        <f t="shared" si="5"/>
        <v/>
      </c>
    </row>
    <row r="244" spans="12:12" ht="25.5">
      <c r="L244" s="256" t="str">
        <f t="shared" si="5"/>
        <v/>
      </c>
    </row>
    <row r="245" spans="12:12" ht="25.5">
      <c r="L245" s="256" t="str">
        <f t="shared" si="5"/>
        <v/>
      </c>
    </row>
    <row r="246" spans="12:12" ht="25.5">
      <c r="L246" s="256" t="str">
        <f t="shared" si="5"/>
        <v/>
      </c>
    </row>
    <row r="247" spans="12:12" ht="25.5">
      <c r="L247" s="256" t="str">
        <f t="shared" si="5"/>
        <v/>
      </c>
    </row>
    <row r="248" spans="12:12" ht="25.5">
      <c r="L248" s="256" t="str">
        <f t="shared" si="5"/>
        <v/>
      </c>
    </row>
    <row r="249" spans="12:12" ht="25.5">
      <c r="L249" s="256" t="str">
        <f t="shared" si="5"/>
        <v/>
      </c>
    </row>
    <row r="250" spans="12:12" ht="25.5">
      <c r="L250" s="256" t="str">
        <f t="shared" si="5"/>
        <v/>
      </c>
    </row>
    <row r="251" spans="12:12" ht="25.5">
      <c r="L251" s="256" t="str">
        <f t="shared" si="5"/>
        <v/>
      </c>
    </row>
    <row r="252" spans="12:12" ht="25.5">
      <c r="L252" s="256" t="str">
        <f t="shared" si="5"/>
        <v/>
      </c>
    </row>
    <row r="253" spans="12:12" ht="25.5">
      <c r="L253" s="256" t="str">
        <f t="shared" si="5"/>
        <v/>
      </c>
    </row>
    <row r="254" spans="12:12" ht="25.5">
      <c r="L254" s="256" t="str">
        <f t="shared" si="5"/>
        <v/>
      </c>
    </row>
    <row r="255" spans="12:12" ht="25.5">
      <c r="L255" s="256" t="str">
        <f t="shared" si="5"/>
        <v/>
      </c>
    </row>
    <row r="256" spans="12:12" ht="25.5">
      <c r="L256" s="256" t="str">
        <f t="shared" si="5"/>
        <v/>
      </c>
    </row>
    <row r="257" spans="12:12" ht="25.5">
      <c r="L257" s="256" t="str">
        <f t="shared" si="5"/>
        <v/>
      </c>
    </row>
    <row r="258" spans="12:12" ht="25.5">
      <c r="L258" s="256" t="str">
        <f t="shared" si="5"/>
        <v/>
      </c>
    </row>
    <row r="259" spans="12:12" ht="25.5">
      <c r="L259" s="256" t="str">
        <f t="shared" si="5"/>
        <v/>
      </c>
    </row>
    <row r="260" spans="12:12" ht="25.5">
      <c r="L260" s="256" t="str">
        <f t="shared" si="5"/>
        <v/>
      </c>
    </row>
    <row r="261" spans="12:12" ht="25.5">
      <c r="L261" s="256" t="str">
        <f t="shared" si="5"/>
        <v/>
      </c>
    </row>
    <row r="262" spans="12:12" ht="25.5">
      <c r="L262" s="256" t="str">
        <f t="shared" si="5"/>
        <v/>
      </c>
    </row>
    <row r="263" spans="12:12" ht="25.5">
      <c r="L263" s="256" t="str">
        <f t="shared" si="5"/>
        <v/>
      </c>
    </row>
    <row r="264" spans="12:12" ht="25.5">
      <c r="L264" s="256" t="str">
        <f t="shared" si="5"/>
        <v/>
      </c>
    </row>
    <row r="265" spans="12:12" ht="25.5">
      <c r="L265" s="256" t="str">
        <f t="shared" si="5"/>
        <v/>
      </c>
    </row>
    <row r="266" spans="12:12" ht="25.5">
      <c r="L266" s="256" t="str">
        <f t="shared" si="5"/>
        <v/>
      </c>
    </row>
    <row r="267" spans="12:12" ht="25.5">
      <c r="L267" s="256" t="str">
        <f t="shared" si="5"/>
        <v/>
      </c>
    </row>
    <row r="268" spans="12:12" ht="25.5">
      <c r="L268" s="256" t="str">
        <f t="shared" si="5"/>
        <v/>
      </c>
    </row>
    <row r="269" spans="12:12" ht="25.5">
      <c r="L269" s="256" t="str">
        <f t="shared" si="5"/>
        <v/>
      </c>
    </row>
    <row r="270" spans="12:12" ht="25.5">
      <c r="L270" s="256" t="str">
        <f t="shared" si="5"/>
        <v/>
      </c>
    </row>
    <row r="271" spans="12:12" ht="25.5">
      <c r="L271" s="256" t="str">
        <f t="shared" si="5"/>
        <v/>
      </c>
    </row>
    <row r="272" spans="12:12" ht="25.5">
      <c r="L272" s="256" t="str">
        <f t="shared" si="5"/>
        <v/>
      </c>
    </row>
    <row r="273" spans="12:12" ht="25.5">
      <c r="L273" s="256" t="str">
        <f t="shared" si="5"/>
        <v/>
      </c>
    </row>
    <row r="274" spans="12:12" ht="25.5">
      <c r="L274" s="256" t="str">
        <f t="shared" si="5"/>
        <v/>
      </c>
    </row>
    <row r="275" spans="12:12" ht="25.5">
      <c r="L275" s="256" t="str">
        <f t="shared" si="5"/>
        <v/>
      </c>
    </row>
    <row r="276" spans="12:12" ht="25.5">
      <c r="L276" s="256" t="str">
        <f t="shared" si="5"/>
        <v/>
      </c>
    </row>
    <row r="277" spans="12:12" ht="25.5">
      <c r="L277" s="256" t="str">
        <f t="shared" si="5"/>
        <v/>
      </c>
    </row>
    <row r="278" spans="12:12" ht="25.5">
      <c r="L278" s="256" t="str">
        <f t="shared" si="5"/>
        <v/>
      </c>
    </row>
    <row r="279" spans="12:12" ht="25.5">
      <c r="L279" s="256" t="str">
        <f t="shared" si="5"/>
        <v/>
      </c>
    </row>
    <row r="280" spans="12:12" ht="25.5">
      <c r="L280" s="256" t="str">
        <f t="shared" si="5"/>
        <v/>
      </c>
    </row>
    <row r="281" spans="12:12" ht="25.5">
      <c r="L281" s="256" t="str">
        <f t="shared" si="5"/>
        <v/>
      </c>
    </row>
    <row r="282" spans="12:12" ht="25.5">
      <c r="L282" s="256" t="str">
        <f t="shared" si="5"/>
        <v/>
      </c>
    </row>
    <row r="283" spans="12:12" ht="25.5">
      <c r="L283" s="256" t="str">
        <f t="shared" si="5"/>
        <v/>
      </c>
    </row>
    <row r="284" spans="12:12" ht="25.5">
      <c r="L284" s="256" t="str">
        <f t="shared" si="5"/>
        <v/>
      </c>
    </row>
    <row r="285" spans="12:12" ht="25.5">
      <c r="L285" s="256" t="str">
        <f t="shared" si="5"/>
        <v/>
      </c>
    </row>
    <row r="286" spans="12:12" ht="25.5">
      <c r="L286" s="256" t="str">
        <f t="shared" si="5"/>
        <v/>
      </c>
    </row>
    <row r="287" spans="12:12" ht="25.5">
      <c r="L287" s="256" t="str">
        <f t="shared" si="5"/>
        <v/>
      </c>
    </row>
    <row r="288" spans="12:12" ht="25.5">
      <c r="L288" s="256" t="str">
        <f t="shared" si="5"/>
        <v/>
      </c>
    </row>
    <row r="289" spans="12:12" ht="25.5">
      <c r="L289" s="256" t="str">
        <f t="shared" si="5"/>
        <v/>
      </c>
    </row>
    <row r="290" spans="12:12" ht="25.5">
      <c r="L290" s="256" t="str">
        <f t="shared" si="5"/>
        <v/>
      </c>
    </row>
    <row r="291" spans="12:12" ht="25.5">
      <c r="L291" s="256" t="str">
        <f t="shared" si="5"/>
        <v/>
      </c>
    </row>
    <row r="292" spans="12:12" ht="25.5">
      <c r="L292" s="256" t="str">
        <f t="shared" si="5"/>
        <v/>
      </c>
    </row>
    <row r="293" spans="12:12" ht="25.5">
      <c r="L293" s="256" t="str">
        <f t="shared" si="5"/>
        <v/>
      </c>
    </row>
    <row r="294" spans="12:12" ht="25.5">
      <c r="L294" s="256" t="str">
        <f t="shared" si="5"/>
        <v/>
      </c>
    </row>
    <row r="295" spans="12:12" ht="25.5">
      <c r="L295" s="256" t="str">
        <f t="shared" ref="L295:L358" si="6">IF(F295="","",TEXT(C295,"000")&amp;"."&amp;F295&amp;" ("&amp;G295&amp;")")</f>
        <v/>
      </c>
    </row>
    <row r="296" spans="12:12" ht="25.5">
      <c r="L296" s="256" t="str">
        <f t="shared" si="6"/>
        <v/>
      </c>
    </row>
    <row r="297" spans="12:12" ht="25.5">
      <c r="L297" s="256" t="str">
        <f t="shared" si="6"/>
        <v/>
      </c>
    </row>
    <row r="298" spans="12:12" ht="25.5">
      <c r="L298" s="256" t="str">
        <f t="shared" si="6"/>
        <v/>
      </c>
    </row>
    <row r="299" spans="12:12" ht="25.5">
      <c r="L299" s="256" t="str">
        <f t="shared" si="6"/>
        <v/>
      </c>
    </row>
    <row r="300" spans="12:12" ht="25.5">
      <c r="L300" s="256" t="str">
        <f t="shared" si="6"/>
        <v/>
      </c>
    </row>
    <row r="301" spans="12:12" ht="25.5">
      <c r="L301" s="256" t="str">
        <f t="shared" si="6"/>
        <v/>
      </c>
    </row>
    <row r="302" spans="12:12" ht="25.5">
      <c r="L302" s="256" t="str">
        <f t="shared" si="6"/>
        <v/>
      </c>
    </row>
    <row r="303" spans="12:12" ht="25.5">
      <c r="L303" s="256" t="str">
        <f t="shared" si="6"/>
        <v/>
      </c>
    </row>
    <row r="304" spans="12:12" ht="25.5">
      <c r="L304" s="256" t="str">
        <f t="shared" si="6"/>
        <v/>
      </c>
    </row>
    <row r="305" spans="12:12" ht="25.5">
      <c r="L305" s="256" t="str">
        <f t="shared" si="6"/>
        <v/>
      </c>
    </row>
    <row r="306" spans="12:12" ht="25.5">
      <c r="L306" s="256" t="str">
        <f t="shared" si="6"/>
        <v/>
      </c>
    </row>
    <row r="307" spans="12:12" ht="25.5">
      <c r="L307" s="256" t="str">
        <f t="shared" si="6"/>
        <v/>
      </c>
    </row>
    <row r="308" spans="12:12" ht="25.5">
      <c r="L308" s="256" t="str">
        <f t="shared" si="6"/>
        <v/>
      </c>
    </row>
    <row r="309" spans="12:12" ht="25.5">
      <c r="L309" s="256" t="str">
        <f t="shared" si="6"/>
        <v/>
      </c>
    </row>
    <row r="310" spans="12:12" ht="25.5">
      <c r="L310" s="256" t="str">
        <f t="shared" si="6"/>
        <v/>
      </c>
    </row>
    <row r="311" spans="12:12" ht="25.5">
      <c r="L311" s="256" t="str">
        <f t="shared" si="6"/>
        <v/>
      </c>
    </row>
    <row r="312" spans="12:12" ht="25.5">
      <c r="L312" s="256" t="str">
        <f t="shared" si="6"/>
        <v/>
      </c>
    </row>
    <row r="313" spans="12:12" ht="25.5">
      <c r="L313" s="256" t="str">
        <f t="shared" si="6"/>
        <v/>
      </c>
    </row>
    <row r="314" spans="12:12" ht="25.5">
      <c r="L314" s="256" t="str">
        <f t="shared" si="6"/>
        <v/>
      </c>
    </row>
    <row r="315" spans="12:12" ht="25.5">
      <c r="L315" s="256" t="str">
        <f t="shared" si="6"/>
        <v/>
      </c>
    </row>
    <row r="316" spans="12:12" ht="25.5">
      <c r="L316" s="256" t="str">
        <f t="shared" si="6"/>
        <v/>
      </c>
    </row>
    <row r="317" spans="12:12" ht="25.5">
      <c r="L317" s="256" t="str">
        <f t="shared" si="6"/>
        <v/>
      </c>
    </row>
    <row r="318" spans="12:12" ht="25.5">
      <c r="L318" s="256" t="str">
        <f t="shared" si="6"/>
        <v/>
      </c>
    </row>
    <row r="319" spans="12:12" ht="25.5">
      <c r="L319" s="256" t="str">
        <f t="shared" si="6"/>
        <v/>
      </c>
    </row>
    <row r="320" spans="12:12" ht="25.5">
      <c r="L320" s="256" t="str">
        <f t="shared" si="6"/>
        <v/>
      </c>
    </row>
    <row r="321" spans="12:12" ht="25.5">
      <c r="L321" s="256" t="str">
        <f t="shared" si="6"/>
        <v/>
      </c>
    </row>
    <row r="322" spans="12:12" ht="25.5">
      <c r="L322" s="256" t="str">
        <f t="shared" si="6"/>
        <v/>
      </c>
    </row>
    <row r="323" spans="12:12" ht="25.5">
      <c r="L323" s="256" t="str">
        <f t="shared" si="6"/>
        <v/>
      </c>
    </row>
    <row r="324" spans="12:12" ht="25.5">
      <c r="L324" s="256" t="str">
        <f t="shared" si="6"/>
        <v/>
      </c>
    </row>
    <row r="325" spans="12:12" ht="25.5">
      <c r="L325" s="256" t="str">
        <f t="shared" si="6"/>
        <v/>
      </c>
    </row>
    <row r="326" spans="12:12" ht="25.5">
      <c r="L326" s="256" t="str">
        <f t="shared" si="6"/>
        <v/>
      </c>
    </row>
    <row r="327" spans="12:12" ht="25.5">
      <c r="L327" s="256" t="str">
        <f t="shared" si="6"/>
        <v/>
      </c>
    </row>
    <row r="328" spans="12:12" ht="25.5">
      <c r="L328" s="256" t="str">
        <f t="shared" si="6"/>
        <v/>
      </c>
    </row>
    <row r="329" spans="12:12" ht="25.5">
      <c r="L329" s="256" t="str">
        <f t="shared" si="6"/>
        <v/>
      </c>
    </row>
    <row r="330" spans="12:12" ht="25.5">
      <c r="L330" s="256" t="str">
        <f t="shared" si="6"/>
        <v/>
      </c>
    </row>
    <row r="331" spans="12:12" ht="25.5">
      <c r="L331" s="256" t="str">
        <f t="shared" si="6"/>
        <v/>
      </c>
    </row>
    <row r="332" spans="12:12" ht="25.5">
      <c r="L332" s="256" t="str">
        <f t="shared" si="6"/>
        <v/>
      </c>
    </row>
    <row r="333" spans="12:12" ht="25.5">
      <c r="L333" s="256" t="str">
        <f t="shared" si="6"/>
        <v/>
      </c>
    </row>
    <row r="334" spans="12:12" ht="25.5">
      <c r="L334" s="256" t="str">
        <f t="shared" si="6"/>
        <v/>
      </c>
    </row>
    <row r="335" spans="12:12" ht="25.5">
      <c r="L335" s="256" t="str">
        <f t="shared" si="6"/>
        <v/>
      </c>
    </row>
    <row r="336" spans="12:12" ht="25.5">
      <c r="L336" s="256" t="str">
        <f t="shared" si="6"/>
        <v/>
      </c>
    </row>
    <row r="337" spans="12:12" ht="25.5">
      <c r="L337" s="256" t="str">
        <f t="shared" si="6"/>
        <v/>
      </c>
    </row>
    <row r="338" spans="12:12" ht="25.5">
      <c r="L338" s="256" t="str">
        <f t="shared" si="6"/>
        <v/>
      </c>
    </row>
    <row r="339" spans="12:12" ht="25.5">
      <c r="L339" s="256" t="str">
        <f t="shared" si="6"/>
        <v/>
      </c>
    </row>
    <row r="340" spans="12:12" ht="25.5">
      <c r="L340" s="256" t="str">
        <f t="shared" si="6"/>
        <v/>
      </c>
    </row>
    <row r="341" spans="12:12" ht="25.5">
      <c r="L341" s="256" t="str">
        <f t="shared" si="6"/>
        <v/>
      </c>
    </row>
    <row r="342" spans="12:12" ht="25.5">
      <c r="L342" s="256" t="str">
        <f t="shared" si="6"/>
        <v/>
      </c>
    </row>
    <row r="343" spans="12:12" ht="25.5">
      <c r="L343" s="256" t="str">
        <f t="shared" si="6"/>
        <v/>
      </c>
    </row>
    <row r="344" spans="12:12" ht="25.5">
      <c r="L344" s="256" t="str">
        <f t="shared" si="6"/>
        <v/>
      </c>
    </row>
    <row r="345" spans="12:12" ht="25.5">
      <c r="L345" s="256" t="str">
        <f t="shared" si="6"/>
        <v/>
      </c>
    </row>
    <row r="346" spans="12:12" ht="25.5">
      <c r="L346" s="256" t="str">
        <f t="shared" si="6"/>
        <v/>
      </c>
    </row>
    <row r="347" spans="12:12" ht="25.5">
      <c r="L347" s="256" t="str">
        <f t="shared" si="6"/>
        <v/>
      </c>
    </row>
    <row r="348" spans="12:12" ht="25.5">
      <c r="L348" s="256" t="str">
        <f t="shared" si="6"/>
        <v/>
      </c>
    </row>
    <row r="349" spans="12:12" ht="25.5">
      <c r="L349" s="256" t="str">
        <f t="shared" si="6"/>
        <v/>
      </c>
    </row>
    <row r="350" spans="12:12" ht="25.5">
      <c r="L350" s="256" t="str">
        <f t="shared" si="6"/>
        <v/>
      </c>
    </row>
    <row r="351" spans="12:12" ht="25.5">
      <c r="L351" s="256" t="str">
        <f t="shared" si="6"/>
        <v/>
      </c>
    </row>
    <row r="352" spans="12:12" ht="25.5">
      <c r="L352" s="256" t="str">
        <f t="shared" si="6"/>
        <v/>
      </c>
    </row>
    <row r="353" spans="12:12" ht="25.5">
      <c r="L353" s="256" t="str">
        <f t="shared" si="6"/>
        <v/>
      </c>
    </row>
    <row r="354" spans="12:12" ht="25.5">
      <c r="L354" s="256" t="str">
        <f t="shared" si="6"/>
        <v/>
      </c>
    </row>
    <row r="355" spans="12:12" ht="25.5">
      <c r="L355" s="256" t="str">
        <f t="shared" si="6"/>
        <v/>
      </c>
    </row>
    <row r="356" spans="12:12" ht="25.5">
      <c r="L356" s="256" t="str">
        <f t="shared" si="6"/>
        <v/>
      </c>
    </row>
    <row r="357" spans="12:12" ht="25.5">
      <c r="L357" s="256" t="str">
        <f t="shared" si="6"/>
        <v/>
      </c>
    </row>
    <row r="358" spans="12:12" ht="25.5">
      <c r="L358" s="256" t="str">
        <f t="shared" si="6"/>
        <v/>
      </c>
    </row>
    <row r="359" spans="12:12" ht="25.5">
      <c r="L359" s="256" t="str">
        <f t="shared" ref="L359:L422" si="7">IF(F359="","",TEXT(C359,"000")&amp;"."&amp;F359&amp;" ("&amp;G359&amp;")")</f>
        <v/>
      </c>
    </row>
    <row r="360" spans="12:12" ht="25.5">
      <c r="L360" s="256" t="str">
        <f t="shared" si="7"/>
        <v/>
      </c>
    </row>
    <row r="361" spans="12:12" ht="25.5">
      <c r="L361" s="256" t="str">
        <f t="shared" si="7"/>
        <v/>
      </c>
    </row>
    <row r="362" spans="12:12" ht="25.5">
      <c r="L362" s="256" t="str">
        <f t="shared" si="7"/>
        <v/>
      </c>
    </row>
    <row r="363" spans="12:12" ht="25.5">
      <c r="L363" s="256" t="str">
        <f t="shared" si="7"/>
        <v/>
      </c>
    </row>
    <row r="364" spans="12:12" ht="25.5">
      <c r="L364" s="256" t="str">
        <f t="shared" si="7"/>
        <v/>
      </c>
    </row>
    <row r="365" spans="12:12" ht="25.5">
      <c r="L365" s="256" t="str">
        <f t="shared" si="7"/>
        <v/>
      </c>
    </row>
    <row r="366" spans="12:12" ht="25.5">
      <c r="L366" s="256" t="str">
        <f t="shared" si="7"/>
        <v/>
      </c>
    </row>
    <row r="367" spans="12:12" ht="25.5">
      <c r="L367" s="256" t="str">
        <f t="shared" si="7"/>
        <v/>
      </c>
    </row>
    <row r="368" spans="12:12" ht="25.5">
      <c r="L368" s="256" t="str">
        <f t="shared" si="7"/>
        <v/>
      </c>
    </row>
    <row r="369" spans="12:12" ht="25.5">
      <c r="L369" s="256" t="str">
        <f t="shared" si="7"/>
        <v/>
      </c>
    </row>
    <row r="370" spans="12:12" ht="25.5">
      <c r="L370" s="256" t="str">
        <f t="shared" si="7"/>
        <v/>
      </c>
    </row>
    <row r="371" spans="12:12" ht="25.5">
      <c r="L371" s="256" t="str">
        <f t="shared" si="7"/>
        <v/>
      </c>
    </row>
    <row r="372" spans="12:12" ht="25.5">
      <c r="L372" s="256" t="str">
        <f t="shared" si="7"/>
        <v/>
      </c>
    </row>
    <row r="373" spans="12:12" ht="25.5">
      <c r="L373" s="256" t="str">
        <f t="shared" si="7"/>
        <v/>
      </c>
    </row>
    <row r="374" spans="12:12" ht="25.5">
      <c r="L374" s="256" t="str">
        <f t="shared" si="7"/>
        <v/>
      </c>
    </row>
    <row r="375" spans="12:12" ht="25.5">
      <c r="L375" s="256" t="str">
        <f t="shared" si="7"/>
        <v/>
      </c>
    </row>
    <row r="376" spans="12:12" ht="25.5">
      <c r="L376" s="256" t="str">
        <f t="shared" si="7"/>
        <v/>
      </c>
    </row>
    <row r="377" spans="12:12" ht="25.5">
      <c r="L377" s="256" t="str">
        <f t="shared" si="7"/>
        <v/>
      </c>
    </row>
    <row r="378" spans="12:12" ht="25.5">
      <c r="L378" s="256" t="str">
        <f t="shared" si="7"/>
        <v/>
      </c>
    </row>
    <row r="379" spans="12:12" ht="25.5">
      <c r="L379" s="256" t="str">
        <f t="shared" si="7"/>
        <v/>
      </c>
    </row>
    <row r="380" spans="12:12" ht="25.5">
      <c r="L380" s="256" t="str">
        <f t="shared" si="7"/>
        <v/>
      </c>
    </row>
    <row r="381" spans="12:12" ht="25.5">
      <c r="L381" s="256" t="str">
        <f t="shared" si="7"/>
        <v/>
      </c>
    </row>
    <row r="382" spans="12:12" ht="25.5">
      <c r="L382" s="256" t="str">
        <f t="shared" si="7"/>
        <v/>
      </c>
    </row>
    <row r="383" spans="12:12" ht="25.5">
      <c r="L383" s="256" t="str">
        <f t="shared" si="7"/>
        <v/>
      </c>
    </row>
    <row r="384" spans="12:12" ht="25.5">
      <c r="L384" s="256" t="str">
        <f t="shared" si="7"/>
        <v/>
      </c>
    </row>
    <row r="385" spans="12:12" ht="25.5">
      <c r="L385" s="256" t="str">
        <f t="shared" si="7"/>
        <v/>
      </c>
    </row>
    <row r="386" spans="12:12" ht="25.5">
      <c r="L386" s="256" t="str">
        <f t="shared" si="7"/>
        <v/>
      </c>
    </row>
    <row r="387" spans="12:12" ht="25.5">
      <c r="L387" s="256" t="str">
        <f t="shared" si="7"/>
        <v/>
      </c>
    </row>
    <row r="388" spans="12:12" ht="25.5">
      <c r="L388" s="256" t="str">
        <f t="shared" si="7"/>
        <v/>
      </c>
    </row>
    <row r="389" spans="12:12" ht="25.5">
      <c r="L389" s="256" t="str">
        <f t="shared" si="7"/>
        <v/>
      </c>
    </row>
    <row r="390" spans="12:12" ht="25.5">
      <c r="L390" s="256" t="str">
        <f t="shared" si="7"/>
        <v/>
      </c>
    </row>
    <row r="391" spans="12:12" ht="25.5">
      <c r="L391" s="256" t="str">
        <f t="shared" si="7"/>
        <v/>
      </c>
    </row>
    <row r="392" spans="12:12" ht="25.5">
      <c r="L392" s="256" t="str">
        <f t="shared" si="7"/>
        <v/>
      </c>
    </row>
    <row r="393" spans="12:12" ht="25.5">
      <c r="L393" s="256" t="str">
        <f t="shared" si="7"/>
        <v/>
      </c>
    </row>
    <row r="394" spans="12:12" ht="25.5">
      <c r="L394" s="256" t="str">
        <f t="shared" si="7"/>
        <v/>
      </c>
    </row>
    <row r="395" spans="12:12" ht="25.5">
      <c r="L395" s="256" t="str">
        <f t="shared" si="7"/>
        <v/>
      </c>
    </row>
    <row r="396" spans="12:12" ht="25.5">
      <c r="L396" s="256" t="str">
        <f t="shared" si="7"/>
        <v/>
      </c>
    </row>
    <row r="397" spans="12:12" ht="25.5">
      <c r="L397" s="256" t="str">
        <f t="shared" si="7"/>
        <v/>
      </c>
    </row>
    <row r="398" spans="12:12" ht="25.5">
      <c r="L398" s="256" t="str">
        <f t="shared" si="7"/>
        <v/>
      </c>
    </row>
    <row r="399" spans="12:12" ht="25.5">
      <c r="L399" s="256" t="str">
        <f t="shared" si="7"/>
        <v/>
      </c>
    </row>
    <row r="400" spans="12:12" ht="25.5">
      <c r="L400" s="256" t="str">
        <f t="shared" si="7"/>
        <v/>
      </c>
    </row>
    <row r="401" spans="12:12" ht="25.5">
      <c r="L401" s="256" t="str">
        <f t="shared" si="7"/>
        <v/>
      </c>
    </row>
    <row r="402" spans="12:12" ht="25.5">
      <c r="L402" s="256" t="str">
        <f t="shared" si="7"/>
        <v/>
      </c>
    </row>
    <row r="403" spans="12:12" ht="25.5">
      <c r="L403" s="256" t="str">
        <f t="shared" si="7"/>
        <v/>
      </c>
    </row>
    <row r="404" spans="12:12" ht="25.5">
      <c r="L404" s="256" t="str">
        <f t="shared" si="7"/>
        <v/>
      </c>
    </row>
    <row r="405" spans="12:12" ht="25.5">
      <c r="L405" s="256" t="str">
        <f t="shared" si="7"/>
        <v/>
      </c>
    </row>
    <row r="406" spans="12:12" ht="25.5">
      <c r="L406" s="256" t="str">
        <f t="shared" si="7"/>
        <v/>
      </c>
    </row>
    <row r="407" spans="12:12" ht="25.5">
      <c r="L407" s="256" t="str">
        <f t="shared" si="7"/>
        <v/>
      </c>
    </row>
    <row r="408" spans="12:12" ht="25.5">
      <c r="L408" s="256" t="str">
        <f t="shared" si="7"/>
        <v/>
      </c>
    </row>
    <row r="409" spans="12:12" ht="25.5">
      <c r="L409" s="256" t="str">
        <f t="shared" si="7"/>
        <v/>
      </c>
    </row>
    <row r="410" spans="12:12" ht="25.5">
      <c r="L410" s="256" t="str">
        <f t="shared" si="7"/>
        <v/>
      </c>
    </row>
    <row r="411" spans="12:12" ht="25.5">
      <c r="L411" s="256" t="str">
        <f t="shared" si="7"/>
        <v/>
      </c>
    </row>
    <row r="412" spans="12:12" ht="25.5">
      <c r="L412" s="256" t="str">
        <f t="shared" si="7"/>
        <v/>
      </c>
    </row>
    <row r="413" spans="12:12" ht="25.5">
      <c r="L413" s="256" t="str">
        <f t="shared" si="7"/>
        <v/>
      </c>
    </row>
    <row r="414" spans="12:12" ht="25.5">
      <c r="L414" s="256" t="str">
        <f t="shared" si="7"/>
        <v/>
      </c>
    </row>
    <row r="415" spans="12:12" ht="25.5">
      <c r="L415" s="256" t="str">
        <f t="shared" si="7"/>
        <v/>
      </c>
    </row>
    <row r="416" spans="12:12" ht="25.5">
      <c r="L416" s="256" t="str">
        <f t="shared" si="7"/>
        <v/>
      </c>
    </row>
    <row r="417" spans="12:12" ht="25.5">
      <c r="L417" s="256" t="str">
        <f t="shared" si="7"/>
        <v/>
      </c>
    </row>
    <row r="418" spans="12:12" ht="25.5">
      <c r="L418" s="256" t="str">
        <f t="shared" si="7"/>
        <v/>
      </c>
    </row>
    <row r="419" spans="12:12" ht="25.5">
      <c r="L419" s="256" t="str">
        <f t="shared" si="7"/>
        <v/>
      </c>
    </row>
    <row r="420" spans="12:12" ht="25.5">
      <c r="L420" s="256" t="str">
        <f t="shared" si="7"/>
        <v/>
      </c>
    </row>
    <row r="421" spans="12:12" ht="25.5">
      <c r="L421" s="256" t="str">
        <f t="shared" si="7"/>
        <v/>
      </c>
    </row>
    <row r="422" spans="12:12" ht="25.5">
      <c r="L422" s="256" t="str">
        <f t="shared" si="7"/>
        <v/>
      </c>
    </row>
    <row r="423" spans="12:12" ht="25.5">
      <c r="L423" s="256" t="str">
        <f t="shared" ref="L423:L486" si="8">IF(F423="","",TEXT(C423,"000")&amp;"."&amp;F423&amp;" ("&amp;G423&amp;")")</f>
        <v/>
      </c>
    </row>
    <row r="424" spans="12:12" ht="25.5">
      <c r="L424" s="256" t="str">
        <f t="shared" si="8"/>
        <v/>
      </c>
    </row>
    <row r="425" spans="12:12" ht="25.5">
      <c r="L425" s="256" t="str">
        <f t="shared" si="8"/>
        <v/>
      </c>
    </row>
    <row r="426" spans="12:12" ht="25.5">
      <c r="L426" s="256" t="str">
        <f t="shared" si="8"/>
        <v/>
      </c>
    </row>
    <row r="427" spans="12:12" ht="25.5">
      <c r="L427" s="256" t="str">
        <f t="shared" si="8"/>
        <v/>
      </c>
    </row>
    <row r="428" spans="12:12" ht="25.5">
      <c r="L428" s="256" t="str">
        <f t="shared" si="8"/>
        <v/>
      </c>
    </row>
    <row r="429" spans="12:12" ht="25.5">
      <c r="L429" s="256" t="str">
        <f t="shared" si="8"/>
        <v/>
      </c>
    </row>
    <row r="430" spans="12:12" ht="25.5">
      <c r="L430" s="256" t="str">
        <f t="shared" si="8"/>
        <v/>
      </c>
    </row>
    <row r="431" spans="12:12" ht="25.5">
      <c r="L431" s="256" t="str">
        <f t="shared" si="8"/>
        <v/>
      </c>
    </row>
    <row r="432" spans="12:12" ht="25.5">
      <c r="L432" s="256" t="str">
        <f t="shared" si="8"/>
        <v/>
      </c>
    </row>
    <row r="433" spans="12:12" ht="25.5">
      <c r="L433" s="256" t="str">
        <f t="shared" si="8"/>
        <v/>
      </c>
    </row>
    <row r="434" spans="12:12" ht="25.5">
      <c r="L434" s="256" t="str">
        <f t="shared" si="8"/>
        <v/>
      </c>
    </row>
    <row r="435" spans="12:12" ht="25.5">
      <c r="L435" s="256" t="str">
        <f t="shared" si="8"/>
        <v/>
      </c>
    </row>
    <row r="436" spans="12:12" ht="25.5">
      <c r="L436" s="256" t="str">
        <f t="shared" si="8"/>
        <v/>
      </c>
    </row>
    <row r="437" spans="12:12" ht="25.5">
      <c r="L437" s="256" t="str">
        <f t="shared" si="8"/>
        <v/>
      </c>
    </row>
    <row r="438" spans="12:12" ht="25.5">
      <c r="L438" s="256" t="str">
        <f t="shared" si="8"/>
        <v/>
      </c>
    </row>
    <row r="439" spans="12:12" ht="25.5">
      <c r="L439" s="256" t="str">
        <f t="shared" si="8"/>
        <v/>
      </c>
    </row>
    <row r="440" spans="12:12" ht="25.5">
      <c r="L440" s="256" t="str">
        <f t="shared" si="8"/>
        <v/>
      </c>
    </row>
    <row r="441" spans="12:12" ht="25.5">
      <c r="L441" s="256" t="str">
        <f t="shared" si="8"/>
        <v/>
      </c>
    </row>
    <row r="442" spans="12:12" ht="25.5">
      <c r="L442" s="256" t="str">
        <f t="shared" si="8"/>
        <v/>
      </c>
    </row>
    <row r="443" spans="12:12" ht="25.5">
      <c r="L443" s="256" t="str">
        <f t="shared" si="8"/>
        <v/>
      </c>
    </row>
    <row r="444" spans="12:12" ht="25.5">
      <c r="L444" s="256" t="str">
        <f t="shared" si="8"/>
        <v/>
      </c>
    </row>
    <row r="445" spans="12:12" ht="25.5">
      <c r="L445" s="256" t="str">
        <f t="shared" si="8"/>
        <v/>
      </c>
    </row>
    <row r="446" spans="12:12" ht="25.5">
      <c r="L446" s="256" t="str">
        <f t="shared" si="8"/>
        <v/>
      </c>
    </row>
    <row r="447" spans="12:12" ht="25.5">
      <c r="L447" s="256" t="str">
        <f t="shared" si="8"/>
        <v/>
      </c>
    </row>
    <row r="448" spans="12:12" ht="25.5">
      <c r="L448" s="256" t="str">
        <f t="shared" si="8"/>
        <v/>
      </c>
    </row>
    <row r="449" spans="12:12" ht="25.5">
      <c r="L449" s="256" t="str">
        <f t="shared" si="8"/>
        <v/>
      </c>
    </row>
    <row r="450" spans="12:12" ht="25.5">
      <c r="L450" s="256" t="str">
        <f t="shared" si="8"/>
        <v/>
      </c>
    </row>
    <row r="451" spans="12:12" ht="25.5">
      <c r="L451" s="256" t="str">
        <f t="shared" si="8"/>
        <v/>
      </c>
    </row>
    <row r="452" spans="12:12" ht="25.5">
      <c r="L452" s="256" t="str">
        <f t="shared" si="8"/>
        <v/>
      </c>
    </row>
    <row r="453" spans="12:12" ht="25.5">
      <c r="L453" s="256" t="str">
        <f t="shared" si="8"/>
        <v/>
      </c>
    </row>
    <row r="454" spans="12:12" ht="25.5">
      <c r="L454" s="256" t="str">
        <f t="shared" si="8"/>
        <v/>
      </c>
    </row>
    <row r="455" spans="12:12" ht="25.5">
      <c r="L455" s="256" t="str">
        <f t="shared" si="8"/>
        <v/>
      </c>
    </row>
    <row r="456" spans="12:12" ht="25.5">
      <c r="L456" s="256" t="str">
        <f t="shared" si="8"/>
        <v/>
      </c>
    </row>
    <row r="457" spans="12:12" ht="25.5">
      <c r="L457" s="256" t="str">
        <f t="shared" si="8"/>
        <v/>
      </c>
    </row>
    <row r="458" spans="12:12" ht="25.5">
      <c r="L458" s="256" t="str">
        <f t="shared" si="8"/>
        <v/>
      </c>
    </row>
    <row r="459" spans="12:12" ht="25.5">
      <c r="L459" s="256" t="str">
        <f t="shared" si="8"/>
        <v/>
      </c>
    </row>
    <row r="460" spans="12:12" ht="25.5">
      <c r="L460" s="256" t="str">
        <f t="shared" si="8"/>
        <v/>
      </c>
    </row>
    <row r="461" spans="12:12" ht="25.5">
      <c r="L461" s="256" t="str">
        <f t="shared" si="8"/>
        <v/>
      </c>
    </row>
    <row r="462" spans="12:12" ht="25.5">
      <c r="L462" s="256" t="str">
        <f t="shared" si="8"/>
        <v/>
      </c>
    </row>
    <row r="463" spans="12:12" ht="25.5">
      <c r="L463" s="256" t="str">
        <f t="shared" si="8"/>
        <v/>
      </c>
    </row>
    <row r="464" spans="12:12" ht="25.5">
      <c r="L464" s="256" t="str">
        <f t="shared" si="8"/>
        <v/>
      </c>
    </row>
    <row r="465" spans="12:12" ht="25.5">
      <c r="L465" s="256" t="str">
        <f t="shared" si="8"/>
        <v/>
      </c>
    </row>
    <row r="466" spans="12:12" ht="25.5">
      <c r="L466" s="256" t="str">
        <f t="shared" si="8"/>
        <v/>
      </c>
    </row>
    <row r="467" spans="12:12" ht="25.5">
      <c r="L467" s="256" t="str">
        <f t="shared" si="8"/>
        <v/>
      </c>
    </row>
    <row r="468" spans="12:12" ht="25.5">
      <c r="L468" s="256" t="str">
        <f t="shared" si="8"/>
        <v/>
      </c>
    </row>
    <row r="469" spans="12:12" ht="25.5">
      <c r="L469" s="256" t="str">
        <f t="shared" si="8"/>
        <v/>
      </c>
    </row>
    <row r="470" spans="12:12" ht="25.5">
      <c r="L470" s="256" t="str">
        <f t="shared" si="8"/>
        <v/>
      </c>
    </row>
    <row r="471" spans="12:12" ht="25.5">
      <c r="L471" s="256" t="str">
        <f t="shared" si="8"/>
        <v/>
      </c>
    </row>
    <row r="472" spans="12:12" ht="25.5">
      <c r="L472" s="256" t="str">
        <f t="shared" si="8"/>
        <v/>
      </c>
    </row>
    <row r="473" spans="12:12" ht="25.5">
      <c r="L473" s="256" t="str">
        <f t="shared" si="8"/>
        <v/>
      </c>
    </row>
    <row r="474" spans="12:12" ht="25.5">
      <c r="L474" s="256" t="str">
        <f t="shared" si="8"/>
        <v/>
      </c>
    </row>
    <row r="475" spans="12:12" ht="25.5">
      <c r="L475" s="256" t="str">
        <f t="shared" si="8"/>
        <v/>
      </c>
    </row>
    <row r="476" spans="12:12" ht="25.5">
      <c r="L476" s="256" t="str">
        <f t="shared" si="8"/>
        <v/>
      </c>
    </row>
    <row r="477" spans="12:12" ht="25.5">
      <c r="L477" s="256" t="str">
        <f t="shared" si="8"/>
        <v/>
      </c>
    </row>
    <row r="478" spans="12:12" ht="25.5">
      <c r="L478" s="256" t="str">
        <f t="shared" si="8"/>
        <v/>
      </c>
    </row>
    <row r="479" spans="12:12" ht="25.5">
      <c r="L479" s="256" t="str">
        <f t="shared" si="8"/>
        <v/>
      </c>
    </row>
    <row r="480" spans="12:12" ht="25.5">
      <c r="L480" s="256" t="str">
        <f t="shared" si="8"/>
        <v/>
      </c>
    </row>
    <row r="481" spans="12:12" ht="25.5">
      <c r="L481" s="256" t="str">
        <f t="shared" si="8"/>
        <v/>
      </c>
    </row>
    <row r="482" spans="12:12" ht="25.5">
      <c r="L482" s="256" t="str">
        <f t="shared" si="8"/>
        <v/>
      </c>
    </row>
    <row r="483" spans="12:12" ht="25.5">
      <c r="L483" s="256" t="str">
        <f t="shared" si="8"/>
        <v/>
      </c>
    </row>
    <row r="484" spans="12:12" ht="25.5">
      <c r="L484" s="256" t="str">
        <f t="shared" si="8"/>
        <v/>
      </c>
    </row>
    <row r="485" spans="12:12" ht="25.5">
      <c r="L485" s="256" t="str">
        <f t="shared" si="8"/>
        <v/>
      </c>
    </row>
    <row r="486" spans="12:12" ht="25.5">
      <c r="L486" s="256" t="str">
        <f t="shared" si="8"/>
        <v/>
      </c>
    </row>
    <row r="487" spans="12:12" ht="25.5">
      <c r="L487" s="256" t="str">
        <f t="shared" ref="L487:L550" si="9">IF(F487="","",TEXT(C487,"000")&amp;"."&amp;F487&amp;" ("&amp;G487&amp;")")</f>
        <v/>
      </c>
    </row>
    <row r="488" spans="12:12" ht="25.5">
      <c r="L488" s="256" t="str">
        <f t="shared" si="9"/>
        <v/>
      </c>
    </row>
    <row r="489" spans="12:12" ht="25.5">
      <c r="L489" s="256" t="str">
        <f t="shared" si="9"/>
        <v/>
      </c>
    </row>
    <row r="490" spans="12:12" ht="25.5">
      <c r="L490" s="256" t="str">
        <f t="shared" si="9"/>
        <v/>
      </c>
    </row>
    <row r="491" spans="12:12" ht="25.5">
      <c r="L491" s="256" t="str">
        <f t="shared" si="9"/>
        <v/>
      </c>
    </row>
    <row r="492" spans="12:12" ht="25.5">
      <c r="L492" s="256" t="str">
        <f t="shared" si="9"/>
        <v/>
      </c>
    </row>
    <row r="493" spans="12:12" ht="25.5">
      <c r="L493" s="256" t="str">
        <f t="shared" si="9"/>
        <v/>
      </c>
    </row>
    <row r="494" spans="12:12" ht="25.5">
      <c r="L494" s="256" t="str">
        <f t="shared" si="9"/>
        <v/>
      </c>
    </row>
    <row r="495" spans="12:12" ht="25.5">
      <c r="L495" s="256" t="str">
        <f t="shared" si="9"/>
        <v/>
      </c>
    </row>
    <row r="496" spans="12:12" ht="25.5">
      <c r="L496" s="256" t="str">
        <f t="shared" si="9"/>
        <v/>
      </c>
    </row>
    <row r="497" spans="12:12" ht="25.5">
      <c r="L497" s="256" t="str">
        <f t="shared" si="9"/>
        <v/>
      </c>
    </row>
    <row r="498" spans="12:12" ht="25.5">
      <c r="L498" s="256" t="str">
        <f t="shared" si="9"/>
        <v/>
      </c>
    </row>
    <row r="499" spans="12:12" ht="25.5">
      <c r="L499" s="256" t="str">
        <f t="shared" si="9"/>
        <v/>
      </c>
    </row>
    <row r="500" spans="12:12" ht="25.5">
      <c r="L500" s="256" t="str">
        <f t="shared" si="9"/>
        <v/>
      </c>
    </row>
    <row r="501" spans="12:12" ht="25.5">
      <c r="L501" s="256" t="str">
        <f t="shared" si="9"/>
        <v/>
      </c>
    </row>
    <row r="502" spans="12:12" ht="25.5">
      <c r="L502" s="256" t="str">
        <f t="shared" si="9"/>
        <v/>
      </c>
    </row>
    <row r="503" spans="12:12" ht="25.5">
      <c r="L503" s="256" t="str">
        <f t="shared" si="9"/>
        <v/>
      </c>
    </row>
    <row r="504" spans="12:12" ht="25.5">
      <c r="L504" s="256" t="str">
        <f t="shared" si="9"/>
        <v/>
      </c>
    </row>
    <row r="505" spans="12:12" ht="25.5">
      <c r="L505" s="256" t="str">
        <f t="shared" si="9"/>
        <v/>
      </c>
    </row>
    <row r="506" spans="12:12" ht="25.5">
      <c r="L506" s="256" t="str">
        <f t="shared" si="9"/>
        <v/>
      </c>
    </row>
    <row r="507" spans="12:12" ht="25.5">
      <c r="L507" s="256" t="str">
        <f t="shared" si="9"/>
        <v/>
      </c>
    </row>
    <row r="508" spans="12:12" ht="25.5">
      <c r="L508" s="256" t="str">
        <f t="shared" si="9"/>
        <v/>
      </c>
    </row>
    <row r="509" spans="12:12" ht="25.5">
      <c r="L509" s="256" t="str">
        <f t="shared" si="9"/>
        <v/>
      </c>
    </row>
    <row r="510" spans="12:12" ht="25.5">
      <c r="L510" s="256" t="str">
        <f t="shared" si="9"/>
        <v/>
      </c>
    </row>
    <row r="511" spans="12:12" ht="25.5">
      <c r="L511" s="256" t="str">
        <f t="shared" si="9"/>
        <v/>
      </c>
    </row>
    <row r="512" spans="12:12" ht="25.5">
      <c r="L512" s="256" t="str">
        <f t="shared" si="9"/>
        <v/>
      </c>
    </row>
    <row r="513" spans="12:12" ht="25.5">
      <c r="L513" s="256" t="str">
        <f t="shared" si="9"/>
        <v/>
      </c>
    </row>
    <row r="514" spans="12:12" ht="25.5">
      <c r="L514" s="256" t="str">
        <f t="shared" si="9"/>
        <v/>
      </c>
    </row>
    <row r="515" spans="12:12" ht="25.5">
      <c r="L515" s="256" t="str">
        <f t="shared" si="9"/>
        <v/>
      </c>
    </row>
    <row r="516" spans="12:12" ht="25.5">
      <c r="L516" s="256" t="str">
        <f t="shared" si="9"/>
        <v/>
      </c>
    </row>
    <row r="517" spans="12:12" ht="25.5">
      <c r="L517" s="256" t="str">
        <f t="shared" si="9"/>
        <v/>
      </c>
    </row>
    <row r="518" spans="12:12" ht="25.5">
      <c r="L518" s="256" t="str">
        <f t="shared" si="9"/>
        <v/>
      </c>
    </row>
    <row r="519" spans="12:12" ht="25.5">
      <c r="L519" s="256" t="str">
        <f t="shared" si="9"/>
        <v/>
      </c>
    </row>
    <row r="520" spans="12:12" ht="25.5">
      <c r="L520" s="256" t="str">
        <f t="shared" si="9"/>
        <v/>
      </c>
    </row>
    <row r="521" spans="12:12" ht="25.5">
      <c r="L521" s="256" t="str">
        <f t="shared" si="9"/>
        <v/>
      </c>
    </row>
    <row r="522" spans="12:12" ht="25.5">
      <c r="L522" s="256" t="str">
        <f t="shared" si="9"/>
        <v/>
      </c>
    </row>
    <row r="523" spans="12:12" ht="25.5">
      <c r="L523" s="256" t="str">
        <f t="shared" si="9"/>
        <v/>
      </c>
    </row>
    <row r="524" spans="12:12" ht="25.5">
      <c r="L524" s="256" t="str">
        <f t="shared" si="9"/>
        <v/>
      </c>
    </row>
    <row r="525" spans="12:12" ht="25.5">
      <c r="L525" s="256" t="str">
        <f t="shared" si="9"/>
        <v/>
      </c>
    </row>
    <row r="526" spans="12:12" ht="25.5">
      <c r="L526" s="256" t="str">
        <f t="shared" si="9"/>
        <v/>
      </c>
    </row>
    <row r="527" spans="12:12" ht="25.5">
      <c r="L527" s="256" t="str">
        <f t="shared" si="9"/>
        <v/>
      </c>
    </row>
    <row r="528" spans="12:12" ht="25.5">
      <c r="L528" s="256" t="str">
        <f t="shared" si="9"/>
        <v/>
      </c>
    </row>
    <row r="529" spans="12:12" ht="25.5">
      <c r="L529" s="256" t="str">
        <f t="shared" si="9"/>
        <v/>
      </c>
    </row>
    <row r="530" spans="12:12" ht="25.5">
      <c r="L530" s="256" t="str">
        <f t="shared" si="9"/>
        <v/>
      </c>
    </row>
    <row r="531" spans="12:12" ht="25.5">
      <c r="L531" s="256" t="str">
        <f t="shared" si="9"/>
        <v/>
      </c>
    </row>
    <row r="532" spans="12:12" ht="25.5">
      <c r="L532" s="256" t="str">
        <f t="shared" si="9"/>
        <v/>
      </c>
    </row>
    <row r="533" spans="12:12" ht="25.5">
      <c r="L533" s="256" t="str">
        <f t="shared" si="9"/>
        <v/>
      </c>
    </row>
    <row r="534" spans="12:12" ht="25.5">
      <c r="L534" s="256" t="str">
        <f t="shared" si="9"/>
        <v/>
      </c>
    </row>
    <row r="535" spans="12:12" ht="25.5">
      <c r="L535" s="256" t="str">
        <f t="shared" si="9"/>
        <v/>
      </c>
    </row>
    <row r="536" spans="12:12" ht="25.5">
      <c r="L536" s="256" t="str">
        <f t="shared" si="9"/>
        <v/>
      </c>
    </row>
    <row r="537" spans="12:12" ht="25.5">
      <c r="L537" s="256" t="str">
        <f t="shared" si="9"/>
        <v/>
      </c>
    </row>
    <row r="538" spans="12:12" ht="25.5">
      <c r="L538" s="256" t="str">
        <f t="shared" si="9"/>
        <v/>
      </c>
    </row>
    <row r="539" spans="12:12" ht="25.5">
      <c r="L539" s="256" t="str">
        <f t="shared" si="9"/>
        <v/>
      </c>
    </row>
    <row r="540" spans="12:12" ht="25.5">
      <c r="L540" s="256" t="str">
        <f t="shared" si="9"/>
        <v/>
      </c>
    </row>
    <row r="541" spans="12:12" ht="25.5">
      <c r="L541" s="256" t="str">
        <f t="shared" si="9"/>
        <v/>
      </c>
    </row>
    <row r="542" spans="12:12" ht="25.5">
      <c r="L542" s="256" t="str">
        <f t="shared" si="9"/>
        <v/>
      </c>
    </row>
    <row r="543" spans="12:12" ht="25.5">
      <c r="L543" s="256" t="str">
        <f t="shared" si="9"/>
        <v/>
      </c>
    </row>
    <row r="544" spans="12:12" ht="25.5">
      <c r="L544" s="256" t="str">
        <f t="shared" si="9"/>
        <v/>
      </c>
    </row>
    <row r="545" spans="12:12" ht="25.5">
      <c r="L545" s="256" t="str">
        <f t="shared" si="9"/>
        <v/>
      </c>
    </row>
    <row r="546" spans="12:12" ht="25.5">
      <c r="L546" s="256" t="str">
        <f t="shared" si="9"/>
        <v/>
      </c>
    </row>
    <row r="547" spans="12:12" ht="25.5">
      <c r="L547" s="256" t="str">
        <f t="shared" si="9"/>
        <v/>
      </c>
    </row>
    <row r="548" spans="12:12" ht="25.5">
      <c r="L548" s="256" t="str">
        <f t="shared" si="9"/>
        <v/>
      </c>
    </row>
    <row r="549" spans="12:12" ht="25.5">
      <c r="L549" s="256" t="str">
        <f t="shared" si="9"/>
        <v/>
      </c>
    </row>
    <row r="550" spans="12:12" ht="25.5">
      <c r="L550" s="256" t="str">
        <f t="shared" si="9"/>
        <v/>
      </c>
    </row>
    <row r="551" spans="12:12" ht="25.5">
      <c r="L551" s="256" t="str">
        <f t="shared" ref="L551:L614" si="10">IF(F551="","",TEXT(C551,"000")&amp;"."&amp;F551&amp;" ("&amp;G551&amp;")")</f>
        <v/>
      </c>
    </row>
    <row r="552" spans="12:12" ht="25.5">
      <c r="L552" s="256" t="str">
        <f t="shared" si="10"/>
        <v/>
      </c>
    </row>
    <row r="553" spans="12:12" ht="25.5">
      <c r="L553" s="256" t="str">
        <f t="shared" si="10"/>
        <v/>
      </c>
    </row>
    <row r="554" spans="12:12" ht="25.5">
      <c r="L554" s="256" t="str">
        <f t="shared" si="10"/>
        <v/>
      </c>
    </row>
    <row r="555" spans="12:12" ht="25.5">
      <c r="L555" s="256" t="str">
        <f t="shared" si="10"/>
        <v/>
      </c>
    </row>
    <row r="556" spans="12:12" ht="25.5">
      <c r="L556" s="256" t="str">
        <f t="shared" si="10"/>
        <v/>
      </c>
    </row>
    <row r="557" spans="12:12" ht="25.5">
      <c r="L557" s="256" t="str">
        <f t="shared" si="10"/>
        <v/>
      </c>
    </row>
    <row r="558" spans="12:12" ht="25.5">
      <c r="L558" s="256" t="str">
        <f t="shared" si="10"/>
        <v/>
      </c>
    </row>
    <row r="559" spans="12:12" ht="25.5">
      <c r="L559" s="256" t="str">
        <f t="shared" si="10"/>
        <v/>
      </c>
    </row>
    <row r="560" spans="12:12" ht="25.5">
      <c r="L560" s="256" t="str">
        <f t="shared" si="10"/>
        <v/>
      </c>
    </row>
    <row r="561" spans="12:12" ht="25.5">
      <c r="L561" s="256" t="str">
        <f t="shared" si="10"/>
        <v/>
      </c>
    </row>
    <row r="562" spans="12:12" ht="25.5">
      <c r="L562" s="256" t="str">
        <f t="shared" si="10"/>
        <v/>
      </c>
    </row>
    <row r="563" spans="12:12" ht="25.5">
      <c r="L563" s="256" t="str">
        <f t="shared" si="10"/>
        <v/>
      </c>
    </row>
    <row r="564" spans="12:12" ht="25.5">
      <c r="L564" s="256" t="str">
        <f t="shared" si="10"/>
        <v/>
      </c>
    </row>
    <row r="565" spans="12:12" ht="25.5">
      <c r="L565" s="256" t="str">
        <f t="shared" si="10"/>
        <v/>
      </c>
    </row>
    <row r="566" spans="12:12" ht="25.5">
      <c r="L566" s="256" t="str">
        <f t="shared" si="10"/>
        <v/>
      </c>
    </row>
    <row r="567" spans="12:12" ht="25.5">
      <c r="L567" s="256" t="str">
        <f t="shared" si="10"/>
        <v/>
      </c>
    </row>
    <row r="568" spans="12:12" ht="25.5">
      <c r="L568" s="256" t="str">
        <f t="shared" si="10"/>
        <v/>
      </c>
    </row>
    <row r="569" spans="12:12" ht="25.5">
      <c r="L569" s="256" t="str">
        <f t="shared" si="10"/>
        <v/>
      </c>
    </row>
    <row r="570" spans="12:12" ht="25.5">
      <c r="L570" s="256" t="str">
        <f t="shared" si="10"/>
        <v/>
      </c>
    </row>
    <row r="571" spans="12:12" ht="25.5">
      <c r="L571" s="256" t="str">
        <f t="shared" si="10"/>
        <v/>
      </c>
    </row>
    <row r="572" spans="12:12" ht="25.5">
      <c r="L572" s="256" t="str">
        <f t="shared" si="10"/>
        <v/>
      </c>
    </row>
    <row r="573" spans="12:12" ht="25.5">
      <c r="L573" s="256" t="str">
        <f t="shared" si="10"/>
        <v/>
      </c>
    </row>
    <row r="574" spans="12:12" ht="25.5">
      <c r="L574" s="256" t="str">
        <f t="shared" si="10"/>
        <v/>
      </c>
    </row>
    <row r="575" spans="12:12" ht="25.5">
      <c r="L575" s="256" t="str">
        <f t="shared" si="10"/>
        <v/>
      </c>
    </row>
    <row r="576" spans="12:12" ht="25.5">
      <c r="L576" s="256" t="str">
        <f t="shared" si="10"/>
        <v/>
      </c>
    </row>
    <row r="577" spans="12:12" ht="25.5">
      <c r="L577" s="256" t="str">
        <f t="shared" si="10"/>
        <v/>
      </c>
    </row>
    <row r="578" spans="12:12" ht="25.5">
      <c r="L578" s="256" t="str">
        <f t="shared" si="10"/>
        <v/>
      </c>
    </row>
    <row r="579" spans="12:12" ht="25.5">
      <c r="L579" s="256" t="str">
        <f t="shared" si="10"/>
        <v/>
      </c>
    </row>
    <row r="580" spans="12:12" ht="25.5">
      <c r="L580" s="256" t="str">
        <f t="shared" si="10"/>
        <v/>
      </c>
    </row>
    <row r="581" spans="12:12" ht="25.5">
      <c r="L581" s="256" t="str">
        <f t="shared" si="10"/>
        <v/>
      </c>
    </row>
    <row r="582" spans="12:12" ht="25.5">
      <c r="L582" s="256" t="str">
        <f t="shared" si="10"/>
        <v/>
      </c>
    </row>
    <row r="583" spans="12:12" ht="25.5">
      <c r="L583" s="256" t="str">
        <f t="shared" si="10"/>
        <v/>
      </c>
    </row>
    <row r="584" spans="12:12" ht="25.5">
      <c r="L584" s="256" t="str">
        <f t="shared" si="10"/>
        <v/>
      </c>
    </row>
    <row r="585" spans="12:12" ht="25.5">
      <c r="L585" s="256" t="str">
        <f t="shared" si="10"/>
        <v/>
      </c>
    </row>
    <row r="586" spans="12:12" ht="25.5">
      <c r="L586" s="256" t="str">
        <f t="shared" si="10"/>
        <v/>
      </c>
    </row>
    <row r="587" spans="12:12" ht="25.5">
      <c r="L587" s="256" t="str">
        <f t="shared" si="10"/>
        <v/>
      </c>
    </row>
    <row r="588" spans="12:12" ht="25.5">
      <c r="L588" s="256" t="str">
        <f t="shared" si="10"/>
        <v/>
      </c>
    </row>
    <row r="589" spans="12:12" ht="25.5">
      <c r="L589" s="256" t="str">
        <f t="shared" si="10"/>
        <v/>
      </c>
    </row>
    <row r="590" spans="12:12" ht="25.5">
      <c r="L590" s="256" t="str">
        <f t="shared" si="10"/>
        <v/>
      </c>
    </row>
    <row r="591" spans="12:12" ht="25.5">
      <c r="L591" s="256" t="str">
        <f t="shared" si="10"/>
        <v/>
      </c>
    </row>
    <row r="592" spans="12:12" ht="25.5">
      <c r="L592" s="256" t="str">
        <f t="shared" si="10"/>
        <v/>
      </c>
    </row>
    <row r="593" spans="12:12" ht="25.5">
      <c r="L593" s="256" t="str">
        <f t="shared" si="10"/>
        <v/>
      </c>
    </row>
    <row r="594" spans="12:12" ht="25.5">
      <c r="L594" s="256" t="str">
        <f t="shared" si="10"/>
        <v/>
      </c>
    </row>
    <row r="595" spans="12:12" ht="25.5">
      <c r="L595" s="256" t="str">
        <f t="shared" si="10"/>
        <v/>
      </c>
    </row>
    <row r="596" spans="12:12" ht="25.5">
      <c r="L596" s="256" t="str">
        <f t="shared" si="10"/>
        <v/>
      </c>
    </row>
    <row r="597" spans="12:12" ht="25.5">
      <c r="L597" s="256" t="str">
        <f t="shared" si="10"/>
        <v/>
      </c>
    </row>
    <row r="598" spans="12:12" ht="25.5">
      <c r="L598" s="256" t="str">
        <f t="shared" si="10"/>
        <v/>
      </c>
    </row>
    <row r="599" spans="12:12" ht="25.5">
      <c r="L599" s="256" t="str">
        <f t="shared" si="10"/>
        <v/>
      </c>
    </row>
    <row r="600" spans="12:12" ht="25.5">
      <c r="L600" s="256" t="str">
        <f t="shared" si="10"/>
        <v/>
      </c>
    </row>
    <row r="601" spans="12:12" ht="25.5">
      <c r="L601" s="256" t="str">
        <f t="shared" si="10"/>
        <v/>
      </c>
    </row>
    <row r="602" spans="12:12" ht="25.5">
      <c r="L602" s="256" t="str">
        <f t="shared" si="10"/>
        <v/>
      </c>
    </row>
    <row r="603" spans="12:12" ht="25.5">
      <c r="L603" s="256" t="str">
        <f t="shared" si="10"/>
        <v/>
      </c>
    </row>
    <row r="604" spans="12:12" ht="25.5">
      <c r="L604" s="256" t="str">
        <f t="shared" si="10"/>
        <v/>
      </c>
    </row>
    <row r="605" spans="12:12" ht="25.5">
      <c r="L605" s="256" t="str">
        <f t="shared" si="10"/>
        <v/>
      </c>
    </row>
    <row r="606" spans="12:12" ht="25.5">
      <c r="L606" s="256" t="str">
        <f t="shared" si="10"/>
        <v/>
      </c>
    </row>
    <row r="607" spans="12:12" ht="25.5">
      <c r="L607" s="256" t="str">
        <f t="shared" si="10"/>
        <v/>
      </c>
    </row>
    <row r="608" spans="12:12" ht="25.5">
      <c r="L608" s="256" t="str">
        <f t="shared" si="10"/>
        <v/>
      </c>
    </row>
    <row r="609" spans="12:12" ht="25.5">
      <c r="L609" s="256" t="str">
        <f t="shared" si="10"/>
        <v/>
      </c>
    </row>
    <row r="610" spans="12:12" ht="25.5">
      <c r="L610" s="256" t="str">
        <f t="shared" si="10"/>
        <v/>
      </c>
    </row>
    <row r="611" spans="12:12" ht="25.5">
      <c r="L611" s="256" t="str">
        <f t="shared" si="10"/>
        <v/>
      </c>
    </row>
    <row r="612" spans="12:12" ht="25.5">
      <c r="L612" s="256" t="str">
        <f t="shared" si="10"/>
        <v/>
      </c>
    </row>
    <row r="613" spans="12:12" ht="25.5">
      <c r="L613" s="256" t="str">
        <f t="shared" si="10"/>
        <v/>
      </c>
    </row>
    <row r="614" spans="12:12" ht="25.5">
      <c r="L614" s="256" t="str">
        <f t="shared" si="10"/>
        <v/>
      </c>
    </row>
    <row r="615" spans="12:12" ht="25.5">
      <c r="L615" s="256" t="str">
        <f t="shared" ref="L615:L678" si="11">IF(F615="","",TEXT(C615,"000")&amp;"."&amp;F615&amp;" ("&amp;G615&amp;")")</f>
        <v/>
      </c>
    </row>
    <row r="616" spans="12:12" ht="25.5">
      <c r="L616" s="256" t="str">
        <f t="shared" si="11"/>
        <v/>
      </c>
    </row>
    <row r="617" spans="12:12" ht="25.5">
      <c r="L617" s="256" t="str">
        <f t="shared" si="11"/>
        <v/>
      </c>
    </row>
    <row r="618" spans="12:12" ht="25.5">
      <c r="L618" s="256" t="str">
        <f t="shared" si="11"/>
        <v/>
      </c>
    </row>
    <row r="619" spans="12:12" ht="25.5">
      <c r="L619" s="256" t="str">
        <f t="shared" si="11"/>
        <v/>
      </c>
    </row>
    <row r="620" spans="12:12" ht="25.5">
      <c r="L620" s="256" t="str">
        <f t="shared" si="11"/>
        <v/>
      </c>
    </row>
    <row r="621" spans="12:12" ht="25.5">
      <c r="L621" s="256" t="str">
        <f t="shared" si="11"/>
        <v/>
      </c>
    </row>
    <row r="622" spans="12:12" ht="25.5">
      <c r="L622" s="256" t="str">
        <f t="shared" si="11"/>
        <v/>
      </c>
    </row>
    <row r="623" spans="12:12" ht="25.5">
      <c r="L623" s="256" t="str">
        <f t="shared" si="11"/>
        <v/>
      </c>
    </row>
    <row r="624" spans="12:12" ht="25.5">
      <c r="L624" s="256" t="str">
        <f t="shared" si="11"/>
        <v/>
      </c>
    </row>
    <row r="625" spans="12:12" ht="25.5">
      <c r="L625" s="256" t="str">
        <f t="shared" si="11"/>
        <v/>
      </c>
    </row>
    <row r="626" spans="12:12" ht="25.5">
      <c r="L626" s="256" t="str">
        <f t="shared" si="11"/>
        <v/>
      </c>
    </row>
    <row r="627" spans="12:12" ht="25.5">
      <c r="L627" s="256" t="str">
        <f t="shared" si="11"/>
        <v/>
      </c>
    </row>
    <row r="628" spans="12:12" ht="25.5">
      <c r="L628" s="256" t="str">
        <f t="shared" si="11"/>
        <v/>
      </c>
    </row>
    <row r="629" spans="12:12" ht="25.5">
      <c r="L629" s="256" t="str">
        <f t="shared" si="11"/>
        <v/>
      </c>
    </row>
    <row r="630" spans="12:12" ht="25.5">
      <c r="L630" s="256" t="str">
        <f t="shared" si="11"/>
        <v/>
      </c>
    </row>
    <row r="631" spans="12:12" ht="25.5">
      <c r="L631" s="256" t="str">
        <f t="shared" si="11"/>
        <v/>
      </c>
    </row>
    <row r="632" spans="12:12" ht="25.5">
      <c r="L632" s="256" t="str">
        <f t="shared" si="11"/>
        <v/>
      </c>
    </row>
    <row r="633" spans="12:12" ht="25.5">
      <c r="L633" s="256" t="str">
        <f t="shared" si="11"/>
        <v/>
      </c>
    </row>
    <row r="634" spans="12:12" ht="25.5">
      <c r="L634" s="256" t="str">
        <f t="shared" si="11"/>
        <v/>
      </c>
    </row>
    <row r="635" spans="12:12" ht="25.5">
      <c r="L635" s="256" t="str">
        <f t="shared" si="11"/>
        <v/>
      </c>
    </row>
    <row r="636" spans="12:12" ht="25.5">
      <c r="L636" s="256" t="str">
        <f t="shared" si="11"/>
        <v/>
      </c>
    </row>
    <row r="637" spans="12:12" ht="25.5">
      <c r="L637" s="256" t="str">
        <f t="shared" si="11"/>
        <v/>
      </c>
    </row>
    <row r="638" spans="12:12" ht="25.5">
      <c r="L638" s="256" t="str">
        <f t="shared" si="11"/>
        <v/>
      </c>
    </row>
    <row r="639" spans="12:12" ht="25.5">
      <c r="L639" s="256" t="str">
        <f t="shared" si="11"/>
        <v/>
      </c>
    </row>
    <row r="640" spans="12:12" ht="25.5">
      <c r="L640" s="256" t="str">
        <f t="shared" si="11"/>
        <v/>
      </c>
    </row>
    <row r="641" spans="12:12" ht="25.5">
      <c r="L641" s="256" t="str">
        <f t="shared" si="11"/>
        <v/>
      </c>
    </row>
    <row r="642" spans="12:12" ht="25.5">
      <c r="L642" s="256" t="str">
        <f t="shared" si="11"/>
        <v/>
      </c>
    </row>
    <row r="643" spans="12:12" ht="25.5">
      <c r="L643" s="256" t="str">
        <f t="shared" si="11"/>
        <v/>
      </c>
    </row>
    <row r="644" spans="12:12" ht="25.5">
      <c r="L644" s="256" t="str">
        <f t="shared" si="11"/>
        <v/>
      </c>
    </row>
    <row r="645" spans="12:12" ht="25.5">
      <c r="L645" s="256" t="str">
        <f t="shared" si="11"/>
        <v/>
      </c>
    </row>
    <row r="646" spans="12:12" ht="25.5">
      <c r="L646" s="256" t="str">
        <f t="shared" si="11"/>
        <v/>
      </c>
    </row>
    <row r="647" spans="12:12" ht="25.5">
      <c r="L647" s="256" t="str">
        <f t="shared" si="11"/>
        <v/>
      </c>
    </row>
    <row r="648" spans="12:12" ht="25.5">
      <c r="L648" s="256" t="str">
        <f t="shared" si="11"/>
        <v/>
      </c>
    </row>
    <row r="649" spans="12:12" ht="25.5">
      <c r="L649" s="256" t="str">
        <f t="shared" si="11"/>
        <v/>
      </c>
    </row>
    <row r="650" spans="12:12" ht="25.5">
      <c r="L650" s="256" t="str">
        <f t="shared" si="11"/>
        <v/>
      </c>
    </row>
    <row r="651" spans="12:12" ht="25.5">
      <c r="L651" s="256" t="str">
        <f t="shared" si="11"/>
        <v/>
      </c>
    </row>
    <row r="652" spans="12:12" ht="25.5">
      <c r="L652" s="256" t="str">
        <f t="shared" si="11"/>
        <v/>
      </c>
    </row>
    <row r="653" spans="12:12" ht="25.5">
      <c r="L653" s="256" t="str">
        <f t="shared" si="11"/>
        <v/>
      </c>
    </row>
    <row r="654" spans="12:12" ht="25.5">
      <c r="L654" s="256" t="str">
        <f t="shared" si="11"/>
        <v/>
      </c>
    </row>
    <row r="655" spans="12:12" ht="25.5">
      <c r="L655" s="256" t="str">
        <f t="shared" si="11"/>
        <v/>
      </c>
    </row>
    <row r="656" spans="12:12" ht="25.5">
      <c r="L656" s="256" t="str">
        <f t="shared" si="11"/>
        <v/>
      </c>
    </row>
    <row r="657" spans="12:12" ht="25.5">
      <c r="L657" s="256" t="str">
        <f t="shared" si="11"/>
        <v/>
      </c>
    </row>
    <row r="658" spans="12:12" ht="25.5">
      <c r="L658" s="256" t="str">
        <f t="shared" si="11"/>
        <v/>
      </c>
    </row>
    <row r="659" spans="12:12" ht="25.5">
      <c r="L659" s="256" t="str">
        <f t="shared" si="11"/>
        <v/>
      </c>
    </row>
    <row r="660" spans="12:12" ht="25.5">
      <c r="L660" s="256" t="str">
        <f t="shared" si="11"/>
        <v/>
      </c>
    </row>
    <row r="661" spans="12:12" ht="25.5">
      <c r="L661" s="256" t="str">
        <f t="shared" si="11"/>
        <v/>
      </c>
    </row>
    <row r="662" spans="12:12" ht="25.5">
      <c r="L662" s="256" t="str">
        <f t="shared" si="11"/>
        <v/>
      </c>
    </row>
    <row r="663" spans="12:12" ht="25.5">
      <c r="L663" s="256" t="str">
        <f t="shared" si="11"/>
        <v/>
      </c>
    </row>
    <row r="664" spans="12:12" ht="25.5">
      <c r="L664" s="256" t="str">
        <f t="shared" si="11"/>
        <v/>
      </c>
    </row>
    <row r="665" spans="12:12" ht="25.5">
      <c r="L665" s="256" t="str">
        <f t="shared" si="11"/>
        <v/>
      </c>
    </row>
    <row r="666" spans="12:12" ht="25.5">
      <c r="L666" s="256" t="str">
        <f t="shared" si="11"/>
        <v/>
      </c>
    </row>
    <row r="667" spans="12:12" ht="25.5">
      <c r="L667" s="256" t="str">
        <f t="shared" si="11"/>
        <v/>
      </c>
    </row>
    <row r="668" spans="12:12" ht="25.5">
      <c r="L668" s="256" t="str">
        <f t="shared" si="11"/>
        <v/>
      </c>
    </row>
    <row r="669" spans="12:12" ht="25.5">
      <c r="L669" s="256" t="str">
        <f t="shared" si="11"/>
        <v/>
      </c>
    </row>
    <row r="670" spans="12:12" ht="25.5">
      <c r="L670" s="256" t="str">
        <f t="shared" si="11"/>
        <v/>
      </c>
    </row>
    <row r="671" spans="12:12" ht="25.5">
      <c r="L671" s="256" t="str">
        <f t="shared" si="11"/>
        <v/>
      </c>
    </row>
    <row r="672" spans="12:12" ht="25.5">
      <c r="L672" s="256" t="str">
        <f t="shared" si="11"/>
        <v/>
      </c>
    </row>
    <row r="673" spans="12:12" ht="25.5">
      <c r="L673" s="256" t="str">
        <f t="shared" si="11"/>
        <v/>
      </c>
    </row>
    <row r="674" spans="12:12" ht="25.5">
      <c r="L674" s="256" t="str">
        <f t="shared" si="11"/>
        <v/>
      </c>
    </row>
    <row r="675" spans="12:12" ht="25.5">
      <c r="L675" s="256" t="str">
        <f t="shared" si="11"/>
        <v/>
      </c>
    </row>
    <row r="676" spans="12:12" ht="25.5">
      <c r="L676" s="256" t="str">
        <f t="shared" si="11"/>
        <v/>
      </c>
    </row>
    <row r="677" spans="12:12" ht="25.5">
      <c r="L677" s="256" t="str">
        <f t="shared" si="11"/>
        <v/>
      </c>
    </row>
    <row r="678" spans="12:12" ht="25.5">
      <c r="L678" s="256" t="str">
        <f t="shared" si="11"/>
        <v/>
      </c>
    </row>
    <row r="679" spans="12:12" ht="25.5">
      <c r="L679" s="256" t="str">
        <f t="shared" ref="L679:L690" si="12">IF(F679="","",TEXT(C679,"000")&amp;"."&amp;F679&amp;" ("&amp;G679&amp;")")</f>
        <v/>
      </c>
    </row>
    <row r="680" spans="12:12" ht="25.5">
      <c r="L680" s="256" t="str">
        <f t="shared" si="12"/>
        <v/>
      </c>
    </row>
    <row r="681" spans="12:12" ht="25.5">
      <c r="L681" s="256" t="str">
        <f t="shared" si="12"/>
        <v/>
      </c>
    </row>
    <row r="682" spans="12:12" ht="25.5">
      <c r="L682" s="256" t="str">
        <f t="shared" si="12"/>
        <v/>
      </c>
    </row>
    <row r="683" spans="12:12" ht="25.5">
      <c r="L683" s="256" t="str">
        <f t="shared" si="12"/>
        <v/>
      </c>
    </row>
    <row r="684" spans="12:12" ht="25.5">
      <c r="L684" s="256" t="str">
        <f t="shared" si="12"/>
        <v/>
      </c>
    </row>
    <row r="685" spans="12:12" ht="25.5">
      <c r="L685" s="256" t="str">
        <f t="shared" si="12"/>
        <v/>
      </c>
    </row>
    <row r="686" spans="12:12" ht="25.5">
      <c r="L686" s="256" t="str">
        <f t="shared" si="12"/>
        <v/>
      </c>
    </row>
    <row r="687" spans="12:12" ht="25.5">
      <c r="L687" s="256" t="str">
        <f t="shared" si="12"/>
        <v/>
      </c>
    </row>
    <row r="688" spans="12:12" ht="25.5">
      <c r="L688" s="256" t="str">
        <f t="shared" si="12"/>
        <v/>
      </c>
    </row>
    <row r="689" spans="12:12" ht="25.5">
      <c r="L689" s="256" t="str">
        <f t="shared" si="12"/>
        <v/>
      </c>
    </row>
    <row r="690" spans="12:12" ht="25.5">
      <c r="L690" s="256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75" orientation="portrait" horizontalDpi="1200" verticalDpi="1200" r:id="rId1"/>
  <rowBreaks count="1" manualBreakCount="1">
    <brk id="35" min="2" max="6" man="1"/>
  </rowBreaks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J801"/>
  <sheetViews>
    <sheetView showGridLines="0" zoomScale="80" zoomScaleNormal="80" zoomScaleSheetLayoutView="98" workbookViewId="0">
      <pane ySplit="7" topLeftCell="A79" activePane="bottomLeft" state="frozen"/>
      <selection pane="bottomLeft" activeCell="G88" sqref="G88"/>
    </sheetView>
  </sheetViews>
  <sheetFormatPr defaultColWidth="8.7109375" defaultRowHeight="24.95" customHeight="1"/>
  <cols>
    <col min="1" max="1" width="4.28515625" style="1121" customWidth="1"/>
    <col min="2" max="2" width="4.5703125" style="445" customWidth="1"/>
    <col min="3" max="3" width="9.7109375" style="204" customWidth="1"/>
    <col min="4" max="4" width="16" style="204" hidden="1" customWidth="1"/>
    <col min="5" max="5" width="20" style="204" hidden="1" customWidth="1"/>
    <col min="6" max="6" width="16.5703125" style="368" customWidth="1"/>
    <col min="7" max="7" width="23.42578125" style="1134" customWidth="1"/>
    <col min="8" max="8" width="37.5703125" style="401" customWidth="1"/>
    <col min="9" max="9" width="50.42578125" style="317" customWidth="1"/>
    <col min="10" max="10" width="21.7109375" style="317" customWidth="1"/>
    <col min="11" max="11" width="32.85546875" style="256" customWidth="1"/>
    <col min="12" max="12" width="23.5703125" style="256" customWidth="1"/>
    <col min="13" max="13" width="25" style="256" customWidth="1"/>
    <col min="14" max="14" width="26.42578125" style="256" customWidth="1"/>
    <col min="15" max="15" width="22.7109375" style="317" customWidth="1"/>
    <col min="16" max="16" width="15.28515625" style="1135" customWidth="1"/>
    <col min="17" max="17" width="15.85546875" style="1136" customWidth="1"/>
    <col min="18" max="18" width="21.5703125" style="1137" customWidth="1"/>
    <col min="19" max="19" width="14.28515625" style="1120" customWidth="1"/>
    <col min="20" max="20" width="15.85546875" style="1120" customWidth="1"/>
    <col min="21" max="21" width="17.140625" style="1120" customWidth="1"/>
    <col min="22" max="22" width="18" style="1120" customWidth="1"/>
    <col min="23" max="24" width="18.140625" style="1120" customWidth="1"/>
    <col min="25" max="25" width="14.85546875" style="1120" customWidth="1"/>
    <col min="26" max="26" width="12.42578125" style="1120" customWidth="1"/>
    <col min="27" max="27" width="56.7109375" style="256" customWidth="1"/>
    <col min="28" max="28" width="65.140625" style="1145" customWidth="1"/>
    <col min="29" max="29" width="19.85546875" style="1120" customWidth="1"/>
    <col min="30" max="30" width="3" style="1120" customWidth="1"/>
    <col min="31" max="31" width="8.7109375" style="445"/>
    <col min="32" max="32" width="31.7109375" style="445" customWidth="1"/>
    <col min="33" max="36" width="8.7109375" style="445"/>
    <col min="37" max="16384" width="8.7109375" style="1121"/>
  </cols>
  <sheetData>
    <row r="1" spans="2:36" s="145" customFormat="1" ht="24.95" customHeight="1">
      <c r="B1"/>
      <c r="C1" s="126"/>
      <c r="D1" s="126"/>
      <c r="E1" s="126"/>
      <c r="F1" s="248"/>
      <c r="G1" s="152"/>
      <c r="H1" s="158"/>
      <c r="I1" s="158"/>
      <c r="J1" s="158"/>
      <c r="K1" s="158"/>
      <c r="L1" s="158"/>
      <c r="M1" s="158"/>
      <c r="N1" s="158"/>
      <c r="O1" s="158"/>
      <c r="P1" s="664"/>
      <c r="Q1" s="663"/>
      <c r="R1" s="880"/>
      <c r="S1" s="144"/>
      <c r="T1" s="144"/>
      <c r="U1" s="144"/>
      <c r="V1" s="144"/>
      <c r="W1" s="144"/>
      <c r="X1" s="144"/>
      <c r="Y1" s="144"/>
      <c r="Z1" s="144"/>
      <c r="AA1" s="256"/>
      <c r="AB1" s="354"/>
      <c r="AC1" s="144"/>
      <c r="AD1" s="144"/>
      <c r="AE1"/>
      <c r="AF1"/>
      <c r="AG1"/>
      <c r="AH1"/>
      <c r="AI1"/>
      <c r="AJ1"/>
    </row>
    <row r="2" spans="2:36" s="145" customFormat="1" ht="24.95" customHeight="1">
      <c r="B2"/>
      <c r="C2" s="126"/>
      <c r="D2" s="126"/>
      <c r="E2" s="126"/>
      <c r="F2" s="248"/>
      <c r="G2" s="152"/>
      <c r="H2" s="158"/>
      <c r="I2" s="158"/>
      <c r="J2" s="158"/>
      <c r="K2" s="158"/>
      <c r="L2" s="158"/>
      <c r="M2" s="158"/>
      <c r="N2" s="158"/>
      <c r="O2" s="158"/>
      <c r="P2" s="664"/>
      <c r="Q2" s="663"/>
      <c r="R2" s="880"/>
      <c r="S2" s="144"/>
      <c r="T2" s="144"/>
      <c r="U2" s="144"/>
      <c r="V2" s="144"/>
      <c r="W2" s="144"/>
      <c r="X2" s="144"/>
      <c r="Y2" s="144"/>
      <c r="Z2" s="144"/>
      <c r="AA2" s="256"/>
      <c r="AB2" s="354"/>
      <c r="AC2" s="144"/>
      <c r="AD2" s="144"/>
      <c r="AE2"/>
      <c r="AF2"/>
      <c r="AG2"/>
      <c r="AH2"/>
      <c r="AI2"/>
      <c r="AJ2"/>
    </row>
    <row r="3" spans="2:36" s="145" customFormat="1" ht="10.5" customHeight="1">
      <c r="B3"/>
      <c r="C3" s="126"/>
      <c r="D3" s="126"/>
      <c r="E3" s="126"/>
      <c r="F3" s="248"/>
      <c r="G3" s="152"/>
      <c r="H3" s="158"/>
      <c r="I3" s="158"/>
      <c r="J3" s="158"/>
      <c r="K3" s="158"/>
      <c r="L3" s="158"/>
      <c r="M3" s="158"/>
      <c r="N3" s="158"/>
      <c r="O3" s="158"/>
      <c r="P3" s="664"/>
      <c r="Q3" s="663"/>
      <c r="R3" s="880"/>
      <c r="S3" s="144"/>
      <c r="T3" s="144"/>
      <c r="U3" s="144"/>
      <c r="V3" s="144"/>
      <c r="W3" s="144"/>
      <c r="X3" s="144"/>
      <c r="Y3" s="144"/>
      <c r="Z3" s="144"/>
      <c r="AA3" s="256"/>
      <c r="AB3" s="354"/>
      <c r="AC3" s="144"/>
      <c r="AD3" s="144"/>
      <c r="AE3"/>
      <c r="AF3"/>
      <c r="AG3"/>
      <c r="AH3"/>
      <c r="AI3"/>
      <c r="AJ3"/>
    </row>
    <row r="4" spans="2:36" s="145" customFormat="1" ht="59.25" customHeight="1">
      <c r="B4"/>
      <c r="C4" s="1107" t="s">
        <v>2786</v>
      </c>
      <c r="D4" s="877"/>
      <c r="E4" s="877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82"/>
      <c r="Q4" s="882"/>
      <c r="R4" s="881"/>
      <c r="S4" s="877"/>
      <c r="T4" s="877"/>
      <c r="U4" s="877"/>
      <c r="V4" s="877"/>
      <c r="W4" s="877"/>
      <c r="X4" s="877"/>
      <c r="Y4" s="877"/>
      <c r="Z4" s="879"/>
      <c r="AA4" s="256"/>
      <c r="AB4" s="354"/>
      <c r="AC4" s="144"/>
      <c r="AD4" s="144"/>
      <c r="AE4"/>
      <c r="AF4" s="251"/>
      <c r="AG4"/>
      <c r="AH4"/>
      <c r="AI4"/>
      <c r="AJ4"/>
    </row>
    <row r="5" spans="2:36" s="145" customFormat="1" ht="9" customHeight="1">
      <c r="B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256"/>
      <c r="AB5" s="354"/>
      <c r="AC5" s="144"/>
      <c r="AD5" s="144"/>
      <c r="AE5"/>
      <c r="AF5" s="251"/>
      <c r="AG5"/>
      <c r="AH5"/>
      <c r="AI5"/>
      <c r="AJ5"/>
    </row>
    <row r="6" spans="2:36" s="145" customFormat="1" ht="24.95" customHeight="1">
      <c r="B6"/>
      <c r="C6" s="891" t="s">
        <v>47</v>
      </c>
      <c r="D6" s="891" t="s">
        <v>2785</v>
      </c>
      <c r="E6" s="891" t="s">
        <v>2788</v>
      </c>
      <c r="F6" s="891" t="s">
        <v>2090</v>
      </c>
      <c r="G6" s="891" t="s">
        <v>2298</v>
      </c>
      <c r="H6" s="891" t="s">
        <v>61</v>
      </c>
      <c r="I6" s="891" t="s">
        <v>2950</v>
      </c>
      <c r="J6" s="891" t="s">
        <v>62</v>
      </c>
      <c r="K6" s="891" t="s">
        <v>1646</v>
      </c>
      <c r="L6" s="891" t="s">
        <v>1647</v>
      </c>
      <c r="M6" s="891" t="s">
        <v>1651</v>
      </c>
      <c r="N6" s="891" t="s">
        <v>83</v>
      </c>
      <c r="O6" s="891" t="s">
        <v>1671</v>
      </c>
      <c r="P6" s="891" t="s">
        <v>63</v>
      </c>
      <c r="Q6" s="891" t="s">
        <v>280</v>
      </c>
      <c r="R6" s="891" t="s">
        <v>267</v>
      </c>
      <c r="S6" s="891" t="s">
        <v>65</v>
      </c>
      <c r="T6" s="891" t="s">
        <v>306</v>
      </c>
      <c r="U6" s="891" t="s">
        <v>2783</v>
      </c>
      <c r="V6" s="891" t="s">
        <v>2787</v>
      </c>
      <c r="W6" s="891" t="s">
        <v>2749</v>
      </c>
      <c r="X6" s="891" t="s">
        <v>2781</v>
      </c>
      <c r="Y6" s="891" t="s">
        <v>278</v>
      </c>
      <c r="Z6" s="891" t="s">
        <v>224</v>
      </c>
      <c r="AA6" s="256"/>
      <c r="AB6" s="354"/>
      <c r="AC6" s="144"/>
      <c r="AD6" s="144"/>
      <c r="AE6"/>
      <c r="AF6" s="251"/>
      <c r="AG6"/>
      <c r="AH6"/>
      <c r="AI6"/>
      <c r="AJ6"/>
    </row>
    <row r="7" spans="2:36" s="613" customFormat="1" ht="25.5">
      <c r="C7" s="1073" t="s">
        <v>10</v>
      </c>
      <c r="D7" s="1073" t="s">
        <v>2021</v>
      </c>
      <c r="E7" s="1073" t="s">
        <v>2784</v>
      </c>
      <c r="F7" s="1073" t="s">
        <v>439</v>
      </c>
      <c r="G7" s="1073" t="s">
        <v>111</v>
      </c>
      <c r="H7" s="1073" t="s">
        <v>75</v>
      </c>
      <c r="I7" s="1073" t="s">
        <v>2949</v>
      </c>
      <c r="J7" s="1073" t="s">
        <v>14</v>
      </c>
      <c r="K7" s="1073" t="s">
        <v>1648</v>
      </c>
      <c r="L7" s="1073" t="s">
        <v>1649</v>
      </c>
      <c r="M7" s="1073" t="s">
        <v>1650</v>
      </c>
      <c r="N7" s="1073" t="s">
        <v>86</v>
      </c>
      <c r="O7" s="1073" t="s">
        <v>440</v>
      </c>
      <c r="P7" s="1073" t="s">
        <v>77</v>
      </c>
      <c r="Q7" s="1073" t="s">
        <v>29</v>
      </c>
      <c r="R7" s="1073" t="s">
        <v>2779</v>
      </c>
      <c r="S7" s="1073" t="s">
        <v>1590</v>
      </c>
      <c r="T7" s="1073" t="s">
        <v>1905</v>
      </c>
      <c r="U7" s="1073" t="s">
        <v>2782</v>
      </c>
      <c r="V7" s="1073" t="s">
        <v>2747</v>
      </c>
      <c r="W7" s="1073" t="s">
        <v>2748</v>
      </c>
      <c r="X7" s="1073" t="s">
        <v>2780</v>
      </c>
      <c r="Y7" s="1073" t="s">
        <v>273</v>
      </c>
      <c r="Z7" s="1073" t="s">
        <v>182</v>
      </c>
      <c r="AA7" s="883" t="s">
        <v>1619</v>
      </c>
      <c r="AB7" s="1144"/>
      <c r="AF7" s="251"/>
    </row>
    <row r="8" spans="2:36" ht="24.95" customHeight="1">
      <c r="C8" s="843">
        <v>1</v>
      </c>
      <c r="D8" s="843"/>
      <c r="E8" s="843"/>
      <c r="F8" s="1116" t="s">
        <v>2708</v>
      </c>
      <c r="G8" s="1117" t="s">
        <v>2708</v>
      </c>
      <c r="H8" s="868" t="s">
        <v>2306</v>
      </c>
      <c r="I8" s="1118" t="s">
        <v>2306</v>
      </c>
      <c r="J8" s="870" t="s">
        <v>2939</v>
      </c>
      <c r="K8" s="1138" t="s">
        <v>2953</v>
      </c>
      <c r="L8" s="1138" t="s">
        <v>2972</v>
      </c>
      <c r="M8" s="870" t="s">
        <v>2308</v>
      </c>
      <c r="N8" s="868" t="s">
        <v>2309</v>
      </c>
      <c r="O8" s="1118"/>
      <c r="P8" s="1119">
        <v>27.34</v>
      </c>
      <c r="Q8" s="884">
        <v>28.5</v>
      </c>
      <c r="R8" s="885"/>
      <c r="S8" s="843">
        <f>IF(J8="","",MID(J8,1,3)*1)</f>
        <v>2</v>
      </c>
      <c r="T8" s="843">
        <v>1</v>
      </c>
      <c r="U8" s="843">
        <v>0</v>
      </c>
      <c r="V8" s="843">
        <v>1</v>
      </c>
      <c r="W8" s="843">
        <v>0</v>
      </c>
      <c r="X8" s="843">
        <v>0</v>
      </c>
      <c r="Y8" s="843">
        <v>1</v>
      </c>
      <c r="Z8" s="843">
        <v>1</v>
      </c>
      <c r="AA8" s="256" t="str">
        <f>IF(AND(C8&lt;&gt;"",H8&lt;&gt;""),TEXT(C8,"00000")&amp;"."&amp;H8&amp;" "&amp;MID(L8,5,100)&amp;" #"&amp;F8,"")</f>
        <v>00001.ទីប​100(8.5) CHIP MONG #DKS0001</v>
      </c>
      <c r="AB8" s="1145" t="str">
        <f>IF(AND(C8&lt;&gt;"",H8&lt;&gt;""),TEXT(C8,"00000")&amp;"."&amp;H8,"")</f>
        <v>00001.ទីប​100(8.5)</v>
      </c>
      <c r="AF8" s="251"/>
    </row>
    <row r="9" spans="2:36" ht="24.95" customHeight="1">
      <c r="C9" s="843">
        <v>2</v>
      </c>
      <c r="D9" s="843"/>
      <c r="E9" s="843"/>
      <c r="F9" s="1116" t="s">
        <v>2709</v>
      </c>
      <c r="G9" s="1117" t="s">
        <v>2709</v>
      </c>
      <c r="H9" s="868" t="s">
        <v>2310</v>
      </c>
      <c r="I9" s="1118" t="s">
        <v>2310</v>
      </c>
      <c r="J9" s="870" t="s">
        <v>2939</v>
      </c>
      <c r="K9" s="1138" t="s">
        <v>2953</v>
      </c>
      <c r="L9" s="1138" t="s">
        <v>2972</v>
      </c>
      <c r="M9" s="870" t="s">
        <v>2311</v>
      </c>
      <c r="N9" s="868" t="s">
        <v>2309</v>
      </c>
      <c r="O9" s="1118"/>
      <c r="P9" s="1119">
        <v>11.32</v>
      </c>
      <c r="Q9" s="884">
        <v>12</v>
      </c>
      <c r="R9" s="885"/>
      <c r="S9" s="843">
        <f t="shared" ref="S9:S72" si="0">IF(J9="","",MID(J9,1,3)*1)</f>
        <v>2</v>
      </c>
      <c r="T9" s="843">
        <v>1</v>
      </c>
      <c r="U9" s="843">
        <v>0</v>
      </c>
      <c r="V9" s="843">
        <v>1</v>
      </c>
      <c r="W9" s="843">
        <v>0</v>
      </c>
      <c r="X9" s="843">
        <v>0</v>
      </c>
      <c r="Y9" s="843">
        <v>1</v>
      </c>
      <c r="Z9" s="843">
        <v>1</v>
      </c>
      <c r="AA9" s="256" t="str">
        <f t="shared" ref="AA9:AA72" si="1">IF(AND(C9&lt;&gt;"",H9&lt;&gt;""),TEXT(C9,"00000")&amp;"."&amp;H9&amp;" "&amp;MID(L9,5,100)&amp;" #"&amp;F9,"")</f>
        <v>00002.ទប80(8.5) CHIP MONG #DKS0002</v>
      </c>
      <c r="AB9" s="1145" t="str">
        <f t="shared" ref="AB9:AB72" si="2">IF(AND(C9&lt;&gt;"",H9&lt;&gt;""),TEXT(C9,"00000")&amp;"."&amp;H9,"")</f>
        <v>00002.ទប80(8.5)</v>
      </c>
      <c r="AF9" s="251"/>
    </row>
    <row r="10" spans="2:36" ht="24.95" customHeight="1">
      <c r="C10" s="843">
        <v>3</v>
      </c>
      <c r="D10" s="843"/>
      <c r="E10" s="843"/>
      <c r="F10" s="1116" t="s">
        <v>2710</v>
      </c>
      <c r="G10" s="1117" t="s">
        <v>2710</v>
      </c>
      <c r="H10" s="868" t="s">
        <v>2312</v>
      </c>
      <c r="I10" s="1118" t="s">
        <v>2312</v>
      </c>
      <c r="J10" s="870" t="s">
        <v>2939</v>
      </c>
      <c r="K10" s="1138" t="s">
        <v>2953</v>
      </c>
      <c r="L10" s="1138" t="s">
        <v>2972</v>
      </c>
      <c r="M10" s="870" t="s">
        <v>2313</v>
      </c>
      <c r="N10" s="868" t="s">
        <v>2309</v>
      </c>
      <c r="O10" s="1118"/>
      <c r="P10" s="1119">
        <v>8.8000000000000007</v>
      </c>
      <c r="Q10" s="884">
        <v>9.5</v>
      </c>
      <c r="R10" s="885"/>
      <c r="S10" s="843">
        <f t="shared" si="0"/>
        <v>2</v>
      </c>
      <c r="T10" s="843">
        <v>1</v>
      </c>
      <c r="U10" s="843">
        <v>0</v>
      </c>
      <c r="V10" s="843">
        <v>1</v>
      </c>
      <c r="W10" s="843">
        <v>0</v>
      </c>
      <c r="X10" s="843">
        <v>0</v>
      </c>
      <c r="Y10" s="843">
        <v>1</v>
      </c>
      <c r="Z10" s="843">
        <v>1</v>
      </c>
      <c r="AA10" s="256" t="str">
        <f t="shared" si="1"/>
        <v>00003.ទីប75(8.5) CHIP MONG #DKS0003</v>
      </c>
      <c r="AB10" s="1145" t="str">
        <f t="shared" si="2"/>
        <v>00003.ទីប75(8.5)</v>
      </c>
      <c r="AF10" s="251"/>
    </row>
    <row r="11" spans="2:36" ht="24.95" customHeight="1">
      <c r="C11" s="843">
        <v>4</v>
      </c>
      <c r="D11" s="843"/>
      <c r="E11" s="843"/>
      <c r="F11" s="1116" t="s">
        <v>2711</v>
      </c>
      <c r="G11" s="1117" t="s">
        <v>2711</v>
      </c>
      <c r="H11" s="868" t="s">
        <v>2314</v>
      </c>
      <c r="I11" s="1118" t="s">
        <v>2314</v>
      </c>
      <c r="J11" s="870" t="s">
        <v>2939</v>
      </c>
      <c r="K11" s="1138" t="s">
        <v>2953</v>
      </c>
      <c r="L11" s="1138" t="s">
        <v>2972</v>
      </c>
      <c r="M11" s="870" t="s">
        <v>2315</v>
      </c>
      <c r="N11" s="868" t="s">
        <v>2309</v>
      </c>
      <c r="O11" s="1118"/>
      <c r="P11" s="1119">
        <v>5.8</v>
      </c>
      <c r="Q11" s="884">
        <v>6.5</v>
      </c>
      <c r="R11" s="885"/>
      <c r="S11" s="843">
        <f t="shared" si="0"/>
        <v>2</v>
      </c>
      <c r="T11" s="843">
        <v>1</v>
      </c>
      <c r="U11" s="843">
        <v>0</v>
      </c>
      <c r="V11" s="843">
        <v>1</v>
      </c>
      <c r="W11" s="843">
        <v>0</v>
      </c>
      <c r="X11" s="843">
        <v>0</v>
      </c>
      <c r="Y11" s="843">
        <v>1</v>
      </c>
      <c r="Z11" s="843">
        <v>1</v>
      </c>
      <c r="AA11" s="256" t="str">
        <f t="shared" si="1"/>
        <v>00004.ទីប60(8.5) CHIP MONG #DKS0004</v>
      </c>
      <c r="AB11" s="1145" t="str">
        <f t="shared" si="2"/>
        <v>00004.ទីប60(8.5)</v>
      </c>
      <c r="AF11" s="251"/>
    </row>
    <row r="12" spans="2:36" ht="24.95" customHeight="1">
      <c r="C12" s="843">
        <v>5</v>
      </c>
      <c r="D12" s="843"/>
      <c r="E12" s="843"/>
      <c r="F12" s="1116" t="s">
        <v>2712</v>
      </c>
      <c r="G12" s="1117" t="s">
        <v>2712</v>
      </c>
      <c r="H12" s="868" t="s">
        <v>2316</v>
      </c>
      <c r="I12" s="1118" t="s">
        <v>2316</v>
      </c>
      <c r="J12" s="870" t="s">
        <v>2939</v>
      </c>
      <c r="K12" s="1138" t="s">
        <v>2953</v>
      </c>
      <c r="L12" s="1138" t="s">
        <v>2972</v>
      </c>
      <c r="M12" s="870" t="s">
        <v>2317</v>
      </c>
      <c r="N12" s="868" t="s">
        <v>2309</v>
      </c>
      <c r="O12" s="1118"/>
      <c r="P12" s="1119">
        <v>3.74</v>
      </c>
      <c r="Q12" s="884">
        <v>4.25</v>
      </c>
      <c r="R12" s="885"/>
      <c r="S12" s="843">
        <f t="shared" si="0"/>
        <v>2</v>
      </c>
      <c r="T12" s="843">
        <v>1</v>
      </c>
      <c r="U12" s="843">
        <v>0</v>
      </c>
      <c r="V12" s="843">
        <v>1</v>
      </c>
      <c r="W12" s="843">
        <v>0</v>
      </c>
      <c r="X12" s="843">
        <v>0</v>
      </c>
      <c r="Y12" s="843">
        <v>1</v>
      </c>
      <c r="Z12" s="843">
        <v>1</v>
      </c>
      <c r="AA12" s="256" t="str">
        <f t="shared" si="1"/>
        <v>00005.ទីប49(8.5) CHIP MONG #DKS0005</v>
      </c>
      <c r="AB12" s="1145" t="str">
        <f t="shared" si="2"/>
        <v>00005.ទីប49(8.5)</v>
      </c>
      <c r="AF12" s="251"/>
    </row>
    <row r="13" spans="2:36" ht="24.95" customHeight="1">
      <c r="C13" s="843">
        <v>6</v>
      </c>
      <c r="D13" s="843"/>
      <c r="E13" s="843"/>
      <c r="F13" s="1116" t="s">
        <v>2713</v>
      </c>
      <c r="G13" s="1117" t="s">
        <v>2713</v>
      </c>
      <c r="H13" s="868" t="s">
        <v>2318</v>
      </c>
      <c r="I13" s="1118" t="s">
        <v>2318</v>
      </c>
      <c r="J13" s="870" t="s">
        <v>2939</v>
      </c>
      <c r="K13" s="1138" t="s">
        <v>2953</v>
      </c>
      <c r="L13" s="1138" t="s">
        <v>2972</v>
      </c>
      <c r="M13" s="870" t="s">
        <v>2319</v>
      </c>
      <c r="N13" s="868" t="s">
        <v>2309</v>
      </c>
      <c r="O13" s="1118"/>
      <c r="P13" s="1119">
        <v>2.89</v>
      </c>
      <c r="Q13" s="884">
        <v>3.5</v>
      </c>
      <c r="R13" s="885"/>
      <c r="S13" s="843">
        <f t="shared" si="0"/>
        <v>2</v>
      </c>
      <c r="T13" s="843">
        <v>1</v>
      </c>
      <c r="U13" s="843">
        <v>0</v>
      </c>
      <c r="V13" s="843">
        <v>1</v>
      </c>
      <c r="W13" s="843">
        <v>0</v>
      </c>
      <c r="X13" s="843">
        <v>0</v>
      </c>
      <c r="Y13" s="843">
        <v>1</v>
      </c>
      <c r="Z13" s="843">
        <v>1</v>
      </c>
      <c r="AA13" s="256" t="str">
        <f t="shared" si="1"/>
        <v>00006.ទីប42(8.5) CHIP MONG #DKS0006</v>
      </c>
      <c r="AB13" s="1145" t="str">
        <f t="shared" si="2"/>
        <v>00006.ទីប42(8.5)</v>
      </c>
      <c r="AF13" s="251"/>
    </row>
    <row r="14" spans="2:36" ht="24.95" customHeight="1">
      <c r="C14" s="843">
        <v>7</v>
      </c>
      <c r="D14" s="843"/>
      <c r="E14" s="843"/>
      <c r="F14" s="1116" t="s">
        <v>2714</v>
      </c>
      <c r="G14" s="1117" t="s">
        <v>2714</v>
      </c>
      <c r="H14" s="868" t="s">
        <v>2320</v>
      </c>
      <c r="I14" s="1118" t="s">
        <v>2320</v>
      </c>
      <c r="J14" s="870" t="s">
        <v>2939</v>
      </c>
      <c r="K14" s="1138" t="s">
        <v>2953</v>
      </c>
      <c r="L14" s="1138" t="s">
        <v>2972</v>
      </c>
      <c r="M14" s="870" t="s">
        <v>2321</v>
      </c>
      <c r="N14" s="868" t="s">
        <v>2309</v>
      </c>
      <c r="O14" s="1118"/>
      <c r="P14" s="1119">
        <v>1.79</v>
      </c>
      <c r="Q14" s="884">
        <v>2.5</v>
      </c>
      <c r="R14" s="885"/>
      <c r="S14" s="843">
        <f t="shared" si="0"/>
        <v>2</v>
      </c>
      <c r="T14" s="843">
        <v>1</v>
      </c>
      <c r="U14" s="843">
        <v>0</v>
      </c>
      <c r="V14" s="843">
        <v>1</v>
      </c>
      <c r="W14" s="843">
        <v>0</v>
      </c>
      <c r="X14" s="843">
        <v>0</v>
      </c>
      <c r="Y14" s="843">
        <v>1</v>
      </c>
      <c r="Z14" s="843">
        <v>1</v>
      </c>
      <c r="AA14" s="256" t="str">
        <f t="shared" si="1"/>
        <v>00007.ទីប34(8.5) CHIP MONG #DKS0007</v>
      </c>
      <c r="AB14" s="1145" t="str">
        <f t="shared" si="2"/>
        <v>00007.ទីប34(8.5)</v>
      </c>
      <c r="AF14" s="251"/>
    </row>
    <row r="15" spans="2:36" ht="24.95" customHeight="1">
      <c r="C15" s="843">
        <v>8</v>
      </c>
      <c r="D15" s="843"/>
      <c r="E15" s="843"/>
      <c r="F15" s="1116" t="s">
        <v>2715</v>
      </c>
      <c r="G15" s="1117" t="s">
        <v>2715</v>
      </c>
      <c r="H15" s="868" t="s">
        <v>2322</v>
      </c>
      <c r="I15" s="1118" t="s">
        <v>2322</v>
      </c>
      <c r="J15" s="870" t="s">
        <v>2939</v>
      </c>
      <c r="K15" s="1138" t="s">
        <v>2953</v>
      </c>
      <c r="L15" s="1138" t="s">
        <v>2972</v>
      </c>
      <c r="M15" s="870" t="s">
        <v>2323</v>
      </c>
      <c r="N15" s="868" t="s">
        <v>2309</v>
      </c>
      <c r="O15" s="1118"/>
      <c r="P15" s="1119">
        <v>1.32</v>
      </c>
      <c r="Q15" s="884">
        <v>1.75</v>
      </c>
      <c r="R15" s="885"/>
      <c r="S15" s="843">
        <f t="shared" si="0"/>
        <v>2</v>
      </c>
      <c r="T15" s="843">
        <v>1</v>
      </c>
      <c r="U15" s="843">
        <v>0</v>
      </c>
      <c r="V15" s="843">
        <v>1</v>
      </c>
      <c r="W15" s="843">
        <v>0</v>
      </c>
      <c r="X15" s="843">
        <v>0</v>
      </c>
      <c r="Y15" s="843">
        <v>1</v>
      </c>
      <c r="Z15" s="843">
        <v>1</v>
      </c>
      <c r="AA15" s="256" t="str">
        <f t="shared" si="1"/>
        <v>00008.ទីប27(8.5) CHIP MONG #DKS0008</v>
      </c>
      <c r="AB15" s="1145" t="str">
        <f t="shared" si="2"/>
        <v>00008.ទីប27(8.5)</v>
      </c>
      <c r="AF15" s="251"/>
    </row>
    <row r="16" spans="2:36" ht="24.95" customHeight="1">
      <c r="C16" s="843">
        <v>9</v>
      </c>
      <c r="D16" s="843"/>
      <c r="E16" s="843"/>
      <c r="F16" s="1116" t="s">
        <v>2716</v>
      </c>
      <c r="G16" s="1117" t="s">
        <v>2716</v>
      </c>
      <c r="H16" s="868" t="s">
        <v>2324</v>
      </c>
      <c r="I16" s="1118" t="s">
        <v>2324</v>
      </c>
      <c r="J16" s="870" t="s">
        <v>2939</v>
      </c>
      <c r="K16" s="1138" t="s">
        <v>2953</v>
      </c>
      <c r="L16" s="1138" t="s">
        <v>2972</v>
      </c>
      <c r="M16" s="870" t="s">
        <v>2325</v>
      </c>
      <c r="N16" s="868" t="s">
        <v>2309</v>
      </c>
      <c r="O16" s="1118"/>
      <c r="P16" s="1119">
        <v>1.1499999999999999</v>
      </c>
      <c r="Q16" s="884">
        <v>1.5</v>
      </c>
      <c r="R16" s="885"/>
      <c r="S16" s="843">
        <f t="shared" si="0"/>
        <v>2</v>
      </c>
      <c r="T16" s="843">
        <v>1</v>
      </c>
      <c r="U16" s="843">
        <v>0</v>
      </c>
      <c r="V16" s="843">
        <v>1</v>
      </c>
      <c r="W16" s="843">
        <v>0</v>
      </c>
      <c r="X16" s="843">
        <v>0</v>
      </c>
      <c r="Y16" s="843">
        <v>1</v>
      </c>
      <c r="Z16" s="843">
        <v>1</v>
      </c>
      <c r="AA16" s="256" t="str">
        <f t="shared" si="1"/>
        <v>00009.ទីប21(8.5) CHIP MONG #DKS0009</v>
      </c>
      <c r="AB16" s="1145" t="str">
        <f t="shared" si="2"/>
        <v>00009.ទីប21(8.5)</v>
      </c>
      <c r="AF16" s="251"/>
    </row>
    <row r="17" spans="3:32" ht="24.95" customHeight="1">
      <c r="C17" s="843">
        <v>10</v>
      </c>
      <c r="D17" s="843"/>
      <c r="E17" s="843"/>
      <c r="F17" s="1116" t="s">
        <v>2326</v>
      </c>
      <c r="G17" s="1117" t="s">
        <v>2326</v>
      </c>
      <c r="H17" s="868" t="s">
        <v>2306</v>
      </c>
      <c r="I17" s="1118" t="s">
        <v>2306</v>
      </c>
      <c r="J17" s="870" t="s">
        <v>2939</v>
      </c>
      <c r="K17" s="1138" t="s">
        <v>2953</v>
      </c>
      <c r="L17" s="1138" t="s">
        <v>2973</v>
      </c>
      <c r="M17" s="870" t="s">
        <v>2308</v>
      </c>
      <c r="N17" s="868" t="s">
        <v>2309</v>
      </c>
      <c r="O17" s="1118"/>
      <c r="P17" s="1119">
        <v>14.85</v>
      </c>
      <c r="Q17" s="884">
        <v>15.5</v>
      </c>
      <c r="R17" s="885"/>
      <c r="S17" s="843">
        <f t="shared" si="0"/>
        <v>2</v>
      </c>
      <c r="T17" s="843">
        <v>1</v>
      </c>
      <c r="U17" s="843">
        <v>0</v>
      </c>
      <c r="V17" s="843">
        <v>1</v>
      </c>
      <c r="W17" s="843">
        <v>0</v>
      </c>
      <c r="X17" s="843">
        <v>0</v>
      </c>
      <c r="Y17" s="843">
        <v>1</v>
      </c>
      <c r="Z17" s="843">
        <v>1</v>
      </c>
      <c r="AA17" s="256" t="str">
        <f t="shared" si="1"/>
        <v>00010.ទីប​100(8.5) ECO PIPE #DKS0010</v>
      </c>
      <c r="AB17" s="1145" t="str">
        <f t="shared" si="2"/>
        <v>00010.ទីប​100(8.5)</v>
      </c>
      <c r="AF17" s="251"/>
    </row>
    <row r="18" spans="3:32" ht="24.95" customHeight="1">
      <c r="C18" s="843">
        <v>11</v>
      </c>
      <c r="D18" s="843"/>
      <c r="E18" s="843"/>
      <c r="F18" s="1116" t="s">
        <v>2327</v>
      </c>
      <c r="G18" s="1117" t="s">
        <v>2327</v>
      </c>
      <c r="H18" s="868" t="s">
        <v>2328</v>
      </c>
      <c r="I18" s="1118" t="s">
        <v>2328</v>
      </c>
      <c r="J18" s="870" t="s">
        <v>2939</v>
      </c>
      <c r="K18" s="1138" t="s">
        <v>2953</v>
      </c>
      <c r="L18" s="1138" t="s">
        <v>2973</v>
      </c>
      <c r="M18" s="870" t="s">
        <v>2311</v>
      </c>
      <c r="N18" s="868" t="s">
        <v>2309</v>
      </c>
      <c r="O18" s="1118"/>
      <c r="P18" s="1119">
        <v>9.52</v>
      </c>
      <c r="Q18" s="884">
        <v>10.199999999999999</v>
      </c>
      <c r="R18" s="885"/>
      <c r="S18" s="843">
        <f t="shared" si="0"/>
        <v>2</v>
      </c>
      <c r="T18" s="843">
        <v>1</v>
      </c>
      <c r="U18" s="843">
        <v>0</v>
      </c>
      <c r="V18" s="843">
        <v>1</v>
      </c>
      <c r="W18" s="843">
        <v>0</v>
      </c>
      <c r="X18" s="843">
        <v>0</v>
      </c>
      <c r="Y18" s="843">
        <v>1</v>
      </c>
      <c r="Z18" s="843">
        <v>1</v>
      </c>
      <c r="AA18" s="256" t="str">
        <f t="shared" si="1"/>
        <v>00011.ទីប80(8.5) ECO PIPE #DKS0011</v>
      </c>
      <c r="AB18" s="1145" t="str">
        <f t="shared" si="2"/>
        <v>00011.ទីប80(8.5)</v>
      </c>
      <c r="AF18" s="251"/>
    </row>
    <row r="19" spans="3:32" ht="24.95" customHeight="1">
      <c r="C19" s="843">
        <v>12</v>
      </c>
      <c r="D19" s="843"/>
      <c r="E19" s="843"/>
      <c r="F19" s="1116" t="s">
        <v>2329</v>
      </c>
      <c r="G19" s="1117" t="s">
        <v>2329</v>
      </c>
      <c r="H19" s="868" t="s">
        <v>2312</v>
      </c>
      <c r="I19" s="1118" t="s">
        <v>2312</v>
      </c>
      <c r="J19" s="870" t="s">
        <v>2939</v>
      </c>
      <c r="K19" s="1138" t="s">
        <v>2953</v>
      </c>
      <c r="L19" s="1138" t="s">
        <v>2973</v>
      </c>
      <c r="M19" s="870" t="s">
        <v>2313</v>
      </c>
      <c r="N19" s="868" t="s">
        <v>2309</v>
      </c>
      <c r="O19" s="1118"/>
      <c r="P19" s="1119">
        <v>7.6</v>
      </c>
      <c r="Q19" s="884">
        <v>8.5</v>
      </c>
      <c r="R19" s="885"/>
      <c r="S19" s="843">
        <f t="shared" si="0"/>
        <v>2</v>
      </c>
      <c r="T19" s="843">
        <v>1</v>
      </c>
      <c r="U19" s="843">
        <v>0</v>
      </c>
      <c r="V19" s="843">
        <v>1</v>
      </c>
      <c r="W19" s="843">
        <v>0</v>
      </c>
      <c r="X19" s="843">
        <v>0</v>
      </c>
      <c r="Y19" s="843">
        <v>1</v>
      </c>
      <c r="Z19" s="843">
        <v>1</v>
      </c>
      <c r="AA19" s="256" t="str">
        <f t="shared" si="1"/>
        <v>00012.ទីប75(8.5) ECO PIPE #DKS0012</v>
      </c>
      <c r="AB19" s="1145" t="str">
        <f t="shared" si="2"/>
        <v>00012.ទីប75(8.5)</v>
      </c>
      <c r="AF19" s="251"/>
    </row>
    <row r="20" spans="3:32" ht="24.95" customHeight="1">
      <c r="C20" s="843">
        <v>13</v>
      </c>
      <c r="D20" s="843"/>
      <c r="E20" s="843"/>
      <c r="F20" s="1116" t="s">
        <v>2330</v>
      </c>
      <c r="G20" s="1117" t="s">
        <v>2330</v>
      </c>
      <c r="H20" s="868" t="s">
        <v>2314</v>
      </c>
      <c r="I20" s="1118" t="s">
        <v>2314</v>
      </c>
      <c r="J20" s="870" t="s">
        <v>2939</v>
      </c>
      <c r="K20" s="1138" t="s">
        <v>2953</v>
      </c>
      <c r="L20" s="1138" t="s">
        <v>2973</v>
      </c>
      <c r="M20" s="870" t="s">
        <v>2315</v>
      </c>
      <c r="N20" s="868" t="s">
        <v>2309</v>
      </c>
      <c r="O20" s="1118"/>
      <c r="P20" s="1119">
        <v>5.3</v>
      </c>
      <c r="Q20" s="884">
        <v>5.75</v>
      </c>
      <c r="R20" s="885"/>
      <c r="S20" s="843">
        <f t="shared" si="0"/>
        <v>2</v>
      </c>
      <c r="T20" s="843">
        <v>1</v>
      </c>
      <c r="U20" s="843">
        <v>0</v>
      </c>
      <c r="V20" s="843">
        <v>1</v>
      </c>
      <c r="W20" s="843">
        <v>0</v>
      </c>
      <c r="X20" s="843">
        <v>0</v>
      </c>
      <c r="Y20" s="843">
        <v>1</v>
      </c>
      <c r="Z20" s="843">
        <v>1</v>
      </c>
      <c r="AA20" s="256" t="str">
        <f t="shared" si="1"/>
        <v>00013.ទីប60(8.5) ECO PIPE #DKS0013</v>
      </c>
      <c r="AB20" s="1145" t="str">
        <f t="shared" si="2"/>
        <v>00013.ទីប60(8.5)</v>
      </c>
      <c r="AF20" s="251"/>
    </row>
    <row r="21" spans="3:32" ht="24.95" customHeight="1">
      <c r="C21" s="843">
        <v>14</v>
      </c>
      <c r="D21" s="843"/>
      <c r="E21" s="843"/>
      <c r="F21" s="1116" t="s">
        <v>2331</v>
      </c>
      <c r="G21" s="1117" t="s">
        <v>2331</v>
      </c>
      <c r="H21" s="868" t="s">
        <v>2316</v>
      </c>
      <c r="I21" s="1118" t="s">
        <v>2316</v>
      </c>
      <c r="J21" s="870" t="s">
        <v>2939</v>
      </c>
      <c r="K21" s="1138" t="s">
        <v>2953</v>
      </c>
      <c r="L21" s="1138" t="s">
        <v>2973</v>
      </c>
      <c r="M21" s="870" t="s">
        <v>2317</v>
      </c>
      <c r="N21" s="868" t="s">
        <v>2309</v>
      </c>
      <c r="O21" s="1118"/>
      <c r="P21" s="1119">
        <v>3.3</v>
      </c>
      <c r="Q21" s="884">
        <v>3.75</v>
      </c>
      <c r="R21" s="885"/>
      <c r="S21" s="843">
        <f t="shared" si="0"/>
        <v>2</v>
      </c>
      <c r="T21" s="843">
        <v>1</v>
      </c>
      <c r="U21" s="843">
        <v>0</v>
      </c>
      <c r="V21" s="843">
        <v>1</v>
      </c>
      <c r="W21" s="843">
        <v>0</v>
      </c>
      <c r="X21" s="843">
        <v>0</v>
      </c>
      <c r="Y21" s="843">
        <v>1</v>
      </c>
      <c r="Z21" s="843">
        <v>1</v>
      </c>
      <c r="AA21" s="256" t="str">
        <f t="shared" si="1"/>
        <v>00014.ទីប49(8.5) ECO PIPE #DKS0014</v>
      </c>
      <c r="AB21" s="1145" t="str">
        <f t="shared" si="2"/>
        <v>00014.ទីប49(8.5)</v>
      </c>
      <c r="AF21" s="251"/>
    </row>
    <row r="22" spans="3:32" ht="24.95" customHeight="1">
      <c r="C22" s="843">
        <v>15</v>
      </c>
      <c r="D22" s="843"/>
      <c r="E22" s="843"/>
      <c r="F22" s="1116" t="s">
        <v>2332</v>
      </c>
      <c r="G22" s="1117" t="s">
        <v>2332</v>
      </c>
      <c r="H22" s="868" t="s">
        <v>2318</v>
      </c>
      <c r="I22" s="1118" t="s">
        <v>2318</v>
      </c>
      <c r="J22" s="870" t="s">
        <v>2939</v>
      </c>
      <c r="K22" s="1138" t="s">
        <v>2953</v>
      </c>
      <c r="L22" s="1138" t="s">
        <v>2973</v>
      </c>
      <c r="M22" s="870" t="s">
        <v>2319</v>
      </c>
      <c r="N22" s="868" t="s">
        <v>2309</v>
      </c>
      <c r="O22" s="1118"/>
      <c r="P22" s="1119">
        <v>2.7</v>
      </c>
      <c r="Q22" s="884">
        <v>3.5</v>
      </c>
      <c r="R22" s="885"/>
      <c r="S22" s="843">
        <f t="shared" si="0"/>
        <v>2</v>
      </c>
      <c r="T22" s="843">
        <v>1</v>
      </c>
      <c r="U22" s="843">
        <v>0</v>
      </c>
      <c r="V22" s="843">
        <v>1</v>
      </c>
      <c r="W22" s="843">
        <v>0</v>
      </c>
      <c r="X22" s="843">
        <v>0</v>
      </c>
      <c r="Y22" s="843">
        <v>1</v>
      </c>
      <c r="Z22" s="843">
        <v>1</v>
      </c>
      <c r="AA22" s="256" t="str">
        <f t="shared" si="1"/>
        <v>00015.ទីប42(8.5) ECO PIPE #DKS0015</v>
      </c>
      <c r="AB22" s="1145" t="str">
        <f t="shared" si="2"/>
        <v>00015.ទីប42(8.5)</v>
      </c>
      <c r="AF22" s="251"/>
    </row>
    <row r="23" spans="3:32" ht="24.95" customHeight="1">
      <c r="C23" s="843">
        <v>16</v>
      </c>
      <c r="D23" s="843"/>
      <c r="E23" s="843"/>
      <c r="F23" s="1116" t="s">
        <v>2333</v>
      </c>
      <c r="G23" s="1117" t="s">
        <v>2333</v>
      </c>
      <c r="H23" s="868" t="s">
        <v>2320</v>
      </c>
      <c r="I23" s="1118" t="s">
        <v>2320</v>
      </c>
      <c r="J23" s="870" t="s">
        <v>2939</v>
      </c>
      <c r="K23" s="1138" t="s">
        <v>2953</v>
      </c>
      <c r="L23" s="1138" t="s">
        <v>2973</v>
      </c>
      <c r="M23" s="870" t="s">
        <v>2321</v>
      </c>
      <c r="N23" s="868" t="s">
        <v>2309</v>
      </c>
      <c r="O23" s="1118"/>
      <c r="P23" s="1119">
        <v>2.1</v>
      </c>
      <c r="Q23" s="884">
        <v>2.75</v>
      </c>
      <c r="R23" s="885"/>
      <c r="S23" s="843">
        <f t="shared" si="0"/>
        <v>2</v>
      </c>
      <c r="T23" s="843">
        <v>1</v>
      </c>
      <c r="U23" s="843">
        <v>0</v>
      </c>
      <c r="V23" s="843">
        <v>1</v>
      </c>
      <c r="W23" s="843">
        <v>0</v>
      </c>
      <c r="X23" s="843">
        <v>0</v>
      </c>
      <c r="Y23" s="843">
        <v>1</v>
      </c>
      <c r="Z23" s="843">
        <v>1</v>
      </c>
      <c r="AA23" s="256" t="str">
        <f t="shared" si="1"/>
        <v>00016.ទីប34(8.5) ECO PIPE #DKS0016</v>
      </c>
      <c r="AB23" s="1145" t="str">
        <f t="shared" si="2"/>
        <v>00016.ទីប34(8.5)</v>
      </c>
      <c r="AF23" s="251"/>
    </row>
    <row r="24" spans="3:32" ht="24.95" customHeight="1">
      <c r="C24" s="843">
        <v>17</v>
      </c>
      <c r="D24" s="843"/>
      <c r="E24" s="843"/>
      <c r="F24" s="1116" t="s">
        <v>2334</v>
      </c>
      <c r="G24" s="1117" t="s">
        <v>2334</v>
      </c>
      <c r="H24" s="868" t="s">
        <v>2322</v>
      </c>
      <c r="I24" s="1118" t="s">
        <v>2322</v>
      </c>
      <c r="J24" s="870" t="s">
        <v>2939</v>
      </c>
      <c r="K24" s="1138" t="s">
        <v>2953</v>
      </c>
      <c r="L24" s="1138" t="s">
        <v>2973</v>
      </c>
      <c r="M24" s="870" t="s">
        <v>2323</v>
      </c>
      <c r="N24" s="868" t="s">
        <v>2309</v>
      </c>
      <c r="O24" s="1118"/>
      <c r="P24" s="1119">
        <v>1.63</v>
      </c>
      <c r="Q24" s="884">
        <v>2.25</v>
      </c>
      <c r="R24" s="885"/>
      <c r="S24" s="843">
        <f t="shared" si="0"/>
        <v>2</v>
      </c>
      <c r="T24" s="843">
        <v>1</v>
      </c>
      <c r="U24" s="843">
        <v>0</v>
      </c>
      <c r="V24" s="843">
        <v>1</v>
      </c>
      <c r="W24" s="843">
        <v>0</v>
      </c>
      <c r="X24" s="843">
        <v>0</v>
      </c>
      <c r="Y24" s="843">
        <v>1</v>
      </c>
      <c r="Z24" s="843">
        <v>1</v>
      </c>
      <c r="AA24" s="256" t="str">
        <f t="shared" si="1"/>
        <v>00017.ទីប27(8.5) ECO PIPE #DKS0017</v>
      </c>
      <c r="AB24" s="1145" t="str">
        <f t="shared" si="2"/>
        <v>00017.ទីប27(8.5)</v>
      </c>
      <c r="AF24" s="251"/>
    </row>
    <row r="25" spans="3:32" ht="24.95" customHeight="1">
      <c r="C25" s="843">
        <v>18</v>
      </c>
      <c r="D25" s="843"/>
      <c r="E25" s="843"/>
      <c r="F25" s="1116" t="s">
        <v>2335</v>
      </c>
      <c r="G25" s="1117" t="s">
        <v>2335</v>
      </c>
      <c r="H25" s="868" t="s">
        <v>2324</v>
      </c>
      <c r="I25" s="1118" t="s">
        <v>2324</v>
      </c>
      <c r="J25" s="870" t="s">
        <v>2939</v>
      </c>
      <c r="K25" s="1138" t="s">
        <v>2953</v>
      </c>
      <c r="L25" s="1138" t="s">
        <v>2973</v>
      </c>
      <c r="M25" s="870" t="s">
        <v>2336</v>
      </c>
      <c r="N25" s="868" t="s">
        <v>2309</v>
      </c>
      <c r="O25" s="1118"/>
      <c r="P25" s="1119">
        <v>1.35</v>
      </c>
      <c r="Q25" s="884">
        <v>2</v>
      </c>
      <c r="R25" s="885"/>
      <c r="S25" s="843">
        <f t="shared" si="0"/>
        <v>2</v>
      </c>
      <c r="T25" s="843">
        <v>1</v>
      </c>
      <c r="U25" s="843">
        <v>0</v>
      </c>
      <c r="V25" s="843">
        <v>1</v>
      </c>
      <c r="W25" s="843">
        <v>0</v>
      </c>
      <c r="X25" s="843">
        <v>0</v>
      </c>
      <c r="Y25" s="843">
        <v>1</v>
      </c>
      <c r="Z25" s="843">
        <v>1</v>
      </c>
      <c r="AA25" s="256" t="str">
        <f t="shared" si="1"/>
        <v>00018.ទីប21(8.5) ECO PIPE #DKS0018</v>
      </c>
      <c r="AB25" s="1145" t="str">
        <f t="shared" si="2"/>
        <v>00018.ទីប21(8.5)</v>
      </c>
      <c r="AF25" s="251"/>
    </row>
    <row r="26" spans="3:32" ht="24.95" customHeight="1">
      <c r="C26" s="843">
        <v>19</v>
      </c>
      <c r="D26" s="843"/>
      <c r="E26" s="843"/>
      <c r="F26" s="1116" t="s">
        <v>2337</v>
      </c>
      <c r="G26" s="1117" t="s">
        <v>2337</v>
      </c>
      <c r="H26" s="868" t="s">
        <v>2338</v>
      </c>
      <c r="I26" s="1118" t="s">
        <v>2338</v>
      </c>
      <c r="J26" s="870" t="s">
        <v>2939</v>
      </c>
      <c r="K26" s="1138" t="s">
        <v>2953</v>
      </c>
      <c r="L26" s="1138" t="s">
        <v>2973</v>
      </c>
      <c r="M26" s="870" t="s">
        <v>2308</v>
      </c>
      <c r="N26" s="868" t="s">
        <v>2309</v>
      </c>
      <c r="O26" s="1118"/>
      <c r="P26" s="1119">
        <v>7.49</v>
      </c>
      <c r="Q26" s="884">
        <v>8</v>
      </c>
      <c r="R26" s="885"/>
      <c r="S26" s="843">
        <f t="shared" si="0"/>
        <v>2</v>
      </c>
      <c r="T26" s="843">
        <v>1</v>
      </c>
      <c r="U26" s="843">
        <v>0</v>
      </c>
      <c r="V26" s="843">
        <v>1</v>
      </c>
      <c r="W26" s="843">
        <v>0</v>
      </c>
      <c r="X26" s="843">
        <v>0</v>
      </c>
      <c r="Y26" s="843">
        <v>1</v>
      </c>
      <c r="Z26" s="843">
        <v>1</v>
      </c>
      <c r="AA26" s="256" t="str">
        <f t="shared" si="1"/>
        <v>00019.ទីប100(5.0) ECO PIPE #DKS0019</v>
      </c>
      <c r="AB26" s="1145" t="str">
        <f t="shared" si="2"/>
        <v>00019.ទីប100(5.0)</v>
      </c>
      <c r="AF26" s="251"/>
    </row>
    <row r="27" spans="3:32" ht="24.95" customHeight="1">
      <c r="C27" s="843">
        <v>20</v>
      </c>
      <c r="D27" s="843"/>
      <c r="E27" s="843"/>
      <c r="F27" s="1116" t="s">
        <v>2339</v>
      </c>
      <c r="G27" s="1117" t="s">
        <v>2339</v>
      </c>
      <c r="H27" s="868" t="s">
        <v>2340</v>
      </c>
      <c r="I27" s="1118" t="s">
        <v>2340</v>
      </c>
      <c r="J27" s="870" t="s">
        <v>2939</v>
      </c>
      <c r="K27" s="1138" t="s">
        <v>2953</v>
      </c>
      <c r="L27" s="1138" t="s">
        <v>2973</v>
      </c>
      <c r="M27" s="870" t="s">
        <v>2311</v>
      </c>
      <c r="N27" s="868" t="s">
        <v>2309</v>
      </c>
      <c r="O27" s="1118"/>
      <c r="P27" s="1119">
        <v>5.03</v>
      </c>
      <c r="Q27" s="884">
        <v>5.25</v>
      </c>
      <c r="R27" s="885"/>
      <c r="S27" s="843">
        <f t="shared" si="0"/>
        <v>2</v>
      </c>
      <c r="T27" s="843">
        <v>1</v>
      </c>
      <c r="U27" s="843">
        <v>0</v>
      </c>
      <c r="V27" s="843">
        <v>1</v>
      </c>
      <c r="W27" s="843">
        <v>0</v>
      </c>
      <c r="X27" s="843">
        <v>0</v>
      </c>
      <c r="Y27" s="843">
        <v>1</v>
      </c>
      <c r="Z27" s="843">
        <v>1</v>
      </c>
      <c r="AA27" s="256" t="str">
        <f t="shared" si="1"/>
        <v>00020.ទីប80(5.0) ECO PIPE #DKS0020</v>
      </c>
      <c r="AB27" s="1145" t="str">
        <f t="shared" si="2"/>
        <v>00020.ទីប80(5.0)</v>
      </c>
      <c r="AF27" s="251"/>
    </row>
    <row r="28" spans="3:32" ht="24.95" customHeight="1">
      <c r="C28" s="843">
        <v>21</v>
      </c>
      <c r="D28" s="843"/>
      <c r="E28" s="843"/>
      <c r="F28" s="1116" t="s">
        <v>2341</v>
      </c>
      <c r="G28" s="1117" t="s">
        <v>2341</v>
      </c>
      <c r="H28" s="868" t="s">
        <v>2342</v>
      </c>
      <c r="I28" s="1118" t="s">
        <v>2342</v>
      </c>
      <c r="J28" s="870" t="s">
        <v>2939</v>
      </c>
      <c r="K28" s="1138" t="s">
        <v>2953</v>
      </c>
      <c r="L28" s="1138" t="s">
        <v>2973</v>
      </c>
      <c r="M28" s="870" t="s">
        <v>2313</v>
      </c>
      <c r="N28" s="868" t="s">
        <v>2309</v>
      </c>
      <c r="O28" s="1118"/>
      <c r="P28" s="1119">
        <v>4.3099999999999996</v>
      </c>
      <c r="Q28" s="884">
        <v>4.75</v>
      </c>
      <c r="R28" s="885"/>
      <c r="S28" s="843">
        <f t="shared" si="0"/>
        <v>2</v>
      </c>
      <c r="T28" s="843">
        <v>1</v>
      </c>
      <c r="U28" s="843">
        <v>0</v>
      </c>
      <c r="V28" s="843">
        <v>1</v>
      </c>
      <c r="W28" s="843">
        <v>0</v>
      </c>
      <c r="X28" s="843">
        <v>0</v>
      </c>
      <c r="Y28" s="843">
        <v>1</v>
      </c>
      <c r="Z28" s="843">
        <v>1</v>
      </c>
      <c r="AA28" s="256" t="str">
        <f t="shared" si="1"/>
        <v>00021.ទីប75(5.0) ECO PIPE #DKS0021</v>
      </c>
      <c r="AB28" s="1145" t="str">
        <f t="shared" si="2"/>
        <v>00021.ទីប75(5.0)</v>
      </c>
      <c r="AF28" s="251"/>
    </row>
    <row r="29" spans="3:32" ht="24.95" customHeight="1">
      <c r="C29" s="843">
        <v>22</v>
      </c>
      <c r="D29" s="843"/>
      <c r="E29" s="843"/>
      <c r="F29" s="1116" t="s">
        <v>2343</v>
      </c>
      <c r="G29" s="1117" t="s">
        <v>2343</v>
      </c>
      <c r="H29" s="868" t="s">
        <v>2344</v>
      </c>
      <c r="I29" s="1118" t="s">
        <v>2344</v>
      </c>
      <c r="J29" s="870" t="s">
        <v>2939</v>
      </c>
      <c r="K29" s="1138" t="s">
        <v>2953</v>
      </c>
      <c r="L29" s="1138" t="s">
        <v>2973</v>
      </c>
      <c r="M29" s="870" t="s">
        <v>2315</v>
      </c>
      <c r="N29" s="868" t="s">
        <v>2309</v>
      </c>
      <c r="O29" s="1118"/>
      <c r="P29" s="1119">
        <v>2.9</v>
      </c>
      <c r="Q29" s="884">
        <v>3.25</v>
      </c>
      <c r="R29" s="885"/>
      <c r="S29" s="843">
        <f t="shared" si="0"/>
        <v>2</v>
      </c>
      <c r="T29" s="843">
        <v>1</v>
      </c>
      <c r="U29" s="843">
        <v>0</v>
      </c>
      <c r="V29" s="843">
        <v>1</v>
      </c>
      <c r="W29" s="843">
        <v>0</v>
      </c>
      <c r="X29" s="843">
        <v>0</v>
      </c>
      <c r="Y29" s="843">
        <v>1</v>
      </c>
      <c r="Z29" s="843">
        <v>1</v>
      </c>
      <c r="AA29" s="256" t="str">
        <f t="shared" si="1"/>
        <v>00022.ទីប60(5.0) ECO PIPE #DKS0022</v>
      </c>
      <c r="AB29" s="1145" t="str">
        <f t="shared" si="2"/>
        <v>00022.ទីប60(5.0)</v>
      </c>
      <c r="AF29" s="251"/>
    </row>
    <row r="30" spans="3:32" ht="24.95" customHeight="1">
      <c r="C30" s="843">
        <v>23</v>
      </c>
      <c r="D30" s="843"/>
      <c r="E30" s="843"/>
      <c r="F30" s="1116" t="s">
        <v>2345</v>
      </c>
      <c r="G30" s="1117" t="s">
        <v>2345</v>
      </c>
      <c r="H30" s="868" t="s">
        <v>2346</v>
      </c>
      <c r="I30" s="1118" t="s">
        <v>2346</v>
      </c>
      <c r="J30" s="870" t="s">
        <v>2939</v>
      </c>
      <c r="K30" s="1138" t="s">
        <v>2953</v>
      </c>
      <c r="L30" s="1138" t="s">
        <v>2973</v>
      </c>
      <c r="M30" s="870" t="s">
        <v>2317</v>
      </c>
      <c r="N30" s="868" t="s">
        <v>2309</v>
      </c>
      <c r="O30" s="1118"/>
      <c r="P30" s="1119">
        <v>2.12</v>
      </c>
      <c r="Q30" s="884">
        <v>2.75</v>
      </c>
      <c r="R30" s="885"/>
      <c r="S30" s="843">
        <f t="shared" si="0"/>
        <v>2</v>
      </c>
      <c r="T30" s="843">
        <v>1</v>
      </c>
      <c r="U30" s="843">
        <v>0</v>
      </c>
      <c r="V30" s="843">
        <v>1</v>
      </c>
      <c r="W30" s="843">
        <v>0</v>
      </c>
      <c r="X30" s="843">
        <v>0</v>
      </c>
      <c r="Y30" s="843">
        <v>1</v>
      </c>
      <c r="Z30" s="843">
        <v>1</v>
      </c>
      <c r="AA30" s="256" t="str">
        <f t="shared" si="1"/>
        <v>00023.ទីប49(5.0) ECO PIPE #DKS0023</v>
      </c>
      <c r="AB30" s="1145" t="str">
        <f t="shared" si="2"/>
        <v>00023.ទីប49(5.0)</v>
      </c>
      <c r="AF30" s="251"/>
    </row>
    <row r="31" spans="3:32" ht="24.95" customHeight="1">
      <c r="C31" s="843">
        <v>24</v>
      </c>
      <c r="D31" s="843"/>
      <c r="E31" s="843"/>
      <c r="F31" s="1116" t="s">
        <v>2347</v>
      </c>
      <c r="G31" s="1117" t="s">
        <v>2347</v>
      </c>
      <c r="H31" s="868" t="s">
        <v>2348</v>
      </c>
      <c r="I31" s="1118" t="s">
        <v>2348</v>
      </c>
      <c r="J31" s="870" t="s">
        <v>2939</v>
      </c>
      <c r="K31" s="1138" t="s">
        <v>2953</v>
      </c>
      <c r="L31" s="1138" t="s">
        <v>2973</v>
      </c>
      <c r="M31" s="870" t="s">
        <v>2319</v>
      </c>
      <c r="N31" s="868" t="s">
        <v>2309</v>
      </c>
      <c r="O31" s="1118"/>
      <c r="P31" s="1119">
        <v>1.73</v>
      </c>
      <c r="Q31" s="884">
        <v>2.25</v>
      </c>
      <c r="R31" s="885"/>
      <c r="S31" s="843">
        <f t="shared" si="0"/>
        <v>2</v>
      </c>
      <c r="T31" s="843">
        <v>1</v>
      </c>
      <c r="U31" s="843">
        <v>0</v>
      </c>
      <c r="V31" s="843">
        <v>1</v>
      </c>
      <c r="W31" s="843">
        <v>0</v>
      </c>
      <c r="X31" s="843">
        <v>0</v>
      </c>
      <c r="Y31" s="843">
        <v>1</v>
      </c>
      <c r="Z31" s="843">
        <v>1</v>
      </c>
      <c r="AA31" s="256" t="str">
        <f t="shared" si="1"/>
        <v>00024.ទីប42(5.0) ECO PIPE #DKS0024</v>
      </c>
      <c r="AB31" s="1145" t="str">
        <f t="shared" si="2"/>
        <v>00024.ទីប42(5.0)</v>
      </c>
      <c r="AF31" s="251"/>
    </row>
    <row r="32" spans="3:32" ht="24.95" customHeight="1">
      <c r="C32" s="843">
        <v>25</v>
      </c>
      <c r="D32" s="843"/>
      <c r="E32" s="843"/>
      <c r="F32" s="1116" t="s">
        <v>2349</v>
      </c>
      <c r="G32" s="1117" t="s">
        <v>2349</v>
      </c>
      <c r="H32" s="868" t="s">
        <v>2350</v>
      </c>
      <c r="I32" s="1118" t="s">
        <v>2350</v>
      </c>
      <c r="J32" s="870" t="s">
        <v>2939</v>
      </c>
      <c r="K32" s="1138" t="s">
        <v>2953</v>
      </c>
      <c r="L32" s="1138" t="s">
        <v>2973</v>
      </c>
      <c r="M32" s="870" t="s">
        <v>2321</v>
      </c>
      <c r="N32" s="868" t="s">
        <v>2309</v>
      </c>
      <c r="O32" s="1118"/>
      <c r="P32" s="1119">
        <v>1.51</v>
      </c>
      <c r="Q32" s="884">
        <v>2</v>
      </c>
      <c r="R32" s="885"/>
      <c r="S32" s="843">
        <f t="shared" si="0"/>
        <v>2</v>
      </c>
      <c r="T32" s="843">
        <v>1</v>
      </c>
      <c r="U32" s="843">
        <v>0</v>
      </c>
      <c r="V32" s="843">
        <v>1</v>
      </c>
      <c r="W32" s="843">
        <v>0</v>
      </c>
      <c r="X32" s="843">
        <v>0</v>
      </c>
      <c r="Y32" s="843">
        <v>1</v>
      </c>
      <c r="Z32" s="843">
        <v>1</v>
      </c>
      <c r="AA32" s="256" t="str">
        <f t="shared" si="1"/>
        <v>00025.ទីប34(5.0) ECO PIPE #DKS0025</v>
      </c>
      <c r="AB32" s="1145" t="str">
        <f t="shared" si="2"/>
        <v>00025.ទីប34(5.0)</v>
      </c>
    </row>
    <row r="33" spans="3:28" ht="24.95" customHeight="1">
      <c r="C33" s="843">
        <v>26</v>
      </c>
      <c r="D33" s="843"/>
      <c r="E33" s="843"/>
      <c r="F33" s="1116" t="s">
        <v>2355</v>
      </c>
      <c r="G33" s="1117" t="s">
        <v>2355</v>
      </c>
      <c r="H33" s="868" t="s">
        <v>2351</v>
      </c>
      <c r="I33" s="1118" t="s">
        <v>2351</v>
      </c>
      <c r="J33" s="870" t="s">
        <v>2939</v>
      </c>
      <c r="K33" s="1138" t="s">
        <v>2954</v>
      </c>
      <c r="L33" s="1138" t="s">
        <v>2972</v>
      </c>
      <c r="M33" s="870" t="s">
        <v>2353</v>
      </c>
      <c r="N33" s="868" t="s">
        <v>2309</v>
      </c>
      <c r="O33" s="1118"/>
      <c r="P33" s="1119">
        <v>3.0129999999999999</v>
      </c>
      <c r="Q33" s="884">
        <v>3.5</v>
      </c>
      <c r="R33" s="885"/>
      <c r="S33" s="843">
        <f t="shared" si="0"/>
        <v>2</v>
      </c>
      <c r="T33" s="843">
        <v>1</v>
      </c>
      <c r="U33" s="843">
        <v>0</v>
      </c>
      <c r="V33" s="843">
        <v>1</v>
      </c>
      <c r="W33" s="843">
        <v>0</v>
      </c>
      <c r="X33" s="843">
        <v>0</v>
      </c>
      <c r="Y33" s="843">
        <v>1</v>
      </c>
      <c r="Z33" s="843">
        <v>1</v>
      </c>
      <c r="AA33" s="256" t="str">
        <f t="shared" si="1"/>
        <v>00026.កែង100 CHIP MONG #DKS0026</v>
      </c>
      <c r="AB33" s="1145" t="str">
        <f t="shared" si="2"/>
        <v>00026.កែង100</v>
      </c>
    </row>
    <row r="34" spans="3:28" ht="24.95" customHeight="1">
      <c r="C34" s="843">
        <v>27</v>
      </c>
      <c r="D34" s="843"/>
      <c r="E34" s="843"/>
      <c r="F34" s="1116" t="s">
        <v>2357</v>
      </c>
      <c r="G34" s="1117" t="s">
        <v>2357</v>
      </c>
      <c r="H34" s="868" t="s">
        <v>2354</v>
      </c>
      <c r="I34" s="1118" t="s">
        <v>2354</v>
      </c>
      <c r="J34" s="870" t="s">
        <v>2939</v>
      </c>
      <c r="K34" s="1138" t="s">
        <v>2954</v>
      </c>
      <c r="L34" s="1138" t="s">
        <v>2972</v>
      </c>
      <c r="M34" s="870" t="s">
        <v>2353</v>
      </c>
      <c r="N34" s="868" t="s">
        <v>2309</v>
      </c>
      <c r="O34" s="1118"/>
      <c r="P34" s="1119">
        <v>3.0129999999999999</v>
      </c>
      <c r="Q34" s="884">
        <v>3.5</v>
      </c>
      <c r="R34" s="885"/>
      <c r="S34" s="843">
        <f t="shared" si="0"/>
        <v>2</v>
      </c>
      <c r="T34" s="843">
        <v>1</v>
      </c>
      <c r="U34" s="843">
        <v>0</v>
      </c>
      <c r="V34" s="843">
        <v>1</v>
      </c>
      <c r="W34" s="843">
        <v>0</v>
      </c>
      <c r="X34" s="843">
        <v>0</v>
      </c>
      <c r="Y34" s="843">
        <v>1</v>
      </c>
      <c r="Z34" s="843">
        <v>1</v>
      </c>
      <c r="AA34" s="256" t="str">
        <f t="shared" si="1"/>
        <v>00027.ដឺមី100 CHIP MONG #DKS0027</v>
      </c>
      <c r="AB34" s="1145" t="str">
        <f t="shared" si="2"/>
        <v>00027.ដឺមី100</v>
      </c>
    </row>
    <row r="35" spans="3:28" ht="24.95" customHeight="1">
      <c r="C35" s="843">
        <v>28</v>
      </c>
      <c r="D35" s="843"/>
      <c r="E35" s="843"/>
      <c r="F35" s="1116" t="s">
        <v>2359</v>
      </c>
      <c r="G35" s="1117" t="s">
        <v>2359</v>
      </c>
      <c r="H35" s="868" t="s">
        <v>2356</v>
      </c>
      <c r="I35" s="1118" t="s">
        <v>2356</v>
      </c>
      <c r="J35" s="870" t="s">
        <v>2939</v>
      </c>
      <c r="K35" s="1138" t="s">
        <v>2954</v>
      </c>
      <c r="L35" s="1138" t="s">
        <v>2972</v>
      </c>
      <c r="M35" s="870" t="s">
        <v>2353</v>
      </c>
      <c r="N35" s="868" t="s">
        <v>2309</v>
      </c>
      <c r="O35" s="1118"/>
      <c r="P35" s="1119">
        <v>1.49</v>
      </c>
      <c r="Q35" s="884">
        <v>2</v>
      </c>
      <c r="R35" s="885"/>
      <c r="S35" s="843">
        <f t="shared" si="0"/>
        <v>2</v>
      </c>
      <c r="T35" s="843">
        <v>1</v>
      </c>
      <c r="U35" s="843">
        <v>0</v>
      </c>
      <c r="V35" s="843">
        <v>1</v>
      </c>
      <c r="W35" s="843">
        <v>0</v>
      </c>
      <c r="X35" s="843">
        <v>0</v>
      </c>
      <c r="Y35" s="843">
        <v>1</v>
      </c>
      <c r="Z35" s="843">
        <v>1</v>
      </c>
      <c r="AA35" s="256" t="str">
        <f t="shared" si="1"/>
        <v>00028.សុង100 CHIP MONG #DKS0028</v>
      </c>
      <c r="AB35" s="1145" t="str">
        <f t="shared" si="2"/>
        <v>00028.សុង100</v>
      </c>
    </row>
    <row r="36" spans="3:28" ht="24.95" customHeight="1">
      <c r="C36" s="843">
        <v>29</v>
      </c>
      <c r="D36" s="843"/>
      <c r="E36" s="843"/>
      <c r="F36" s="1116" t="s">
        <v>2362</v>
      </c>
      <c r="G36" s="1117" t="s">
        <v>2362</v>
      </c>
      <c r="H36" s="868" t="s">
        <v>2358</v>
      </c>
      <c r="I36" s="1118" t="s">
        <v>2358</v>
      </c>
      <c r="J36" s="870" t="s">
        <v>2939</v>
      </c>
      <c r="K36" s="1138" t="s">
        <v>2954</v>
      </c>
      <c r="L36" s="1138" t="s">
        <v>2972</v>
      </c>
      <c r="M36" s="870" t="s">
        <v>2353</v>
      </c>
      <c r="N36" s="868" t="s">
        <v>2309</v>
      </c>
      <c r="O36" s="1118"/>
      <c r="P36" s="1119">
        <v>4.2300000000000004</v>
      </c>
      <c r="Q36" s="884">
        <v>5</v>
      </c>
      <c r="R36" s="885"/>
      <c r="S36" s="843">
        <f t="shared" si="0"/>
        <v>2</v>
      </c>
      <c r="T36" s="843">
        <v>1</v>
      </c>
      <c r="U36" s="843">
        <v>0</v>
      </c>
      <c r="V36" s="843">
        <v>1</v>
      </c>
      <c r="W36" s="843">
        <v>0</v>
      </c>
      <c r="X36" s="843">
        <v>0</v>
      </c>
      <c r="Y36" s="843">
        <v>1</v>
      </c>
      <c r="Z36" s="843">
        <v>1</v>
      </c>
      <c r="AA36" s="256" t="str">
        <f t="shared" si="1"/>
        <v>00029.តេ100 CHIP MONG #DKS0029</v>
      </c>
      <c r="AB36" s="1145" t="str">
        <f t="shared" si="2"/>
        <v>00029.តេ100</v>
      </c>
    </row>
    <row r="37" spans="3:28" ht="24.95" customHeight="1">
      <c r="C37" s="843">
        <v>30</v>
      </c>
      <c r="D37" s="843"/>
      <c r="E37" s="843"/>
      <c r="F37" s="1116" t="s">
        <v>2364</v>
      </c>
      <c r="G37" s="1117" t="s">
        <v>2364</v>
      </c>
      <c r="H37" s="868" t="s">
        <v>2360</v>
      </c>
      <c r="I37" s="1118" t="s">
        <v>2360</v>
      </c>
      <c r="J37" s="870" t="s">
        <v>2939</v>
      </c>
      <c r="K37" s="1138" t="s">
        <v>2954</v>
      </c>
      <c r="L37" s="1138" t="s">
        <v>2972</v>
      </c>
      <c r="M37" s="870" t="s">
        <v>2361</v>
      </c>
      <c r="N37" s="868" t="s">
        <v>2309</v>
      </c>
      <c r="O37" s="1118"/>
      <c r="P37" s="1119">
        <v>1.4910000000000001</v>
      </c>
      <c r="Q37" s="884">
        <v>2</v>
      </c>
      <c r="R37" s="885"/>
      <c r="S37" s="843">
        <f t="shared" si="0"/>
        <v>2</v>
      </c>
      <c r="T37" s="843">
        <v>1</v>
      </c>
      <c r="U37" s="843">
        <v>0</v>
      </c>
      <c r="V37" s="843">
        <v>1</v>
      </c>
      <c r="W37" s="843">
        <v>0</v>
      </c>
      <c r="X37" s="843">
        <v>0</v>
      </c>
      <c r="Y37" s="843">
        <v>1</v>
      </c>
      <c r="Z37" s="843">
        <v>1</v>
      </c>
      <c r="AA37" s="256" t="str">
        <f t="shared" si="1"/>
        <v>00030.កែង80 CHIP MONG #DKS0030</v>
      </c>
      <c r="AB37" s="1145" t="str">
        <f t="shared" si="2"/>
        <v>00030.កែង80</v>
      </c>
    </row>
    <row r="38" spans="3:28" ht="24.95" customHeight="1">
      <c r="C38" s="843">
        <v>31</v>
      </c>
      <c r="D38" s="843"/>
      <c r="E38" s="843"/>
      <c r="F38" s="1116" t="s">
        <v>2366</v>
      </c>
      <c r="G38" s="1117" t="s">
        <v>2366</v>
      </c>
      <c r="H38" s="868" t="s">
        <v>2363</v>
      </c>
      <c r="I38" s="1118" t="s">
        <v>2363</v>
      </c>
      <c r="J38" s="870" t="s">
        <v>2939</v>
      </c>
      <c r="K38" s="1138" t="s">
        <v>2954</v>
      </c>
      <c r="L38" s="1138" t="s">
        <v>2972</v>
      </c>
      <c r="M38" s="870" t="s">
        <v>2361</v>
      </c>
      <c r="N38" s="868" t="s">
        <v>2309</v>
      </c>
      <c r="O38" s="1118"/>
      <c r="P38" s="1119">
        <v>1.21</v>
      </c>
      <c r="Q38" s="884">
        <v>1.75</v>
      </c>
      <c r="R38" s="885"/>
      <c r="S38" s="843">
        <f t="shared" si="0"/>
        <v>2</v>
      </c>
      <c r="T38" s="843">
        <v>1</v>
      </c>
      <c r="U38" s="843">
        <v>0</v>
      </c>
      <c r="V38" s="843">
        <v>1</v>
      </c>
      <c r="W38" s="843">
        <v>0</v>
      </c>
      <c r="X38" s="843">
        <v>0</v>
      </c>
      <c r="Y38" s="843">
        <v>1</v>
      </c>
      <c r="Z38" s="843">
        <v>1</v>
      </c>
      <c r="AA38" s="256" t="str">
        <f t="shared" si="1"/>
        <v>00031.ដឺមី80 CHIP MONG #DKS0031</v>
      </c>
      <c r="AB38" s="1145" t="str">
        <f t="shared" si="2"/>
        <v>00031.ដឺមី80</v>
      </c>
    </row>
    <row r="39" spans="3:28" ht="24.95" customHeight="1">
      <c r="C39" s="843">
        <v>32</v>
      </c>
      <c r="D39" s="843"/>
      <c r="E39" s="843"/>
      <c r="F39" s="1116" t="s">
        <v>2368</v>
      </c>
      <c r="G39" s="1117" t="s">
        <v>2368</v>
      </c>
      <c r="H39" s="868" t="s">
        <v>2365</v>
      </c>
      <c r="I39" s="1118" t="s">
        <v>2365</v>
      </c>
      <c r="J39" s="870" t="s">
        <v>2939</v>
      </c>
      <c r="K39" s="1138" t="s">
        <v>2954</v>
      </c>
      <c r="L39" s="1138" t="s">
        <v>2972</v>
      </c>
      <c r="M39" s="870" t="s">
        <v>2361</v>
      </c>
      <c r="N39" s="868" t="s">
        <v>2309</v>
      </c>
      <c r="O39" s="1118"/>
      <c r="P39" s="1119">
        <v>1.04</v>
      </c>
      <c r="Q39" s="884">
        <v>1.5</v>
      </c>
      <c r="R39" s="885"/>
      <c r="S39" s="843">
        <f t="shared" si="0"/>
        <v>2</v>
      </c>
      <c r="T39" s="843">
        <v>1</v>
      </c>
      <c r="U39" s="843">
        <v>0</v>
      </c>
      <c r="V39" s="843">
        <v>1</v>
      </c>
      <c r="W39" s="843">
        <v>0</v>
      </c>
      <c r="X39" s="843">
        <v>0</v>
      </c>
      <c r="Y39" s="843">
        <v>1</v>
      </c>
      <c r="Z39" s="843">
        <v>1</v>
      </c>
      <c r="AA39" s="256" t="str">
        <f t="shared" si="1"/>
        <v>00032.សុង80 CHIP MONG #DKS0032</v>
      </c>
      <c r="AB39" s="1145" t="str">
        <f t="shared" si="2"/>
        <v>00032.សុង80</v>
      </c>
    </row>
    <row r="40" spans="3:28" ht="24.95" customHeight="1">
      <c r="C40" s="843">
        <v>33</v>
      </c>
      <c r="D40" s="843"/>
      <c r="E40" s="843"/>
      <c r="F40" s="1116" t="s">
        <v>2371</v>
      </c>
      <c r="G40" s="1117" t="s">
        <v>2371</v>
      </c>
      <c r="H40" s="868" t="s">
        <v>2367</v>
      </c>
      <c r="I40" s="1118" t="s">
        <v>2367</v>
      </c>
      <c r="J40" s="870" t="s">
        <v>2939</v>
      </c>
      <c r="K40" s="1138" t="s">
        <v>2954</v>
      </c>
      <c r="L40" s="1138" t="s">
        <v>2972</v>
      </c>
      <c r="M40" s="870" t="s">
        <v>2361</v>
      </c>
      <c r="N40" s="868" t="s">
        <v>2309</v>
      </c>
      <c r="O40" s="1118"/>
      <c r="P40" s="1119">
        <v>1.748</v>
      </c>
      <c r="Q40" s="884">
        <v>2.25</v>
      </c>
      <c r="R40" s="885"/>
      <c r="S40" s="843">
        <f t="shared" si="0"/>
        <v>2</v>
      </c>
      <c r="T40" s="843">
        <v>1</v>
      </c>
      <c r="U40" s="843">
        <v>0</v>
      </c>
      <c r="V40" s="843">
        <v>1</v>
      </c>
      <c r="W40" s="843">
        <v>0</v>
      </c>
      <c r="X40" s="843">
        <v>0</v>
      </c>
      <c r="Y40" s="843">
        <v>1</v>
      </c>
      <c r="Z40" s="843">
        <v>1</v>
      </c>
      <c r="AA40" s="256" t="str">
        <f t="shared" si="1"/>
        <v>00033.តេ80 CHIP MONG #DKS0033</v>
      </c>
      <c r="AB40" s="1145" t="str">
        <f t="shared" si="2"/>
        <v>00033.តេ80</v>
      </c>
    </row>
    <row r="41" spans="3:28" ht="24.95" customHeight="1">
      <c r="C41" s="843">
        <v>34</v>
      </c>
      <c r="D41" s="843"/>
      <c r="E41" s="843"/>
      <c r="F41" s="1116" t="s">
        <v>2373</v>
      </c>
      <c r="G41" s="1117" t="s">
        <v>2373</v>
      </c>
      <c r="H41" s="868" t="s">
        <v>2369</v>
      </c>
      <c r="I41" s="1118" t="s">
        <v>2369</v>
      </c>
      <c r="J41" s="870" t="s">
        <v>2939</v>
      </c>
      <c r="K41" s="1138" t="s">
        <v>2954</v>
      </c>
      <c r="L41" s="1138" t="s">
        <v>2972</v>
      </c>
      <c r="M41" s="870" t="s">
        <v>2370</v>
      </c>
      <c r="N41" s="868" t="s">
        <v>2309</v>
      </c>
      <c r="O41" s="1118"/>
      <c r="P41" s="1119">
        <v>0.496</v>
      </c>
      <c r="Q41" s="884">
        <v>0.75</v>
      </c>
      <c r="R41" s="885"/>
      <c r="S41" s="843">
        <f t="shared" si="0"/>
        <v>2</v>
      </c>
      <c r="T41" s="843">
        <v>1</v>
      </c>
      <c r="U41" s="843">
        <v>0</v>
      </c>
      <c r="V41" s="843">
        <v>1</v>
      </c>
      <c r="W41" s="843">
        <v>0</v>
      </c>
      <c r="X41" s="843">
        <v>0</v>
      </c>
      <c r="Y41" s="843">
        <v>1</v>
      </c>
      <c r="Z41" s="843">
        <v>1</v>
      </c>
      <c r="AA41" s="256" t="str">
        <f t="shared" si="1"/>
        <v>00034.កែង60 CHIP MONG #DKS0034</v>
      </c>
      <c r="AB41" s="1145" t="str">
        <f t="shared" si="2"/>
        <v>00034.កែង60</v>
      </c>
    </row>
    <row r="42" spans="3:28" ht="24.95" customHeight="1">
      <c r="C42" s="843">
        <v>35</v>
      </c>
      <c r="D42" s="843"/>
      <c r="E42" s="843"/>
      <c r="F42" s="1116" t="s">
        <v>2375</v>
      </c>
      <c r="G42" s="1117" t="s">
        <v>2375</v>
      </c>
      <c r="H42" s="868" t="s">
        <v>2372</v>
      </c>
      <c r="I42" s="1118" t="s">
        <v>2372</v>
      </c>
      <c r="J42" s="870" t="s">
        <v>2939</v>
      </c>
      <c r="K42" s="1138" t="s">
        <v>2954</v>
      </c>
      <c r="L42" s="1138" t="s">
        <v>2972</v>
      </c>
      <c r="M42" s="870" t="s">
        <v>2370</v>
      </c>
      <c r="N42" s="868" t="s">
        <v>2309</v>
      </c>
      <c r="O42" s="1118"/>
      <c r="P42" s="1119">
        <v>0.5</v>
      </c>
      <c r="Q42" s="884">
        <v>0.75</v>
      </c>
      <c r="R42" s="885"/>
      <c r="S42" s="843">
        <f t="shared" si="0"/>
        <v>2</v>
      </c>
      <c r="T42" s="843">
        <v>1</v>
      </c>
      <c r="U42" s="843">
        <v>0</v>
      </c>
      <c r="V42" s="843">
        <v>1</v>
      </c>
      <c r="W42" s="843">
        <v>0</v>
      </c>
      <c r="X42" s="843">
        <v>0</v>
      </c>
      <c r="Y42" s="843">
        <v>1</v>
      </c>
      <c r="Z42" s="843">
        <v>1</v>
      </c>
      <c r="AA42" s="256" t="str">
        <f t="shared" si="1"/>
        <v>00035.ដឺមី60 CHIP MONG #DKS0035</v>
      </c>
      <c r="AB42" s="1145" t="str">
        <f t="shared" si="2"/>
        <v>00035.ដឺមី60</v>
      </c>
    </row>
    <row r="43" spans="3:28" ht="24.95" customHeight="1">
      <c r="C43" s="843">
        <v>36</v>
      </c>
      <c r="D43" s="843"/>
      <c r="E43" s="843"/>
      <c r="F43" s="1116" t="s">
        <v>2377</v>
      </c>
      <c r="G43" s="1117" t="s">
        <v>2377</v>
      </c>
      <c r="H43" s="868" t="s">
        <v>2374</v>
      </c>
      <c r="I43" s="1118" t="s">
        <v>2374</v>
      </c>
      <c r="J43" s="870" t="s">
        <v>2939</v>
      </c>
      <c r="K43" s="1138" t="s">
        <v>2954</v>
      </c>
      <c r="L43" s="1138" t="s">
        <v>2972</v>
      </c>
      <c r="M43" s="870" t="s">
        <v>2370</v>
      </c>
      <c r="N43" s="868" t="s">
        <v>2309</v>
      </c>
      <c r="O43" s="1118"/>
      <c r="P43" s="1119">
        <v>0.32</v>
      </c>
      <c r="Q43" s="884">
        <v>0.5</v>
      </c>
      <c r="R43" s="885"/>
      <c r="S43" s="843">
        <f t="shared" si="0"/>
        <v>2</v>
      </c>
      <c r="T43" s="843">
        <v>1</v>
      </c>
      <c r="U43" s="843">
        <v>0</v>
      </c>
      <c r="V43" s="843">
        <v>1</v>
      </c>
      <c r="W43" s="843">
        <v>0</v>
      </c>
      <c r="X43" s="843">
        <v>0</v>
      </c>
      <c r="Y43" s="843">
        <v>1</v>
      </c>
      <c r="Z43" s="843">
        <v>1</v>
      </c>
      <c r="AA43" s="256" t="str">
        <f t="shared" si="1"/>
        <v>00036.សុង60 CHIP MONG #DKS0036</v>
      </c>
      <c r="AB43" s="1145" t="str">
        <f t="shared" si="2"/>
        <v>00036.សុង60</v>
      </c>
    </row>
    <row r="44" spans="3:28" ht="24.95" customHeight="1">
      <c r="C44" s="843">
        <v>37</v>
      </c>
      <c r="D44" s="843"/>
      <c r="E44" s="843"/>
      <c r="F44" s="1116" t="s">
        <v>2380</v>
      </c>
      <c r="G44" s="1117" t="s">
        <v>2380</v>
      </c>
      <c r="H44" s="868" t="s">
        <v>2376</v>
      </c>
      <c r="I44" s="1118" t="s">
        <v>2376</v>
      </c>
      <c r="J44" s="870" t="s">
        <v>2939</v>
      </c>
      <c r="K44" s="1138" t="s">
        <v>2954</v>
      </c>
      <c r="L44" s="1138" t="s">
        <v>2972</v>
      </c>
      <c r="M44" s="870" t="s">
        <v>2370</v>
      </c>
      <c r="N44" s="868" t="s">
        <v>2309</v>
      </c>
      <c r="O44" s="1118"/>
      <c r="P44" s="1119">
        <v>0.66</v>
      </c>
      <c r="Q44" s="884">
        <v>1</v>
      </c>
      <c r="R44" s="885"/>
      <c r="S44" s="843">
        <f t="shared" si="0"/>
        <v>2</v>
      </c>
      <c r="T44" s="843">
        <v>1</v>
      </c>
      <c r="U44" s="843">
        <v>0</v>
      </c>
      <c r="V44" s="843">
        <v>1</v>
      </c>
      <c r="W44" s="843">
        <v>0</v>
      </c>
      <c r="X44" s="843">
        <v>0</v>
      </c>
      <c r="Y44" s="843">
        <v>1</v>
      </c>
      <c r="Z44" s="843">
        <v>1</v>
      </c>
      <c r="AA44" s="256" t="str">
        <f t="shared" si="1"/>
        <v>00037.តេ60 CHIP MONG #DKS0037</v>
      </c>
      <c r="AB44" s="1145" t="str">
        <f t="shared" si="2"/>
        <v>00037.តេ60</v>
      </c>
    </row>
    <row r="45" spans="3:28" ht="24.95" customHeight="1">
      <c r="C45" s="843">
        <v>38</v>
      </c>
      <c r="D45" s="843"/>
      <c r="E45" s="843"/>
      <c r="F45" s="1116" t="s">
        <v>2382</v>
      </c>
      <c r="G45" s="1117" t="s">
        <v>2382</v>
      </c>
      <c r="H45" s="868" t="s">
        <v>2378</v>
      </c>
      <c r="I45" s="1118" t="s">
        <v>2378</v>
      </c>
      <c r="J45" s="870" t="s">
        <v>2939</v>
      </c>
      <c r="K45" s="1138" t="s">
        <v>2954</v>
      </c>
      <c r="L45" s="1138" t="s">
        <v>2972</v>
      </c>
      <c r="M45" s="870" t="s">
        <v>2379</v>
      </c>
      <c r="N45" s="868" t="s">
        <v>2309</v>
      </c>
      <c r="O45" s="1118"/>
      <c r="P45" s="1119">
        <v>0.28599999999999998</v>
      </c>
      <c r="Q45" s="884">
        <v>0.5</v>
      </c>
      <c r="R45" s="885"/>
      <c r="S45" s="843">
        <f t="shared" si="0"/>
        <v>2</v>
      </c>
      <c r="T45" s="843">
        <v>1</v>
      </c>
      <c r="U45" s="843">
        <v>0</v>
      </c>
      <c r="V45" s="843">
        <v>1</v>
      </c>
      <c r="W45" s="843">
        <v>0</v>
      </c>
      <c r="X45" s="843">
        <v>0</v>
      </c>
      <c r="Y45" s="843">
        <v>1</v>
      </c>
      <c r="Z45" s="843">
        <v>1</v>
      </c>
      <c r="AA45" s="256" t="str">
        <f t="shared" si="1"/>
        <v>00038.កែង49 CHIP MONG #DKS0038</v>
      </c>
      <c r="AB45" s="1145" t="str">
        <f t="shared" si="2"/>
        <v>00038.កែង49</v>
      </c>
    </row>
    <row r="46" spans="3:28" ht="24.95" customHeight="1">
      <c r="C46" s="843">
        <v>39</v>
      </c>
      <c r="D46" s="843"/>
      <c r="E46" s="843"/>
      <c r="F46" s="1116" t="s">
        <v>2384</v>
      </c>
      <c r="G46" s="1117" t="s">
        <v>2384</v>
      </c>
      <c r="H46" s="868" t="s">
        <v>2381</v>
      </c>
      <c r="I46" s="1118" t="s">
        <v>2381</v>
      </c>
      <c r="J46" s="870" t="s">
        <v>2939</v>
      </c>
      <c r="K46" s="1138" t="s">
        <v>2954</v>
      </c>
      <c r="L46" s="1138" t="s">
        <v>2972</v>
      </c>
      <c r="M46" s="870" t="s">
        <v>2379</v>
      </c>
      <c r="N46" s="868" t="s">
        <v>2309</v>
      </c>
      <c r="O46" s="1118"/>
      <c r="P46" s="1119">
        <v>0.28999999999999998</v>
      </c>
      <c r="Q46" s="884">
        <v>0.5</v>
      </c>
      <c r="R46" s="885"/>
      <c r="S46" s="843">
        <f t="shared" si="0"/>
        <v>2</v>
      </c>
      <c r="T46" s="843">
        <v>1</v>
      </c>
      <c r="U46" s="843">
        <v>0</v>
      </c>
      <c r="V46" s="843">
        <v>1</v>
      </c>
      <c r="W46" s="843">
        <v>0</v>
      </c>
      <c r="X46" s="843">
        <v>0</v>
      </c>
      <c r="Y46" s="843">
        <v>1</v>
      </c>
      <c r="Z46" s="843">
        <v>1</v>
      </c>
      <c r="AA46" s="256" t="str">
        <f t="shared" si="1"/>
        <v>00039.ដឺមី49 CHIP MONG #DKS0039</v>
      </c>
      <c r="AB46" s="1145" t="str">
        <f t="shared" si="2"/>
        <v>00039.ដឺមី49</v>
      </c>
    </row>
    <row r="47" spans="3:28" ht="24.95" customHeight="1">
      <c r="C47" s="843">
        <v>40</v>
      </c>
      <c r="D47" s="843"/>
      <c r="E47" s="843"/>
      <c r="F47" s="1116" t="s">
        <v>2386</v>
      </c>
      <c r="G47" s="1117" t="s">
        <v>2386</v>
      </c>
      <c r="H47" s="868" t="s">
        <v>2383</v>
      </c>
      <c r="I47" s="1118" t="s">
        <v>2383</v>
      </c>
      <c r="J47" s="870" t="s">
        <v>2939</v>
      </c>
      <c r="K47" s="1138" t="s">
        <v>2954</v>
      </c>
      <c r="L47" s="1138" t="s">
        <v>2972</v>
      </c>
      <c r="M47" s="870" t="s">
        <v>2379</v>
      </c>
      <c r="N47" s="868" t="s">
        <v>2309</v>
      </c>
      <c r="O47" s="1118"/>
      <c r="P47" s="1119">
        <v>0.23</v>
      </c>
      <c r="Q47" s="884">
        <v>0.5</v>
      </c>
      <c r="R47" s="885"/>
      <c r="S47" s="843">
        <f t="shared" si="0"/>
        <v>2</v>
      </c>
      <c r="T47" s="843">
        <v>1</v>
      </c>
      <c r="U47" s="843">
        <v>0</v>
      </c>
      <c r="V47" s="843">
        <v>1</v>
      </c>
      <c r="W47" s="843">
        <v>0</v>
      </c>
      <c r="X47" s="843">
        <v>0</v>
      </c>
      <c r="Y47" s="843">
        <v>1</v>
      </c>
      <c r="Z47" s="843">
        <v>1</v>
      </c>
      <c r="AA47" s="256" t="str">
        <f t="shared" si="1"/>
        <v>00040.សុង49 CHIP MONG #DKS0040</v>
      </c>
      <c r="AB47" s="1145" t="str">
        <f t="shared" si="2"/>
        <v>00040.សុង49</v>
      </c>
    </row>
    <row r="48" spans="3:28" ht="24.95" customHeight="1">
      <c r="C48" s="843">
        <v>41</v>
      </c>
      <c r="D48" s="843"/>
      <c r="E48" s="843"/>
      <c r="F48" s="1116" t="s">
        <v>2389</v>
      </c>
      <c r="G48" s="1117" t="s">
        <v>2389</v>
      </c>
      <c r="H48" s="868" t="s">
        <v>2385</v>
      </c>
      <c r="I48" s="1118" t="s">
        <v>2385</v>
      </c>
      <c r="J48" s="870" t="s">
        <v>2939</v>
      </c>
      <c r="K48" s="1138" t="s">
        <v>2954</v>
      </c>
      <c r="L48" s="1138" t="s">
        <v>2972</v>
      </c>
      <c r="M48" s="870" t="s">
        <v>2379</v>
      </c>
      <c r="N48" s="868" t="s">
        <v>2309</v>
      </c>
      <c r="O48" s="1118"/>
      <c r="P48" s="1119">
        <v>0.53</v>
      </c>
      <c r="Q48" s="884">
        <v>0.75</v>
      </c>
      <c r="R48" s="885"/>
      <c r="S48" s="843">
        <f t="shared" si="0"/>
        <v>2</v>
      </c>
      <c r="T48" s="843">
        <v>1</v>
      </c>
      <c r="U48" s="843">
        <v>0</v>
      </c>
      <c r="V48" s="843">
        <v>1</v>
      </c>
      <c r="W48" s="843">
        <v>0</v>
      </c>
      <c r="X48" s="843">
        <v>0</v>
      </c>
      <c r="Y48" s="843">
        <v>1</v>
      </c>
      <c r="Z48" s="843">
        <v>1</v>
      </c>
      <c r="AA48" s="256" t="str">
        <f t="shared" si="1"/>
        <v>00041.តេ49 CHIP MONG #DKS0041</v>
      </c>
      <c r="AB48" s="1145" t="str">
        <f t="shared" si="2"/>
        <v>00041.តេ49</v>
      </c>
    </row>
    <row r="49" spans="3:28" ht="24.95" customHeight="1">
      <c r="C49" s="843">
        <v>42</v>
      </c>
      <c r="D49" s="843"/>
      <c r="E49" s="843"/>
      <c r="F49" s="1116" t="s">
        <v>2391</v>
      </c>
      <c r="G49" s="1117" t="s">
        <v>2391</v>
      </c>
      <c r="H49" s="868" t="s">
        <v>2387</v>
      </c>
      <c r="I49" s="1118" t="s">
        <v>2387</v>
      </c>
      <c r="J49" s="870" t="s">
        <v>2939</v>
      </c>
      <c r="K49" s="1138" t="s">
        <v>2954</v>
      </c>
      <c r="L49" s="1138" t="s">
        <v>2972</v>
      </c>
      <c r="M49" s="870" t="s">
        <v>2388</v>
      </c>
      <c r="N49" s="868" t="s">
        <v>2309</v>
      </c>
      <c r="O49" s="1118"/>
      <c r="P49" s="1119">
        <v>0.24299999999999999</v>
      </c>
      <c r="Q49" s="884">
        <v>0.5</v>
      </c>
      <c r="R49" s="885"/>
      <c r="S49" s="843">
        <f t="shared" si="0"/>
        <v>2</v>
      </c>
      <c r="T49" s="843">
        <v>1</v>
      </c>
      <c r="U49" s="843">
        <v>0</v>
      </c>
      <c r="V49" s="843">
        <v>1</v>
      </c>
      <c r="W49" s="843">
        <v>0</v>
      </c>
      <c r="X49" s="843">
        <v>0</v>
      </c>
      <c r="Y49" s="843">
        <v>1</v>
      </c>
      <c r="Z49" s="843">
        <v>1</v>
      </c>
      <c r="AA49" s="256" t="str">
        <f t="shared" si="1"/>
        <v>00042.កែង34 CHIP MONG #DKS0042</v>
      </c>
      <c r="AB49" s="1145" t="str">
        <f t="shared" si="2"/>
        <v>00042.កែង34</v>
      </c>
    </row>
    <row r="50" spans="3:28" ht="24.95" customHeight="1">
      <c r="C50" s="843">
        <v>43</v>
      </c>
      <c r="D50" s="843"/>
      <c r="E50" s="843"/>
      <c r="F50" s="1116" t="s">
        <v>2393</v>
      </c>
      <c r="G50" s="1117" t="s">
        <v>2393</v>
      </c>
      <c r="H50" s="868" t="s">
        <v>2390</v>
      </c>
      <c r="I50" s="1118" t="s">
        <v>2390</v>
      </c>
      <c r="J50" s="870" t="s">
        <v>2939</v>
      </c>
      <c r="K50" s="1138" t="s">
        <v>2954</v>
      </c>
      <c r="L50" s="1138" t="s">
        <v>2972</v>
      </c>
      <c r="M50" s="870" t="s">
        <v>2388</v>
      </c>
      <c r="N50" s="868" t="s">
        <v>2309</v>
      </c>
      <c r="O50" s="1118"/>
      <c r="P50" s="1119">
        <v>0.24</v>
      </c>
      <c r="Q50" s="884">
        <v>0.5</v>
      </c>
      <c r="R50" s="885"/>
      <c r="S50" s="843">
        <f t="shared" si="0"/>
        <v>2</v>
      </c>
      <c r="T50" s="843">
        <v>1</v>
      </c>
      <c r="U50" s="843">
        <v>0</v>
      </c>
      <c r="V50" s="843">
        <v>1</v>
      </c>
      <c r="W50" s="843">
        <v>0</v>
      </c>
      <c r="X50" s="843">
        <v>0</v>
      </c>
      <c r="Y50" s="843">
        <v>1</v>
      </c>
      <c r="Z50" s="843">
        <v>1</v>
      </c>
      <c r="AA50" s="256" t="str">
        <f t="shared" si="1"/>
        <v>00043.ដឺមី34 CHIP MONG #DKS0043</v>
      </c>
      <c r="AB50" s="1145" t="str">
        <f t="shared" si="2"/>
        <v>00043.ដឺមី34</v>
      </c>
    </row>
    <row r="51" spans="3:28" ht="24.95" customHeight="1">
      <c r="C51" s="843">
        <v>44</v>
      </c>
      <c r="D51" s="843"/>
      <c r="E51" s="843"/>
      <c r="F51" s="1116" t="s">
        <v>2395</v>
      </c>
      <c r="G51" s="1117" t="s">
        <v>2395</v>
      </c>
      <c r="H51" s="868" t="s">
        <v>2392</v>
      </c>
      <c r="I51" s="1118" t="s">
        <v>2392</v>
      </c>
      <c r="J51" s="870" t="s">
        <v>2939</v>
      </c>
      <c r="K51" s="1138" t="s">
        <v>2954</v>
      </c>
      <c r="L51" s="1138" t="s">
        <v>2972</v>
      </c>
      <c r="M51" s="870" t="s">
        <v>2388</v>
      </c>
      <c r="N51" s="868" t="s">
        <v>2309</v>
      </c>
      <c r="O51" s="1118"/>
      <c r="P51" s="1119">
        <v>0.22</v>
      </c>
      <c r="Q51" s="884">
        <v>0.38</v>
      </c>
      <c r="R51" s="885"/>
      <c r="S51" s="843">
        <f t="shared" si="0"/>
        <v>2</v>
      </c>
      <c r="T51" s="843">
        <v>1</v>
      </c>
      <c r="U51" s="843">
        <v>0</v>
      </c>
      <c r="V51" s="843">
        <v>1</v>
      </c>
      <c r="W51" s="843">
        <v>0</v>
      </c>
      <c r="X51" s="843">
        <v>0</v>
      </c>
      <c r="Y51" s="843">
        <v>1</v>
      </c>
      <c r="Z51" s="843">
        <v>1</v>
      </c>
      <c r="AA51" s="256" t="str">
        <f t="shared" si="1"/>
        <v>00044.សុង34 CHIP MONG #DKS0044</v>
      </c>
      <c r="AB51" s="1145" t="str">
        <f t="shared" si="2"/>
        <v>00044.សុង34</v>
      </c>
    </row>
    <row r="52" spans="3:28" ht="24.95" customHeight="1">
      <c r="C52" s="843">
        <v>45</v>
      </c>
      <c r="D52" s="843"/>
      <c r="E52" s="843"/>
      <c r="F52" s="1116" t="s">
        <v>2398</v>
      </c>
      <c r="G52" s="1117" t="s">
        <v>2398</v>
      </c>
      <c r="H52" s="868" t="s">
        <v>2394</v>
      </c>
      <c r="I52" s="1118" t="s">
        <v>2394</v>
      </c>
      <c r="J52" s="870" t="s">
        <v>2939</v>
      </c>
      <c r="K52" s="1138" t="s">
        <v>2954</v>
      </c>
      <c r="L52" s="1138" t="s">
        <v>2972</v>
      </c>
      <c r="M52" s="870" t="s">
        <v>2388</v>
      </c>
      <c r="N52" s="868" t="s">
        <v>2309</v>
      </c>
      <c r="O52" s="1118"/>
      <c r="P52" s="1119">
        <v>0.34</v>
      </c>
      <c r="Q52" s="884">
        <v>0.5</v>
      </c>
      <c r="R52" s="885"/>
      <c r="S52" s="843">
        <f t="shared" si="0"/>
        <v>2</v>
      </c>
      <c r="T52" s="843">
        <v>1</v>
      </c>
      <c r="U52" s="843">
        <v>0</v>
      </c>
      <c r="V52" s="843">
        <v>1</v>
      </c>
      <c r="W52" s="843">
        <v>0</v>
      </c>
      <c r="X52" s="843">
        <v>0</v>
      </c>
      <c r="Y52" s="843">
        <v>1</v>
      </c>
      <c r="Z52" s="843">
        <v>1</v>
      </c>
      <c r="AA52" s="256" t="str">
        <f t="shared" si="1"/>
        <v>00045.តេ34 CHIP MONG #DKS0045</v>
      </c>
      <c r="AB52" s="1145" t="str">
        <f t="shared" si="2"/>
        <v>00045.តេ34</v>
      </c>
    </row>
    <row r="53" spans="3:28" ht="24.95" customHeight="1">
      <c r="C53" s="843">
        <v>46</v>
      </c>
      <c r="D53" s="843"/>
      <c r="E53" s="843"/>
      <c r="F53" s="1116" t="s">
        <v>2400</v>
      </c>
      <c r="G53" s="1117" t="s">
        <v>2400</v>
      </c>
      <c r="H53" s="868" t="s">
        <v>2396</v>
      </c>
      <c r="I53" s="1118" t="s">
        <v>2396</v>
      </c>
      <c r="J53" s="870" t="s">
        <v>2939</v>
      </c>
      <c r="K53" s="1138" t="s">
        <v>2954</v>
      </c>
      <c r="L53" s="1138" t="s">
        <v>2972</v>
      </c>
      <c r="M53" s="870" t="s">
        <v>2397</v>
      </c>
      <c r="N53" s="868" t="s">
        <v>2309</v>
      </c>
      <c r="O53" s="1118"/>
      <c r="P53" s="1119">
        <v>0.15</v>
      </c>
      <c r="Q53" s="884">
        <v>0.38</v>
      </c>
      <c r="R53" s="885"/>
      <c r="S53" s="843">
        <f t="shared" si="0"/>
        <v>2</v>
      </c>
      <c r="T53" s="843">
        <v>1</v>
      </c>
      <c r="U53" s="843">
        <v>0</v>
      </c>
      <c r="V53" s="843">
        <v>1</v>
      </c>
      <c r="W53" s="843">
        <v>0</v>
      </c>
      <c r="X53" s="843">
        <v>0</v>
      </c>
      <c r="Y53" s="843">
        <v>1</v>
      </c>
      <c r="Z53" s="843">
        <v>1</v>
      </c>
      <c r="AA53" s="256" t="str">
        <f t="shared" si="1"/>
        <v>00046.កែង27 CHIP MONG #DKS0046</v>
      </c>
      <c r="AB53" s="1145" t="str">
        <f t="shared" si="2"/>
        <v>00046.កែង27</v>
      </c>
    </row>
    <row r="54" spans="3:28" ht="24.95" customHeight="1">
      <c r="C54" s="843">
        <v>47</v>
      </c>
      <c r="D54" s="843"/>
      <c r="E54" s="843"/>
      <c r="F54" s="1116" t="s">
        <v>2402</v>
      </c>
      <c r="G54" s="1117" t="s">
        <v>2402</v>
      </c>
      <c r="H54" s="868" t="s">
        <v>2399</v>
      </c>
      <c r="I54" s="1118" t="s">
        <v>2399</v>
      </c>
      <c r="J54" s="870" t="s">
        <v>2939</v>
      </c>
      <c r="K54" s="1138" t="s">
        <v>2954</v>
      </c>
      <c r="L54" s="1138" t="s">
        <v>2972</v>
      </c>
      <c r="M54" s="870" t="s">
        <v>2397</v>
      </c>
      <c r="N54" s="868" t="s">
        <v>2309</v>
      </c>
      <c r="O54" s="1118"/>
      <c r="P54" s="1119">
        <v>0.15</v>
      </c>
      <c r="Q54" s="884">
        <v>38</v>
      </c>
      <c r="R54" s="885"/>
      <c r="S54" s="843">
        <f t="shared" si="0"/>
        <v>2</v>
      </c>
      <c r="T54" s="843">
        <v>1</v>
      </c>
      <c r="U54" s="843">
        <v>0</v>
      </c>
      <c r="V54" s="843">
        <v>1</v>
      </c>
      <c r="W54" s="843">
        <v>0</v>
      </c>
      <c r="X54" s="843">
        <v>0</v>
      </c>
      <c r="Y54" s="843">
        <v>1</v>
      </c>
      <c r="Z54" s="843">
        <v>1</v>
      </c>
      <c r="AA54" s="256" t="str">
        <f t="shared" si="1"/>
        <v>00047.ដឺមី27 CHIP MONG #DKS0047</v>
      </c>
      <c r="AB54" s="1145" t="str">
        <f t="shared" si="2"/>
        <v>00047.ដឺមី27</v>
      </c>
    </row>
    <row r="55" spans="3:28" ht="24.95" customHeight="1">
      <c r="C55" s="843">
        <v>48</v>
      </c>
      <c r="D55" s="843"/>
      <c r="E55" s="843"/>
      <c r="F55" s="1116" t="s">
        <v>2404</v>
      </c>
      <c r="G55" s="1117" t="s">
        <v>2404</v>
      </c>
      <c r="H55" s="868" t="s">
        <v>2401</v>
      </c>
      <c r="I55" s="1118" t="s">
        <v>2401</v>
      </c>
      <c r="J55" s="870" t="s">
        <v>2939</v>
      </c>
      <c r="K55" s="1138" t="s">
        <v>2954</v>
      </c>
      <c r="L55" s="1138" t="s">
        <v>2972</v>
      </c>
      <c r="M55" s="870" t="s">
        <v>2397</v>
      </c>
      <c r="N55" s="868" t="s">
        <v>2309</v>
      </c>
      <c r="O55" s="1118"/>
      <c r="P55" s="1119">
        <v>0.12</v>
      </c>
      <c r="Q55" s="884">
        <v>0.25</v>
      </c>
      <c r="R55" s="885"/>
      <c r="S55" s="843">
        <f t="shared" si="0"/>
        <v>2</v>
      </c>
      <c r="T55" s="843">
        <v>1</v>
      </c>
      <c r="U55" s="843">
        <v>0</v>
      </c>
      <c r="V55" s="843">
        <v>1</v>
      </c>
      <c r="W55" s="843">
        <v>0</v>
      </c>
      <c r="X55" s="843">
        <v>0</v>
      </c>
      <c r="Y55" s="843">
        <v>1</v>
      </c>
      <c r="Z55" s="843">
        <v>1</v>
      </c>
      <c r="AA55" s="256" t="str">
        <f t="shared" si="1"/>
        <v>00048.សុង27 CHIP MONG #DKS0048</v>
      </c>
      <c r="AB55" s="1145" t="str">
        <f t="shared" si="2"/>
        <v>00048.សុង27</v>
      </c>
    </row>
    <row r="56" spans="3:28" ht="24.95" customHeight="1">
      <c r="C56" s="843">
        <v>49</v>
      </c>
      <c r="D56" s="843"/>
      <c r="E56" s="843"/>
      <c r="F56" s="1116" t="s">
        <v>2407</v>
      </c>
      <c r="G56" s="1117" t="s">
        <v>2407</v>
      </c>
      <c r="H56" s="868" t="s">
        <v>2403</v>
      </c>
      <c r="I56" s="1118" t="s">
        <v>2403</v>
      </c>
      <c r="J56" s="870" t="s">
        <v>2939</v>
      </c>
      <c r="K56" s="1138" t="s">
        <v>2954</v>
      </c>
      <c r="L56" s="1138" t="s">
        <v>2972</v>
      </c>
      <c r="M56" s="870" t="s">
        <v>2397</v>
      </c>
      <c r="N56" s="868" t="s">
        <v>2309</v>
      </c>
      <c r="O56" s="1118"/>
      <c r="P56" s="1119">
        <v>0.28000000000000003</v>
      </c>
      <c r="Q56" s="884">
        <v>0.38</v>
      </c>
      <c r="R56" s="885"/>
      <c r="S56" s="843">
        <f t="shared" si="0"/>
        <v>2</v>
      </c>
      <c r="T56" s="843">
        <v>1</v>
      </c>
      <c r="U56" s="843">
        <v>0</v>
      </c>
      <c r="V56" s="843">
        <v>1</v>
      </c>
      <c r="W56" s="843">
        <v>0</v>
      </c>
      <c r="X56" s="843">
        <v>0</v>
      </c>
      <c r="Y56" s="843">
        <v>1</v>
      </c>
      <c r="Z56" s="843">
        <v>1</v>
      </c>
      <c r="AA56" s="256" t="str">
        <f t="shared" si="1"/>
        <v>00049.តេ27 CHIP MONG #DKS0049</v>
      </c>
      <c r="AB56" s="1145" t="str">
        <f t="shared" si="2"/>
        <v>00049.តេ27</v>
      </c>
    </row>
    <row r="57" spans="3:28" ht="24.95" customHeight="1">
      <c r="C57" s="843">
        <v>50</v>
      </c>
      <c r="D57" s="843"/>
      <c r="E57" s="843"/>
      <c r="F57" s="1116" t="s">
        <v>2410</v>
      </c>
      <c r="G57" s="1117" t="s">
        <v>2410</v>
      </c>
      <c r="H57" s="868" t="s">
        <v>2405</v>
      </c>
      <c r="I57" s="1118" t="s">
        <v>2405</v>
      </c>
      <c r="J57" s="870" t="s">
        <v>2939</v>
      </c>
      <c r="K57" s="1138" t="s">
        <v>2954</v>
      </c>
      <c r="L57" s="1138" t="s">
        <v>2972</v>
      </c>
      <c r="M57" s="870" t="s">
        <v>2406</v>
      </c>
      <c r="N57" s="868" t="s">
        <v>2309</v>
      </c>
      <c r="O57" s="1118"/>
      <c r="P57" s="1119">
        <v>0.123</v>
      </c>
      <c r="Q57" s="884">
        <v>0.25</v>
      </c>
      <c r="R57" s="885"/>
      <c r="S57" s="843">
        <f t="shared" si="0"/>
        <v>2</v>
      </c>
      <c r="T57" s="843">
        <v>1</v>
      </c>
      <c r="U57" s="843">
        <v>0</v>
      </c>
      <c r="V57" s="843">
        <v>1</v>
      </c>
      <c r="W57" s="843">
        <v>0</v>
      </c>
      <c r="X57" s="843">
        <v>0</v>
      </c>
      <c r="Y57" s="843">
        <v>1</v>
      </c>
      <c r="Z57" s="843">
        <v>1</v>
      </c>
      <c r="AA57" s="256" t="str">
        <f t="shared" si="1"/>
        <v>00050.កែង21 CHIP MONG #DKS0050</v>
      </c>
      <c r="AB57" s="1145" t="str">
        <f t="shared" si="2"/>
        <v>00050.កែង21</v>
      </c>
    </row>
    <row r="58" spans="3:28" ht="24.95" customHeight="1">
      <c r="C58" s="843">
        <v>51</v>
      </c>
      <c r="D58" s="843"/>
      <c r="E58" s="843"/>
      <c r="F58" s="1116" t="s">
        <v>2413</v>
      </c>
      <c r="G58" s="1117" t="s">
        <v>2413</v>
      </c>
      <c r="H58" s="868" t="s">
        <v>2408</v>
      </c>
      <c r="I58" s="1118" t="s">
        <v>2408</v>
      </c>
      <c r="J58" s="870" t="s">
        <v>2939</v>
      </c>
      <c r="K58" s="1138" t="s">
        <v>2954</v>
      </c>
      <c r="L58" s="1138" t="s">
        <v>2972</v>
      </c>
      <c r="M58" s="870" t="s">
        <v>2409</v>
      </c>
      <c r="N58" s="868" t="s">
        <v>2309</v>
      </c>
      <c r="O58" s="1118"/>
      <c r="P58" s="1119">
        <v>4.4859999999999998</v>
      </c>
      <c r="Q58" s="884">
        <v>5</v>
      </c>
      <c r="R58" s="885"/>
      <c r="S58" s="843">
        <f t="shared" si="0"/>
        <v>2</v>
      </c>
      <c r="T58" s="843">
        <v>1</v>
      </c>
      <c r="U58" s="843">
        <v>0</v>
      </c>
      <c r="V58" s="843">
        <v>1</v>
      </c>
      <c r="W58" s="843">
        <v>0</v>
      </c>
      <c r="X58" s="843">
        <v>0</v>
      </c>
      <c r="Y58" s="843">
        <v>1</v>
      </c>
      <c r="Z58" s="843">
        <v>1</v>
      </c>
      <c r="AA58" s="256" t="str">
        <f t="shared" si="1"/>
        <v>00051.តេ100*80 CHIP MONG #DKS0051</v>
      </c>
      <c r="AB58" s="1145" t="str">
        <f t="shared" si="2"/>
        <v>00051.តេ100*80</v>
      </c>
    </row>
    <row r="59" spans="3:28" ht="24.95" customHeight="1">
      <c r="C59" s="843">
        <v>52</v>
      </c>
      <c r="D59" s="843"/>
      <c r="E59" s="843"/>
      <c r="F59" s="1116" t="s">
        <v>2416</v>
      </c>
      <c r="G59" s="1117" t="s">
        <v>2416</v>
      </c>
      <c r="H59" s="868" t="s">
        <v>2411</v>
      </c>
      <c r="I59" s="1118" t="s">
        <v>2411</v>
      </c>
      <c r="J59" s="870" t="s">
        <v>2939</v>
      </c>
      <c r="K59" s="1138" t="s">
        <v>2954</v>
      </c>
      <c r="L59" s="1138" t="s">
        <v>2972</v>
      </c>
      <c r="M59" s="870" t="s">
        <v>2412</v>
      </c>
      <c r="N59" s="868" t="s">
        <v>2309</v>
      </c>
      <c r="O59" s="1118"/>
      <c r="P59" s="1119">
        <v>1.91</v>
      </c>
      <c r="Q59" s="884">
        <v>2.5</v>
      </c>
      <c r="R59" s="885"/>
      <c r="S59" s="843">
        <f t="shared" si="0"/>
        <v>2</v>
      </c>
      <c r="T59" s="843">
        <v>1</v>
      </c>
      <c r="U59" s="843">
        <v>0</v>
      </c>
      <c r="V59" s="843">
        <v>1</v>
      </c>
      <c r="W59" s="843">
        <v>0</v>
      </c>
      <c r="X59" s="843">
        <v>0</v>
      </c>
      <c r="Y59" s="843">
        <v>1</v>
      </c>
      <c r="Z59" s="843">
        <v>1</v>
      </c>
      <c r="AA59" s="256" t="str">
        <f t="shared" si="1"/>
        <v>00052.តេ80*60 CHIP MONG #DKS0052</v>
      </c>
      <c r="AB59" s="1145" t="str">
        <f t="shared" si="2"/>
        <v>00052.តេ80*60</v>
      </c>
    </row>
    <row r="60" spans="3:28" ht="24.95" customHeight="1">
      <c r="C60" s="843">
        <v>53</v>
      </c>
      <c r="D60" s="843"/>
      <c r="E60" s="843"/>
      <c r="F60" s="1116" t="s">
        <v>2419</v>
      </c>
      <c r="G60" s="1117" t="s">
        <v>2419</v>
      </c>
      <c r="H60" s="868" t="s">
        <v>2414</v>
      </c>
      <c r="I60" s="1118" t="s">
        <v>2414</v>
      </c>
      <c r="J60" s="870" t="s">
        <v>2939</v>
      </c>
      <c r="K60" s="1138" t="s">
        <v>2954</v>
      </c>
      <c r="L60" s="1138" t="s">
        <v>2972</v>
      </c>
      <c r="M60" s="870" t="s">
        <v>2415</v>
      </c>
      <c r="N60" s="868" t="s">
        <v>2309</v>
      </c>
      <c r="O60" s="1118"/>
      <c r="P60" s="1119">
        <v>0.95099999999999996</v>
      </c>
      <c r="Q60" s="884">
        <v>1.5</v>
      </c>
      <c r="R60" s="885"/>
      <c r="S60" s="843">
        <f t="shared" si="0"/>
        <v>2</v>
      </c>
      <c r="T60" s="843">
        <v>1</v>
      </c>
      <c r="U60" s="843">
        <v>0</v>
      </c>
      <c r="V60" s="843">
        <v>1</v>
      </c>
      <c r="W60" s="843">
        <v>0</v>
      </c>
      <c r="X60" s="843">
        <v>0</v>
      </c>
      <c r="Y60" s="843">
        <v>1</v>
      </c>
      <c r="Z60" s="843">
        <v>1</v>
      </c>
      <c r="AA60" s="256" t="str">
        <f t="shared" si="1"/>
        <v>00053.តេ60*49 CHIP MONG #DKS0053</v>
      </c>
      <c r="AB60" s="1145" t="str">
        <f t="shared" si="2"/>
        <v>00053.តេ60*49</v>
      </c>
    </row>
    <row r="61" spans="3:28" ht="24.95" customHeight="1">
      <c r="C61" s="843">
        <v>54</v>
      </c>
      <c r="D61" s="843"/>
      <c r="E61" s="843"/>
      <c r="F61" s="1116" t="s">
        <v>2421</v>
      </c>
      <c r="G61" s="1117" t="s">
        <v>2421</v>
      </c>
      <c r="H61" s="868" t="s">
        <v>2417</v>
      </c>
      <c r="I61" s="1118" t="s">
        <v>2417</v>
      </c>
      <c r="J61" s="870" t="s">
        <v>2939</v>
      </c>
      <c r="K61" s="1138" t="s">
        <v>2954</v>
      </c>
      <c r="L61" s="1138" t="s">
        <v>2972</v>
      </c>
      <c r="M61" s="870" t="s">
        <v>2418</v>
      </c>
      <c r="N61" s="868" t="s">
        <v>2309</v>
      </c>
      <c r="O61" s="1118"/>
      <c r="P61" s="1119">
        <v>2.1240000000000001</v>
      </c>
      <c r="Q61" s="884">
        <v>2.5</v>
      </c>
      <c r="R61" s="885"/>
      <c r="S61" s="843">
        <f t="shared" si="0"/>
        <v>2</v>
      </c>
      <c r="T61" s="843">
        <v>1</v>
      </c>
      <c r="U61" s="843">
        <v>0</v>
      </c>
      <c r="V61" s="843">
        <v>1</v>
      </c>
      <c r="W61" s="843">
        <v>0</v>
      </c>
      <c r="X61" s="843">
        <v>0</v>
      </c>
      <c r="Y61" s="843">
        <v>1</v>
      </c>
      <c r="Z61" s="843">
        <v>1</v>
      </c>
      <c r="AA61" s="256" t="str">
        <f t="shared" si="1"/>
        <v>00054.ដំណរ100*80 CHIP MONG #DKS0054</v>
      </c>
      <c r="AB61" s="1145" t="str">
        <f t="shared" si="2"/>
        <v>00054.ដំណរ100*80</v>
      </c>
    </row>
    <row r="62" spans="3:28" ht="24.95" customHeight="1">
      <c r="C62" s="843">
        <v>55</v>
      </c>
      <c r="D62" s="843"/>
      <c r="E62" s="843"/>
      <c r="F62" s="1116" t="s">
        <v>2423</v>
      </c>
      <c r="G62" s="1117" t="s">
        <v>2423</v>
      </c>
      <c r="H62" s="868" t="s">
        <v>2420</v>
      </c>
      <c r="I62" s="1118" t="s">
        <v>2420</v>
      </c>
      <c r="J62" s="870" t="s">
        <v>2939</v>
      </c>
      <c r="K62" s="1138" t="s">
        <v>2954</v>
      </c>
      <c r="L62" s="1138" t="s">
        <v>2972</v>
      </c>
      <c r="M62" s="870" t="s">
        <v>2412</v>
      </c>
      <c r="N62" s="868" t="s">
        <v>2309</v>
      </c>
      <c r="O62" s="1118"/>
      <c r="P62" s="1119">
        <v>1.077</v>
      </c>
      <c r="Q62" s="884">
        <v>1.5</v>
      </c>
      <c r="R62" s="885"/>
      <c r="S62" s="843">
        <f t="shared" si="0"/>
        <v>2</v>
      </c>
      <c r="T62" s="843">
        <v>1</v>
      </c>
      <c r="U62" s="843">
        <v>0</v>
      </c>
      <c r="V62" s="843">
        <v>1</v>
      </c>
      <c r="W62" s="843">
        <v>0</v>
      </c>
      <c r="X62" s="843">
        <v>0</v>
      </c>
      <c r="Y62" s="843">
        <v>1</v>
      </c>
      <c r="Z62" s="843">
        <v>1</v>
      </c>
      <c r="AA62" s="256" t="str">
        <f t="shared" si="1"/>
        <v>00055.ដំណរ80*60 CHIP MONG #DKS0055</v>
      </c>
      <c r="AB62" s="1145" t="str">
        <f t="shared" si="2"/>
        <v>00055.ដំណរ80*60</v>
      </c>
    </row>
    <row r="63" spans="3:28" ht="24.95" customHeight="1">
      <c r="C63" s="843">
        <v>56</v>
      </c>
      <c r="D63" s="843"/>
      <c r="E63" s="843"/>
      <c r="F63" s="1116" t="s">
        <v>2425</v>
      </c>
      <c r="G63" s="1117" t="s">
        <v>2425</v>
      </c>
      <c r="H63" s="868" t="s">
        <v>2422</v>
      </c>
      <c r="I63" s="1118" t="s">
        <v>2422</v>
      </c>
      <c r="J63" s="870" t="s">
        <v>2939</v>
      </c>
      <c r="K63" s="1138" t="s">
        <v>2954</v>
      </c>
      <c r="L63" s="1138" t="s">
        <v>2972</v>
      </c>
      <c r="M63" s="870" t="s">
        <v>2415</v>
      </c>
      <c r="N63" s="868" t="s">
        <v>2309</v>
      </c>
      <c r="O63" s="1118"/>
      <c r="P63" s="1119">
        <v>0.55000000000000004</v>
      </c>
      <c r="Q63" s="884">
        <v>0.75</v>
      </c>
      <c r="R63" s="885"/>
      <c r="S63" s="843">
        <f t="shared" si="0"/>
        <v>2</v>
      </c>
      <c r="T63" s="843">
        <v>1</v>
      </c>
      <c r="U63" s="843">
        <v>0</v>
      </c>
      <c r="V63" s="843">
        <v>1</v>
      </c>
      <c r="W63" s="843">
        <v>0</v>
      </c>
      <c r="X63" s="843">
        <v>0</v>
      </c>
      <c r="Y63" s="843">
        <v>1</v>
      </c>
      <c r="Z63" s="843">
        <v>1</v>
      </c>
      <c r="AA63" s="256" t="str">
        <f t="shared" si="1"/>
        <v>00056.ដំណរ60*49 CHIP MONG #DKS0056</v>
      </c>
      <c r="AB63" s="1145" t="str">
        <f t="shared" si="2"/>
        <v>00056.ដំណរ60*49</v>
      </c>
    </row>
    <row r="64" spans="3:28" ht="24.95" customHeight="1">
      <c r="C64" s="843">
        <v>57</v>
      </c>
      <c r="D64" s="843"/>
      <c r="E64" s="843"/>
      <c r="F64" s="1116" t="s">
        <v>2427</v>
      </c>
      <c r="G64" s="1117" t="s">
        <v>2427</v>
      </c>
      <c r="H64" s="868" t="s">
        <v>2424</v>
      </c>
      <c r="I64" s="1118" t="s">
        <v>2424</v>
      </c>
      <c r="J64" s="870" t="s">
        <v>2939</v>
      </c>
      <c r="K64" s="1138" t="s">
        <v>2954</v>
      </c>
      <c r="L64" s="1138" t="s">
        <v>2972</v>
      </c>
      <c r="M64" s="870" t="s">
        <v>2353</v>
      </c>
      <c r="N64" s="868" t="s">
        <v>2309</v>
      </c>
      <c r="O64" s="1118"/>
      <c r="P64" s="1119">
        <v>7.44</v>
      </c>
      <c r="Q64" s="884">
        <v>8</v>
      </c>
      <c r="R64" s="885"/>
      <c r="S64" s="843">
        <f t="shared" si="0"/>
        <v>2</v>
      </c>
      <c r="T64" s="843">
        <v>1</v>
      </c>
      <c r="U64" s="843">
        <v>0</v>
      </c>
      <c r="V64" s="843">
        <v>1</v>
      </c>
      <c r="W64" s="843">
        <v>0</v>
      </c>
      <c r="X64" s="843">
        <v>0</v>
      </c>
      <c r="Y64" s="843">
        <v>1</v>
      </c>
      <c r="Z64" s="843">
        <v>1</v>
      </c>
      <c r="AA64" s="256" t="str">
        <f t="shared" si="1"/>
        <v>00057.តេអ៊ីការិច100 CHIP MONG #DKS0057</v>
      </c>
      <c r="AB64" s="1145" t="str">
        <f t="shared" si="2"/>
        <v>00057.តេអ៊ីការិច100</v>
      </c>
    </row>
    <row r="65" spans="3:28" ht="24.95" customHeight="1">
      <c r="C65" s="843">
        <v>58</v>
      </c>
      <c r="D65" s="843"/>
      <c r="E65" s="843"/>
      <c r="F65" s="1116" t="s">
        <v>2429</v>
      </c>
      <c r="G65" s="1117" t="s">
        <v>2429</v>
      </c>
      <c r="H65" s="868" t="s">
        <v>2426</v>
      </c>
      <c r="I65" s="1118" t="s">
        <v>2426</v>
      </c>
      <c r="J65" s="870" t="s">
        <v>2939</v>
      </c>
      <c r="K65" s="1138" t="s">
        <v>2954</v>
      </c>
      <c r="L65" s="1138" t="s">
        <v>2972</v>
      </c>
      <c r="M65" s="870" t="s">
        <v>2361</v>
      </c>
      <c r="N65" s="868" t="s">
        <v>2309</v>
      </c>
      <c r="O65" s="1118"/>
      <c r="P65" s="1119">
        <v>3.9729999999999999</v>
      </c>
      <c r="Q65" s="884">
        <v>4.5</v>
      </c>
      <c r="R65" s="885"/>
      <c r="S65" s="843">
        <f t="shared" si="0"/>
        <v>2</v>
      </c>
      <c r="T65" s="843">
        <v>1</v>
      </c>
      <c r="U65" s="843">
        <v>0</v>
      </c>
      <c r="V65" s="843">
        <v>1</v>
      </c>
      <c r="W65" s="843">
        <v>0</v>
      </c>
      <c r="X65" s="843">
        <v>0</v>
      </c>
      <c r="Y65" s="843">
        <v>1</v>
      </c>
      <c r="Z65" s="843">
        <v>1</v>
      </c>
      <c r="AA65" s="256" t="str">
        <f t="shared" si="1"/>
        <v>00058.តេអ៊ីការិច80 CHIP MONG #DKS0058</v>
      </c>
      <c r="AB65" s="1145" t="str">
        <f t="shared" si="2"/>
        <v>00058.តេអ៊ីការិច80</v>
      </c>
    </row>
    <row r="66" spans="3:28" ht="24.95" customHeight="1">
      <c r="C66" s="843">
        <v>59</v>
      </c>
      <c r="D66" s="843"/>
      <c r="E66" s="843"/>
      <c r="F66" s="1116" t="s">
        <v>2431</v>
      </c>
      <c r="G66" s="1117" t="s">
        <v>2431</v>
      </c>
      <c r="H66" s="868" t="s">
        <v>2428</v>
      </c>
      <c r="I66" s="1118" t="s">
        <v>2428</v>
      </c>
      <c r="J66" s="870" t="s">
        <v>2939</v>
      </c>
      <c r="K66" s="1138" t="s">
        <v>2954</v>
      </c>
      <c r="L66" s="1138" t="s">
        <v>2972</v>
      </c>
      <c r="M66" s="870" t="s">
        <v>2370</v>
      </c>
      <c r="N66" s="868" t="s">
        <v>2309</v>
      </c>
      <c r="O66" s="1118"/>
      <c r="P66" s="1119">
        <v>1.4450000000000001</v>
      </c>
      <c r="Q66" s="884">
        <v>2</v>
      </c>
      <c r="R66" s="885"/>
      <c r="S66" s="843">
        <f t="shared" si="0"/>
        <v>2</v>
      </c>
      <c r="T66" s="843">
        <v>1</v>
      </c>
      <c r="U66" s="843">
        <v>0</v>
      </c>
      <c r="V66" s="843">
        <v>1</v>
      </c>
      <c r="W66" s="843">
        <v>0</v>
      </c>
      <c r="X66" s="843">
        <v>0</v>
      </c>
      <c r="Y66" s="843">
        <v>1</v>
      </c>
      <c r="Z66" s="843">
        <v>1</v>
      </c>
      <c r="AA66" s="256" t="str">
        <f t="shared" si="1"/>
        <v>00059.តេអ៊ីការិច60 CHIP MONG #DKS0059</v>
      </c>
      <c r="AB66" s="1145" t="str">
        <f t="shared" si="2"/>
        <v>00059.តេអ៊ីការិច60</v>
      </c>
    </row>
    <row r="67" spans="3:28" ht="24.95" customHeight="1">
      <c r="C67" s="843">
        <v>60</v>
      </c>
      <c r="D67" s="843"/>
      <c r="E67" s="843"/>
      <c r="F67" s="1116" t="s">
        <v>2434</v>
      </c>
      <c r="G67" s="1117" t="s">
        <v>2434</v>
      </c>
      <c r="H67" s="868" t="s">
        <v>2430</v>
      </c>
      <c r="I67" s="1118" t="s">
        <v>2430</v>
      </c>
      <c r="J67" s="870" t="s">
        <v>2939</v>
      </c>
      <c r="K67" s="1138" t="s">
        <v>2954</v>
      </c>
      <c r="L67" s="1138" t="s">
        <v>2972</v>
      </c>
      <c r="M67" s="870" t="s">
        <v>2418</v>
      </c>
      <c r="N67" s="868" t="s">
        <v>2309</v>
      </c>
      <c r="O67" s="1118"/>
      <c r="P67" s="1119">
        <v>7.7779999999999996</v>
      </c>
      <c r="Q67" s="884">
        <v>8</v>
      </c>
      <c r="R67" s="885"/>
      <c r="S67" s="843">
        <f t="shared" si="0"/>
        <v>2</v>
      </c>
      <c r="T67" s="843">
        <v>1</v>
      </c>
      <c r="U67" s="843">
        <v>0</v>
      </c>
      <c r="V67" s="843">
        <v>1</v>
      </c>
      <c r="W67" s="843">
        <v>0</v>
      </c>
      <c r="X67" s="843">
        <v>0</v>
      </c>
      <c r="Y67" s="843">
        <v>1</v>
      </c>
      <c r="Z67" s="843">
        <v>1</v>
      </c>
      <c r="AA67" s="256" t="str">
        <f t="shared" si="1"/>
        <v>00060.តេអ៊ីការិច100*80 CHIP MONG #DKS0060</v>
      </c>
      <c r="AB67" s="1145" t="str">
        <f t="shared" si="2"/>
        <v>00060.តេអ៊ីការិច100*80</v>
      </c>
    </row>
    <row r="68" spans="3:28" ht="24.95" customHeight="1">
      <c r="C68" s="843">
        <v>61</v>
      </c>
      <c r="D68" s="843"/>
      <c r="E68" s="843"/>
      <c r="F68" s="1116" t="s">
        <v>2437</v>
      </c>
      <c r="G68" s="1117" t="s">
        <v>2437</v>
      </c>
      <c r="H68" s="868" t="s">
        <v>2432</v>
      </c>
      <c r="I68" s="1118" t="s">
        <v>2432</v>
      </c>
      <c r="J68" s="870" t="s">
        <v>2939</v>
      </c>
      <c r="K68" s="1138" t="s">
        <v>2954</v>
      </c>
      <c r="L68" s="1138" t="s">
        <v>2972</v>
      </c>
      <c r="M68" s="870" t="s">
        <v>2433</v>
      </c>
      <c r="N68" s="868" t="s">
        <v>2309</v>
      </c>
      <c r="O68" s="1118"/>
      <c r="P68" s="1119">
        <v>6.4080000000000004</v>
      </c>
      <c r="Q68" s="884">
        <v>7</v>
      </c>
      <c r="R68" s="885"/>
      <c r="S68" s="843">
        <f t="shared" si="0"/>
        <v>2</v>
      </c>
      <c r="T68" s="843">
        <v>1</v>
      </c>
      <c r="U68" s="843">
        <v>0</v>
      </c>
      <c r="V68" s="843">
        <v>1</v>
      </c>
      <c r="W68" s="843">
        <v>0</v>
      </c>
      <c r="X68" s="843">
        <v>0</v>
      </c>
      <c r="Y68" s="843">
        <v>1</v>
      </c>
      <c r="Z68" s="843">
        <v>1</v>
      </c>
      <c r="AA68" s="256" t="str">
        <f t="shared" si="1"/>
        <v>00061.តេអ៊ីការិច100*60 CHIP MONG #DKS0061</v>
      </c>
      <c r="AB68" s="1145" t="str">
        <f t="shared" si="2"/>
        <v>00061.តេអ៊ីការិច100*60</v>
      </c>
    </row>
    <row r="69" spans="3:28" ht="24.95" customHeight="1">
      <c r="C69" s="843">
        <v>62</v>
      </c>
      <c r="D69" s="843"/>
      <c r="E69" s="843"/>
      <c r="F69" s="1116" t="s">
        <v>2440</v>
      </c>
      <c r="G69" s="1117" t="s">
        <v>2440</v>
      </c>
      <c r="H69" s="868" t="s">
        <v>2435</v>
      </c>
      <c r="I69" s="1118" t="s">
        <v>2435</v>
      </c>
      <c r="J69" s="870" t="s">
        <v>2939</v>
      </c>
      <c r="K69" s="1138" t="s">
        <v>2954</v>
      </c>
      <c r="L69" s="1138" t="s">
        <v>2972</v>
      </c>
      <c r="M69" s="870" t="s">
        <v>2436</v>
      </c>
      <c r="N69" s="868" t="s">
        <v>2309</v>
      </c>
      <c r="O69" s="1118"/>
      <c r="P69" s="1119">
        <v>4.327</v>
      </c>
      <c r="Q69" s="884">
        <v>5</v>
      </c>
      <c r="R69" s="885"/>
      <c r="S69" s="843">
        <f t="shared" si="0"/>
        <v>2</v>
      </c>
      <c r="T69" s="843">
        <v>1</v>
      </c>
      <c r="U69" s="843">
        <v>0</v>
      </c>
      <c r="V69" s="843">
        <v>1</v>
      </c>
      <c r="W69" s="843">
        <v>0</v>
      </c>
      <c r="X69" s="843">
        <v>0</v>
      </c>
      <c r="Y69" s="843">
        <v>1</v>
      </c>
      <c r="Z69" s="843">
        <v>1</v>
      </c>
      <c r="AA69" s="256" t="str">
        <f t="shared" si="1"/>
        <v>00062.តេអ៊ីការិច80*60 CHIP MONG #DKS0062</v>
      </c>
      <c r="AB69" s="1145" t="str">
        <f t="shared" si="2"/>
        <v>00062.តេអ៊ីការិច80*60</v>
      </c>
    </row>
    <row r="70" spans="3:28" ht="24.95" customHeight="1">
      <c r="C70" s="843">
        <v>63</v>
      </c>
      <c r="D70" s="843"/>
      <c r="E70" s="843"/>
      <c r="F70" s="1116" t="s">
        <v>2442</v>
      </c>
      <c r="G70" s="1117" t="s">
        <v>2442</v>
      </c>
      <c r="H70" s="868" t="s">
        <v>2438</v>
      </c>
      <c r="I70" s="1118" t="s">
        <v>2438</v>
      </c>
      <c r="J70" s="870" t="s">
        <v>2939</v>
      </c>
      <c r="K70" s="1138" t="s">
        <v>2954</v>
      </c>
      <c r="L70" s="1138" t="s">
        <v>2972</v>
      </c>
      <c r="M70" s="870" t="s">
        <v>2439</v>
      </c>
      <c r="N70" s="868" t="s">
        <v>2309</v>
      </c>
      <c r="O70" s="1118"/>
      <c r="P70" s="1119">
        <v>4.327</v>
      </c>
      <c r="Q70" s="884">
        <v>6</v>
      </c>
      <c r="R70" s="885"/>
      <c r="S70" s="843">
        <f t="shared" si="0"/>
        <v>2</v>
      </c>
      <c r="T70" s="843">
        <v>1</v>
      </c>
      <c r="U70" s="843">
        <v>0</v>
      </c>
      <c r="V70" s="843">
        <v>1</v>
      </c>
      <c r="W70" s="843">
        <v>0</v>
      </c>
      <c r="X70" s="843">
        <v>0</v>
      </c>
      <c r="Y70" s="843">
        <v>1</v>
      </c>
      <c r="Z70" s="843">
        <v>1</v>
      </c>
      <c r="AA70" s="256" t="str">
        <f t="shared" si="1"/>
        <v>00063.តេអ៊ីការិច80*49 CHIP MONG #DKS0063</v>
      </c>
      <c r="AB70" s="1145" t="str">
        <f t="shared" si="2"/>
        <v>00063.តេអ៊ីការិច80*49</v>
      </c>
    </row>
    <row r="71" spans="3:28" ht="24.95" customHeight="1">
      <c r="C71" s="843">
        <v>64</v>
      </c>
      <c r="D71" s="843"/>
      <c r="E71" s="843"/>
      <c r="F71" s="1116" t="s">
        <v>2444</v>
      </c>
      <c r="G71" s="1117" t="s">
        <v>2444</v>
      </c>
      <c r="H71" s="868" t="s">
        <v>2441</v>
      </c>
      <c r="I71" s="1118" t="s">
        <v>2441</v>
      </c>
      <c r="J71" s="870" t="s">
        <v>2939</v>
      </c>
      <c r="K71" s="1138" t="s">
        <v>2954</v>
      </c>
      <c r="L71" s="1138" t="s">
        <v>2972</v>
      </c>
      <c r="M71" s="870" t="s">
        <v>2353</v>
      </c>
      <c r="N71" s="868" t="s">
        <v>2309</v>
      </c>
      <c r="O71" s="1118"/>
      <c r="P71" s="1119">
        <v>1.9</v>
      </c>
      <c r="Q71" s="884">
        <v>2.25</v>
      </c>
      <c r="R71" s="885"/>
      <c r="S71" s="843">
        <f t="shared" si="0"/>
        <v>2</v>
      </c>
      <c r="T71" s="843">
        <v>1</v>
      </c>
      <c r="U71" s="843">
        <v>0</v>
      </c>
      <c r="V71" s="843">
        <v>1</v>
      </c>
      <c r="W71" s="843">
        <v>0</v>
      </c>
      <c r="X71" s="843">
        <v>0</v>
      </c>
      <c r="Y71" s="843">
        <v>1</v>
      </c>
      <c r="Z71" s="843">
        <v>1</v>
      </c>
      <c r="AA71" s="256" t="str">
        <f t="shared" si="1"/>
        <v>00064.គំរប100 CHIP MONG #DKS0064</v>
      </c>
      <c r="AB71" s="1145" t="str">
        <f t="shared" si="2"/>
        <v>00064.គំរប100</v>
      </c>
    </row>
    <row r="72" spans="3:28" ht="24.95" customHeight="1">
      <c r="C72" s="843">
        <v>65</v>
      </c>
      <c r="D72" s="843"/>
      <c r="E72" s="843"/>
      <c r="F72" s="1116" t="s">
        <v>2447</v>
      </c>
      <c r="G72" s="1117" t="s">
        <v>2447</v>
      </c>
      <c r="H72" s="868" t="s">
        <v>2443</v>
      </c>
      <c r="I72" s="1118" t="s">
        <v>2443</v>
      </c>
      <c r="J72" s="870" t="s">
        <v>2939</v>
      </c>
      <c r="K72" s="1138" t="s">
        <v>2954</v>
      </c>
      <c r="L72" s="1138" t="s">
        <v>2972</v>
      </c>
      <c r="M72" s="870" t="s">
        <v>2361</v>
      </c>
      <c r="N72" s="868" t="s">
        <v>2309</v>
      </c>
      <c r="O72" s="1118"/>
      <c r="P72" s="1119">
        <v>1.18</v>
      </c>
      <c r="Q72" s="884">
        <v>1.5</v>
      </c>
      <c r="R72" s="885"/>
      <c r="S72" s="843">
        <f t="shared" si="0"/>
        <v>2</v>
      </c>
      <c r="T72" s="843">
        <v>1</v>
      </c>
      <c r="U72" s="843">
        <v>0</v>
      </c>
      <c r="V72" s="843">
        <v>1</v>
      </c>
      <c r="W72" s="843">
        <v>0</v>
      </c>
      <c r="X72" s="843">
        <v>0</v>
      </c>
      <c r="Y72" s="843">
        <v>1</v>
      </c>
      <c r="Z72" s="843">
        <v>1</v>
      </c>
      <c r="AA72" s="256" t="str">
        <f t="shared" si="1"/>
        <v>00065.គំរប80 CHIP MONG #DKS0065</v>
      </c>
      <c r="AB72" s="1145" t="str">
        <f t="shared" si="2"/>
        <v>00065.គំរប80</v>
      </c>
    </row>
    <row r="73" spans="3:28" ht="24.95" customHeight="1">
      <c r="C73" s="843">
        <v>66</v>
      </c>
      <c r="D73" s="843"/>
      <c r="E73" s="843"/>
      <c r="F73" s="1116" t="s">
        <v>2449</v>
      </c>
      <c r="G73" s="1117" t="s">
        <v>2449</v>
      </c>
      <c r="H73" s="868" t="s">
        <v>2445</v>
      </c>
      <c r="I73" s="1118" t="s">
        <v>2445</v>
      </c>
      <c r="J73" s="870" t="s">
        <v>2939</v>
      </c>
      <c r="K73" s="1138" t="s">
        <v>2954</v>
      </c>
      <c r="L73" s="1138" t="s">
        <v>2972</v>
      </c>
      <c r="M73" s="870" t="s">
        <v>2446</v>
      </c>
      <c r="N73" s="868" t="s">
        <v>2309</v>
      </c>
      <c r="O73" s="1118"/>
      <c r="P73" s="1119">
        <v>0.40899999999999997</v>
      </c>
      <c r="Q73" s="884">
        <v>0.75</v>
      </c>
      <c r="R73" s="885"/>
      <c r="S73" s="843">
        <f t="shared" ref="S73:S136" si="3">IF(J73="","",MID(J73,1,3)*1)</f>
        <v>2</v>
      </c>
      <c r="T73" s="843">
        <v>1</v>
      </c>
      <c r="U73" s="843">
        <v>0</v>
      </c>
      <c r="V73" s="843">
        <v>1</v>
      </c>
      <c r="W73" s="843">
        <v>0</v>
      </c>
      <c r="X73" s="843">
        <v>0</v>
      </c>
      <c r="Y73" s="843">
        <v>1</v>
      </c>
      <c r="Z73" s="843">
        <v>1</v>
      </c>
      <c r="AA73" s="256" t="str">
        <f t="shared" ref="AA73:AA136" si="4">IF(AND(C73&lt;&gt;"",H73&lt;&gt;""),TEXT(C73,"00000")&amp;"."&amp;H73&amp;" "&amp;MID(L73,5,100)&amp;" #"&amp;F73,"")</f>
        <v>00066.គំរប49 CHIP MONG #DKS0066</v>
      </c>
      <c r="AB73" s="1145" t="str">
        <f t="shared" ref="AB73:AB136" si="5">IF(AND(C73&lt;&gt;"",H73&lt;&gt;""),TEXT(C73,"00000")&amp;"."&amp;H73,"")</f>
        <v>00066.គំរប49</v>
      </c>
    </row>
    <row r="74" spans="3:28" ht="24.95" customHeight="1">
      <c r="C74" s="843">
        <v>67</v>
      </c>
      <c r="D74" s="843"/>
      <c r="E74" s="843"/>
      <c r="F74" s="1116" t="s">
        <v>2451</v>
      </c>
      <c r="G74" s="1117" t="s">
        <v>2451</v>
      </c>
      <c r="H74" s="868" t="s">
        <v>2448</v>
      </c>
      <c r="I74" s="1118" t="s">
        <v>2448</v>
      </c>
      <c r="J74" s="870" t="s">
        <v>2939</v>
      </c>
      <c r="K74" s="1138" t="s">
        <v>2954</v>
      </c>
      <c r="L74" s="1138" t="s">
        <v>2972</v>
      </c>
      <c r="M74" s="870" t="s">
        <v>2370</v>
      </c>
      <c r="N74" s="868" t="s">
        <v>2309</v>
      </c>
      <c r="O74" s="1118"/>
      <c r="P74" s="1119">
        <v>0.75</v>
      </c>
      <c r="Q74" s="884">
        <v>1</v>
      </c>
      <c r="R74" s="885"/>
      <c r="S74" s="843">
        <f t="shared" si="3"/>
        <v>2</v>
      </c>
      <c r="T74" s="843">
        <v>1</v>
      </c>
      <c r="U74" s="843">
        <v>0</v>
      </c>
      <c r="V74" s="843">
        <v>1</v>
      </c>
      <c r="W74" s="843">
        <v>0</v>
      </c>
      <c r="X74" s="843">
        <v>0</v>
      </c>
      <c r="Y74" s="843">
        <v>1</v>
      </c>
      <c r="Z74" s="843">
        <v>1</v>
      </c>
      <c r="AA74" s="256" t="str">
        <f t="shared" si="4"/>
        <v>00067.សុងធ្មេញក្រៅ60 CHIP MONG #DKS0067</v>
      </c>
      <c r="AB74" s="1145" t="str">
        <f t="shared" si="5"/>
        <v>00067.សុងធ្មេញក្រៅ60</v>
      </c>
    </row>
    <row r="75" spans="3:28" ht="24.95" customHeight="1">
      <c r="C75" s="843">
        <v>68</v>
      </c>
      <c r="D75" s="843"/>
      <c r="E75" s="843"/>
      <c r="F75" s="1116" t="s">
        <v>2454</v>
      </c>
      <c r="G75" s="1117" t="s">
        <v>2454</v>
      </c>
      <c r="H75" s="868" t="s">
        <v>2450</v>
      </c>
      <c r="I75" s="1118" t="s">
        <v>2450</v>
      </c>
      <c r="J75" s="870" t="s">
        <v>2939</v>
      </c>
      <c r="K75" s="1138" t="s">
        <v>2954</v>
      </c>
      <c r="L75" s="1138" t="s">
        <v>2972</v>
      </c>
      <c r="M75" s="870" t="s">
        <v>2446</v>
      </c>
      <c r="N75" s="868" t="s">
        <v>2309</v>
      </c>
      <c r="O75" s="1118"/>
      <c r="P75" s="1119">
        <v>0.52500000000000002</v>
      </c>
      <c r="Q75" s="884">
        <v>0.75</v>
      </c>
      <c r="R75" s="885"/>
      <c r="S75" s="843">
        <f t="shared" si="3"/>
        <v>2</v>
      </c>
      <c r="T75" s="843">
        <v>1</v>
      </c>
      <c r="U75" s="843">
        <v>0</v>
      </c>
      <c r="V75" s="843">
        <v>1</v>
      </c>
      <c r="W75" s="843">
        <v>0</v>
      </c>
      <c r="X75" s="843">
        <v>0</v>
      </c>
      <c r="Y75" s="843">
        <v>1</v>
      </c>
      <c r="Z75" s="843">
        <v>1</v>
      </c>
      <c r="AA75" s="256" t="str">
        <f t="shared" si="4"/>
        <v>00068.សុងធ្មេញក្រៅ49 CHIP MONG #DKS0068</v>
      </c>
      <c r="AB75" s="1145" t="str">
        <f t="shared" si="5"/>
        <v>00068.សុងធ្មេញក្រៅ49</v>
      </c>
    </row>
    <row r="76" spans="3:28" ht="24.95" customHeight="1">
      <c r="C76" s="843">
        <v>69</v>
      </c>
      <c r="D76" s="843"/>
      <c r="E76" s="843"/>
      <c r="F76" s="1116" t="s">
        <v>2457</v>
      </c>
      <c r="G76" s="1117" t="s">
        <v>2457</v>
      </c>
      <c r="H76" s="868" t="s">
        <v>2452</v>
      </c>
      <c r="I76" s="1118" t="s">
        <v>2452</v>
      </c>
      <c r="J76" s="870" t="s">
        <v>2939</v>
      </c>
      <c r="K76" s="1138" t="s">
        <v>2954</v>
      </c>
      <c r="L76" s="1138" t="s">
        <v>2972</v>
      </c>
      <c r="M76" s="870" t="s">
        <v>2453</v>
      </c>
      <c r="N76" s="868" t="s">
        <v>2309</v>
      </c>
      <c r="O76" s="1118"/>
      <c r="P76" s="1119">
        <v>0.25</v>
      </c>
      <c r="Q76" s="884">
        <v>0.5</v>
      </c>
      <c r="R76" s="885"/>
      <c r="S76" s="843">
        <f t="shared" si="3"/>
        <v>2</v>
      </c>
      <c r="T76" s="843">
        <v>1</v>
      </c>
      <c r="U76" s="843">
        <v>0</v>
      </c>
      <c r="V76" s="843">
        <v>1</v>
      </c>
      <c r="W76" s="843">
        <v>0</v>
      </c>
      <c r="X76" s="843">
        <v>0</v>
      </c>
      <c r="Y76" s="843">
        <v>1</v>
      </c>
      <c r="Z76" s="843">
        <v>1</v>
      </c>
      <c r="AA76" s="256" t="str">
        <f t="shared" si="4"/>
        <v>00069.សុងធ្មេញក្រៅ34 CHIP MONG #DKS0069</v>
      </c>
      <c r="AB76" s="1145" t="str">
        <f t="shared" si="5"/>
        <v>00069.សុងធ្មេញក្រៅ34</v>
      </c>
    </row>
    <row r="77" spans="3:28" ht="24.95" customHeight="1">
      <c r="C77" s="843">
        <v>70</v>
      </c>
      <c r="D77" s="843"/>
      <c r="E77" s="843"/>
      <c r="F77" s="1116" t="s">
        <v>2460</v>
      </c>
      <c r="G77" s="1117" t="s">
        <v>2460</v>
      </c>
      <c r="H77" s="868" t="s">
        <v>2455</v>
      </c>
      <c r="I77" s="1118" t="s">
        <v>2455</v>
      </c>
      <c r="J77" s="870" t="s">
        <v>2939</v>
      </c>
      <c r="K77" s="1138" t="s">
        <v>2954</v>
      </c>
      <c r="L77" s="1138" t="s">
        <v>2972</v>
      </c>
      <c r="M77" s="870" t="s">
        <v>2456</v>
      </c>
      <c r="N77" s="868" t="s">
        <v>2309</v>
      </c>
      <c r="O77" s="1118"/>
      <c r="P77" s="1119">
        <v>0.15</v>
      </c>
      <c r="Q77" s="884">
        <v>0.25</v>
      </c>
      <c r="R77" s="885"/>
      <c r="S77" s="843">
        <f t="shared" si="3"/>
        <v>2</v>
      </c>
      <c r="T77" s="843">
        <v>1</v>
      </c>
      <c r="U77" s="843">
        <v>0</v>
      </c>
      <c r="V77" s="843">
        <v>1</v>
      </c>
      <c r="W77" s="843">
        <v>0</v>
      </c>
      <c r="X77" s="843">
        <v>0</v>
      </c>
      <c r="Y77" s="843">
        <v>1</v>
      </c>
      <c r="Z77" s="843">
        <v>1</v>
      </c>
      <c r="AA77" s="256" t="str">
        <f t="shared" si="4"/>
        <v>00070.សុងធ្មេញក្រៅ27 CHIP MONG #DKS0070</v>
      </c>
      <c r="AB77" s="1145" t="str">
        <f t="shared" si="5"/>
        <v>00070.សុងធ្មេញក្រៅ27</v>
      </c>
    </row>
    <row r="78" spans="3:28" ht="24.95" customHeight="1">
      <c r="C78" s="843">
        <v>71</v>
      </c>
      <c r="D78" s="843"/>
      <c r="E78" s="843"/>
      <c r="F78" s="1116" t="s">
        <v>2462</v>
      </c>
      <c r="G78" s="1117" t="s">
        <v>2462</v>
      </c>
      <c r="H78" s="868" t="s">
        <v>2458</v>
      </c>
      <c r="I78" s="1118" t="s">
        <v>2458</v>
      </c>
      <c r="J78" s="870" t="s">
        <v>2939</v>
      </c>
      <c r="K78" s="1138" t="s">
        <v>2954</v>
      </c>
      <c r="L78" s="1138" t="s">
        <v>2972</v>
      </c>
      <c r="M78" s="870" t="s">
        <v>2459</v>
      </c>
      <c r="N78" s="868" t="s">
        <v>2309</v>
      </c>
      <c r="O78" s="1118"/>
      <c r="P78" s="1119">
        <v>0.11</v>
      </c>
      <c r="Q78" s="884">
        <v>0.2</v>
      </c>
      <c r="R78" s="885"/>
      <c r="S78" s="843">
        <f t="shared" si="3"/>
        <v>2</v>
      </c>
      <c r="T78" s="843">
        <v>1</v>
      </c>
      <c r="U78" s="843">
        <v>0</v>
      </c>
      <c r="V78" s="843">
        <v>1</v>
      </c>
      <c r="W78" s="843">
        <v>0</v>
      </c>
      <c r="X78" s="843">
        <v>0</v>
      </c>
      <c r="Y78" s="843">
        <v>1</v>
      </c>
      <c r="Z78" s="843">
        <v>1</v>
      </c>
      <c r="AA78" s="256" t="str">
        <f t="shared" si="4"/>
        <v>00071.សុងធ្មេញក្រៅ21 CHIP MONG #DKS0071</v>
      </c>
      <c r="AB78" s="1145" t="str">
        <f t="shared" si="5"/>
        <v>00071.សុងធ្មេញក្រៅ21</v>
      </c>
    </row>
    <row r="79" spans="3:28" ht="24.95" customHeight="1">
      <c r="C79" s="843">
        <v>72</v>
      </c>
      <c r="D79" s="843"/>
      <c r="E79" s="843"/>
      <c r="F79" s="1116" t="s">
        <v>2464</v>
      </c>
      <c r="G79" s="1117" t="s">
        <v>2464</v>
      </c>
      <c r="H79" s="868" t="s">
        <v>2461</v>
      </c>
      <c r="I79" s="1118" t="s">
        <v>2461</v>
      </c>
      <c r="J79" s="870" t="s">
        <v>2939</v>
      </c>
      <c r="K79" s="1138" t="s">
        <v>2954</v>
      </c>
      <c r="L79" s="1138" t="s">
        <v>2972</v>
      </c>
      <c r="M79" s="870" t="s">
        <v>2361</v>
      </c>
      <c r="N79" s="868" t="s">
        <v>2309</v>
      </c>
      <c r="O79" s="1118"/>
      <c r="P79" s="1119">
        <v>2.4500000000000002</v>
      </c>
      <c r="Q79" s="884">
        <v>2.8</v>
      </c>
      <c r="R79" s="885"/>
      <c r="S79" s="843">
        <f t="shared" si="3"/>
        <v>2</v>
      </c>
      <c r="T79" s="843">
        <v>1</v>
      </c>
      <c r="U79" s="843">
        <v>0</v>
      </c>
      <c r="V79" s="843">
        <v>1</v>
      </c>
      <c r="W79" s="843">
        <v>0</v>
      </c>
      <c r="X79" s="843">
        <v>0</v>
      </c>
      <c r="Y79" s="843">
        <v>1</v>
      </c>
      <c r="Z79" s="843">
        <v>1</v>
      </c>
      <c r="AA79" s="256" t="str">
        <f t="shared" si="4"/>
        <v>00072.សុងធ្មេញក្នុង80 CHIP MONG #DKS0072</v>
      </c>
      <c r="AB79" s="1145" t="str">
        <f t="shared" si="5"/>
        <v>00072.សុងធ្មេញក្នុង80</v>
      </c>
    </row>
    <row r="80" spans="3:28" ht="24.95" customHeight="1">
      <c r="C80" s="843">
        <v>73</v>
      </c>
      <c r="D80" s="843"/>
      <c r="E80" s="843"/>
      <c r="F80" s="1116" t="s">
        <v>2466</v>
      </c>
      <c r="G80" s="1117" t="s">
        <v>2466</v>
      </c>
      <c r="H80" s="868" t="s">
        <v>2463</v>
      </c>
      <c r="I80" s="1118" t="s">
        <v>2463</v>
      </c>
      <c r="J80" s="870" t="s">
        <v>2939</v>
      </c>
      <c r="K80" s="1138" t="s">
        <v>2954</v>
      </c>
      <c r="L80" s="1138" t="s">
        <v>2972</v>
      </c>
      <c r="M80" s="870" t="s">
        <v>2456</v>
      </c>
      <c r="N80" s="868" t="s">
        <v>2309</v>
      </c>
      <c r="O80" s="1118"/>
      <c r="P80" s="1119">
        <v>0.34</v>
      </c>
      <c r="Q80" s="884">
        <v>0.5</v>
      </c>
      <c r="R80" s="885"/>
      <c r="S80" s="843">
        <f t="shared" si="3"/>
        <v>2</v>
      </c>
      <c r="T80" s="843">
        <v>1</v>
      </c>
      <c r="U80" s="843">
        <v>0</v>
      </c>
      <c r="V80" s="843">
        <v>1</v>
      </c>
      <c r="W80" s="843">
        <v>0</v>
      </c>
      <c r="X80" s="843">
        <v>0</v>
      </c>
      <c r="Y80" s="843">
        <v>1</v>
      </c>
      <c r="Z80" s="843">
        <v>1</v>
      </c>
      <c r="AA80" s="256" t="str">
        <f t="shared" si="4"/>
        <v>00073.សុងធ្មេញក្នុង34 CHIP MONG #DKS0073</v>
      </c>
      <c r="AB80" s="1145" t="str">
        <f t="shared" si="5"/>
        <v>00073.សុងធ្មេញក្នុង34</v>
      </c>
    </row>
    <row r="81" spans="3:28" ht="24.95" customHeight="1">
      <c r="C81" s="843">
        <v>74</v>
      </c>
      <c r="D81" s="843"/>
      <c r="E81" s="843"/>
      <c r="F81" s="1116" t="s">
        <v>2468</v>
      </c>
      <c r="G81" s="1117" t="s">
        <v>2468</v>
      </c>
      <c r="H81" s="868" t="s">
        <v>2465</v>
      </c>
      <c r="I81" s="1118" t="s">
        <v>2465</v>
      </c>
      <c r="J81" s="870" t="s">
        <v>2939</v>
      </c>
      <c r="K81" s="1138" t="s">
        <v>2954</v>
      </c>
      <c r="L81" s="1138" t="s">
        <v>2972</v>
      </c>
      <c r="M81" s="870" t="s">
        <v>2456</v>
      </c>
      <c r="N81" s="868" t="s">
        <v>2309</v>
      </c>
      <c r="O81" s="1118"/>
      <c r="P81" s="1119">
        <v>0.187</v>
      </c>
      <c r="Q81" s="884">
        <v>0.25</v>
      </c>
      <c r="R81" s="885"/>
      <c r="S81" s="843">
        <f t="shared" si="3"/>
        <v>2</v>
      </c>
      <c r="T81" s="843">
        <v>1</v>
      </c>
      <c r="U81" s="843">
        <v>0</v>
      </c>
      <c r="V81" s="843">
        <v>1</v>
      </c>
      <c r="W81" s="843">
        <v>0</v>
      </c>
      <c r="X81" s="843">
        <v>0</v>
      </c>
      <c r="Y81" s="843">
        <v>1</v>
      </c>
      <c r="Z81" s="843">
        <v>1</v>
      </c>
      <c r="AA81" s="256" t="str">
        <f t="shared" si="4"/>
        <v>00074.សុងធ្មេញក្នុង27 CHIP MONG #DKS0074</v>
      </c>
      <c r="AB81" s="1145" t="str">
        <f t="shared" si="5"/>
        <v>00074.សុងធ្មេញក្នុង27</v>
      </c>
    </row>
    <row r="82" spans="3:28" ht="24.95" customHeight="1">
      <c r="C82" s="843">
        <v>75</v>
      </c>
      <c r="D82" s="843"/>
      <c r="E82" s="843"/>
      <c r="F82" s="1116" t="s">
        <v>2470</v>
      </c>
      <c r="G82" s="1117" t="s">
        <v>2470</v>
      </c>
      <c r="H82" s="868" t="s">
        <v>2467</v>
      </c>
      <c r="I82" s="1118" t="s">
        <v>2467</v>
      </c>
      <c r="J82" s="870" t="s">
        <v>2939</v>
      </c>
      <c r="K82" s="1138" t="s">
        <v>2954</v>
      </c>
      <c r="L82" s="1138" t="s">
        <v>2972</v>
      </c>
      <c r="M82" s="870" t="s">
        <v>2459</v>
      </c>
      <c r="N82" s="868" t="s">
        <v>2309</v>
      </c>
      <c r="O82" s="1118"/>
      <c r="P82" s="1119">
        <v>0.128</v>
      </c>
      <c r="Q82" s="884">
        <v>0.2</v>
      </c>
      <c r="R82" s="885"/>
      <c r="S82" s="843">
        <f t="shared" si="3"/>
        <v>2</v>
      </c>
      <c r="T82" s="843">
        <v>1</v>
      </c>
      <c r="U82" s="843">
        <v>0</v>
      </c>
      <c r="V82" s="843">
        <v>1</v>
      </c>
      <c r="W82" s="843">
        <v>0</v>
      </c>
      <c r="X82" s="843">
        <v>0</v>
      </c>
      <c r="Y82" s="843">
        <v>1</v>
      </c>
      <c r="Z82" s="843">
        <v>1</v>
      </c>
      <c r="AA82" s="256" t="str">
        <f t="shared" si="4"/>
        <v>00075.សុងធ្មេញក្នុង21 CHIP MONG #DKS0075</v>
      </c>
      <c r="AB82" s="1145" t="str">
        <f t="shared" si="5"/>
        <v>00075.សុងធ្មេញក្នុង21</v>
      </c>
    </row>
    <row r="83" spans="3:28" ht="24.95" customHeight="1">
      <c r="C83" s="843">
        <v>76</v>
      </c>
      <c r="D83" s="843"/>
      <c r="E83" s="843"/>
      <c r="F83" s="1116" t="s">
        <v>2471</v>
      </c>
      <c r="G83" s="1117" t="s">
        <v>2471</v>
      </c>
      <c r="H83" s="868" t="s">
        <v>2469</v>
      </c>
      <c r="I83" s="1118" t="s">
        <v>2469</v>
      </c>
      <c r="J83" s="870" t="s">
        <v>2912</v>
      </c>
      <c r="K83" s="1138" t="s">
        <v>2955</v>
      </c>
      <c r="L83" s="1138" t="s">
        <v>2972</v>
      </c>
      <c r="M83" s="870" t="s">
        <v>2760</v>
      </c>
      <c r="N83" s="868"/>
      <c r="O83" s="1118"/>
      <c r="P83" s="1119">
        <v>1.35</v>
      </c>
      <c r="Q83" s="884">
        <v>1.75</v>
      </c>
      <c r="R83" s="885"/>
      <c r="S83" s="843">
        <f t="shared" si="3"/>
        <v>52</v>
      </c>
      <c r="T83" s="843">
        <v>1</v>
      </c>
      <c r="U83" s="843">
        <v>0</v>
      </c>
      <c r="V83" s="843">
        <v>1</v>
      </c>
      <c r="W83" s="843">
        <v>0</v>
      </c>
      <c r="X83" s="843">
        <v>0</v>
      </c>
      <c r="Y83" s="843">
        <v>1</v>
      </c>
      <c r="Z83" s="843">
        <v>1</v>
      </c>
      <c r="AA83" s="256" t="str">
        <f t="shared" si="4"/>
        <v>00076.ទុយោសកខ្សែភ្លើង 34 CHIP MONG #DKS0076</v>
      </c>
      <c r="AB83" s="1145" t="str">
        <f t="shared" si="5"/>
        <v>00076.ទុយោសកខ្សែភ្លើង 34</v>
      </c>
    </row>
    <row r="84" spans="3:28" ht="24.95" customHeight="1">
      <c r="C84" s="843">
        <v>77</v>
      </c>
      <c r="D84" s="843"/>
      <c r="E84" s="843"/>
      <c r="F84" s="1116" t="s">
        <v>2472</v>
      </c>
      <c r="G84" s="1117" t="s">
        <v>2472</v>
      </c>
      <c r="H84" s="868" t="s">
        <v>2895</v>
      </c>
      <c r="I84" s="1118" t="s">
        <v>2895</v>
      </c>
      <c r="J84" s="870" t="s">
        <v>2913</v>
      </c>
      <c r="K84" s="1138" t="s">
        <v>2955</v>
      </c>
      <c r="L84" s="1138" t="s">
        <v>2972</v>
      </c>
      <c r="M84" s="870" t="s">
        <v>2728</v>
      </c>
      <c r="N84" s="868"/>
      <c r="O84" s="1118"/>
      <c r="P84" s="1119">
        <v>8.8000000000000007</v>
      </c>
      <c r="Q84" s="884">
        <v>9.5</v>
      </c>
      <c r="R84" s="885"/>
      <c r="S84" s="843">
        <f t="shared" si="3"/>
        <v>45</v>
      </c>
      <c r="T84" s="843">
        <v>50</v>
      </c>
      <c r="U84" s="843">
        <v>0</v>
      </c>
      <c r="V84" s="843">
        <v>1</v>
      </c>
      <c r="W84" s="843">
        <v>0</v>
      </c>
      <c r="X84" s="843">
        <v>0</v>
      </c>
      <c r="Y84" s="843">
        <v>1</v>
      </c>
      <c r="Z84" s="843">
        <v>1</v>
      </c>
      <c r="AA84" s="256" t="str">
        <f t="shared" si="4"/>
        <v>00077.ហ្គេនខ្សែភ្លើង​ 34 CHIP MONG #DKS0077</v>
      </c>
      <c r="AB84" s="1145" t="str">
        <f t="shared" si="5"/>
        <v>00077.ហ្គេនខ្សែភ្លើង​ 34</v>
      </c>
    </row>
    <row r="85" spans="3:28" ht="24.95" customHeight="1">
      <c r="C85" s="843">
        <v>78</v>
      </c>
      <c r="D85" s="843"/>
      <c r="E85" s="843"/>
      <c r="F85" s="1116" t="s">
        <v>2473</v>
      </c>
      <c r="G85" s="1117" t="s">
        <v>2473</v>
      </c>
      <c r="H85" s="868" t="s">
        <v>2896</v>
      </c>
      <c r="I85" s="1118" t="s">
        <v>2896</v>
      </c>
      <c r="J85" s="870" t="s">
        <v>2913</v>
      </c>
      <c r="K85" s="1138" t="s">
        <v>2955</v>
      </c>
      <c r="L85" s="1138" t="s">
        <v>2972</v>
      </c>
      <c r="M85" s="870" t="s">
        <v>2728</v>
      </c>
      <c r="N85" s="868"/>
      <c r="O85" s="1118"/>
      <c r="P85" s="1119">
        <v>6</v>
      </c>
      <c r="Q85" s="884">
        <v>6.5</v>
      </c>
      <c r="R85" s="885"/>
      <c r="S85" s="843">
        <f t="shared" si="3"/>
        <v>45</v>
      </c>
      <c r="T85" s="843">
        <v>50</v>
      </c>
      <c r="U85" s="843">
        <v>0</v>
      </c>
      <c r="V85" s="843">
        <v>1</v>
      </c>
      <c r="W85" s="843">
        <v>0</v>
      </c>
      <c r="X85" s="843">
        <v>0</v>
      </c>
      <c r="Y85" s="843">
        <v>1</v>
      </c>
      <c r="Z85" s="843">
        <v>1</v>
      </c>
      <c r="AA85" s="256" t="str">
        <f t="shared" si="4"/>
        <v>00078.ហ្គេនខ្សែភ្លើង​ 27 CHIP MONG #DKS0078</v>
      </c>
      <c r="AB85" s="1145" t="str">
        <f t="shared" si="5"/>
        <v>00078.ហ្គេនខ្សែភ្លើង​ 27</v>
      </c>
    </row>
    <row r="86" spans="3:28" ht="24.95" customHeight="1">
      <c r="C86" s="843">
        <v>79</v>
      </c>
      <c r="D86" s="843"/>
      <c r="E86" s="843"/>
      <c r="F86" s="1116" t="s">
        <v>2475</v>
      </c>
      <c r="G86" s="1117" t="s">
        <v>2475</v>
      </c>
      <c r="H86" s="868" t="s">
        <v>2897</v>
      </c>
      <c r="I86" s="1118" t="s">
        <v>2897</v>
      </c>
      <c r="J86" s="870" t="s">
        <v>2913</v>
      </c>
      <c r="K86" s="1138" t="s">
        <v>2955</v>
      </c>
      <c r="L86" s="1138" t="s">
        <v>2972</v>
      </c>
      <c r="M86" s="870" t="s">
        <v>2728</v>
      </c>
      <c r="N86" s="868"/>
      <c r="O86" s="1118"/>
      <c r="P86" s="1119">
        <v>5</v>
      </c>
      <c r="Q86" s="884">
        <v>5.5</v>
      </c>
      <c r="R86" s="885"/>
      <c r="S86" s="843">
        <f t="shared" si="3"/>
        <v>45</v>
      </c>
      <c r="T86" s="843">
        <v>50</v>
      </c>
      <c r="U86" s="843">
        <v>0</v>
      </c>
      <c r="V86" s="843">
        <v>1</v>
      </c>
      <c r="W86" s="843">
        <v>0</v>
      </c>
      <c r="X86" s="843">
        <v>0</v>
      </c>
      <c r="Y86" s="843">
        <v>1</v>
      </c>
      <c r="Z86" s="843">
        <v>1</v>
      </c>
      <c r="AA86" s="256" t="str">
        <f t="shared" si="4"/>
        <v>00079.ហ្គេនខ្សែភ្លើង​ 21 CHIP MONG #DKS0079</v>
      </c>
      <c r="AB86" s="1145" t="str">
        <f t="shared" si="5"/>
        <v>00079.ហ្គេនខ្សែភ្លើង​ 21</v>
      </c>
    </row>
    <row r="87" spans="3:28" ht="24.95" customHeight="1">
      <c r="C87" s="843">
        <v>80</v>
      </c>
      <c r="D87" s="843"/>
      <c r="E87" s="843"/>
      <c r="F87" s="1116" t="s">
        <v>2477</v>
      </c>
      <c r="G87" s="1117" t="s">
        <v>2477</v>
      </c>
      <c r="H87" s="868" t="s">
        <v>2474</v>
      </c>
      <c r="I87" s="1118" t="s">
        <v>2474</v>
      </c>
      <c r="J87" s="870" t="s">
        <v>2914</v>
      </c>
      <c r="K87" s="1138" t="s">
        <v>2956</v>
      </c>
      <c r="L87" s="1138" t="s">
        <v>2972</v>
      </c>
      <c r="M87" s="870" t="s">
        <v>2842</v>
      </c>
      <c r="N87" s="868"/>
      <c r="O87" s="1118"/>
      <c r="P87" s="1119">
        <v>21</v>
      </c>
      <c r="Q87" s="884">
        <v>0.2</v>
      </c>
      <c r="R87" s="885"/>
      <c r="S87" s="843">
        <f t="shared" si="3"/>
        <v>36</v>
      </c>
      <c r="T87" s="843" t="s">
        <v>2886</v>
      </c>
      <c r="U87" s="843">
        <v>0</v>
      </c>
      <c r="V87" s="843">
        <v>1</v>
      </c>
      <c r="W87" s="843">
        <v>0</v>
      </c>
      <c r="X87" s="843">
        <v>0</v>
      </c>
      <c r="Y87" s="843">
        <v>1</v>
      </c>
      <c r="Z87" s="843">
        <v>1</v>
      </c>
      <c r="AA87" s="256" t="str">
        <f t="shared" si="4"/>
        <v>00080.ក្រចាប់លេខ 25 CHIP MONG #DKS0080</v>
      </c>
      <c r="AB87" s="1145" t="str">
        <f t="shared" si="5"/>
        <v>00080.ក្រចាប់លេខ 25</v>
      </c>
    </row>
    <row r="88" spans="3:28" ht="24.95" customHeight="1">
      <c r="C88" s="843">
        <v>81</v>
      </c>
      <c r="D88" s="843"/>
      <c r="E88" s="843"/>
      <c r="F88" s="1116" t="s">
        <v>2479</v>
      </c>
      <c r="G88" s="1117" t="s">
        <v>2479</v>
      </c>
      <c r="H88" s="868" t="s">
        <v>2476</v>
      </c>
      <c r="I88" s="1118" t="s">
        <v>2476</v>
      </c>
      <c r="J88" s="870" t="s">
        <v>2778</v>
      </c>
      <c r="K88" s="1138" t="s">
        <v>2952</v>
      </c>
      <c r="L88" s="1138" t="s">
        <v>2974</v>
      </c>
      <c r="M88" s="870" t="s">
        <v>2264</v>
      </c>
      <c r="N88" s="868"/>
      <c r="O88" s="1118"/>
      <c r="P88" s="1119">
        <v>74.400000000000006</v>
      </c>
      <c r="Q88" s="884">
        <v>7</v>
      </c>
      <c r="R88" s="885"/>
      <c r="S88" s="843">
        <f t="shared" si="3"/>
        <v>26</v>
      </c>
      <c r="T88" s="843" t="s">
        <v>36</v>
      </c>
      <c r="U88" s="843">
        <v>0</v>
      </c>
      <c r="V88" s="843">
        <v>1</v>
      </c>
      <c r="W88" s="843">
        <v>0</v>
      </c>
      <c r="X88" s="843">
        <v>0</v>
      </c>
      <c r="Y88" s="843">
        <v>1</v>
      </c>
      <c r="Z88" s="843">
        <v>1</v>
      </c>
      <c r="AA88" s="256" t="str">
        <f t="shared" si="4"/>
        <v>00081.ព្រីភ្លើង​ 5m រុន6 China #DKS0081</v>
      </c>
      <c r="AB88" s="1145" t="str">
        <f t="shared" si="5"/>
        <v>00081.ព្រីភ្លើង​ 5m រុន6</v>
      </c>
    </row>
    <row r="89" spans="3:28" ht="24.95" customHeight="1">
      <c r="C89" s="843">
        <v>82</v>
      </c>
      <c r="D89" s="843"/>
      <c r="E89" s="843"/>
      <c r="F89" s="1116" t="s">
        <v>2481</v>
      </c>
      <c r="G89" s="1117" t="s">
        <v>2481</v>
      </c>
      <c r="H89" s="868" t="s">
        <v>2478</v>
      </c>
      <c r="I89" s="1118" t="s">
        <v>2478</v>
      </c>
      <c r="J89" s="870" t="s">
        <v>2915</v>
      </c>
      <c r="K89" s="1138" t="s">
        <v>2956</v>
      </c>
      <c r="L89" s="1138" t="s">
        <v>2974</v>
      </c>
      <c r="M89" s="870" t="s">
        <v>2722</v>
      </c>
      <c r="N89" s="868"/>
      <c r="O89" s="1118"/>
      <c r="P89" s="1119">
        <v>31.2</v>
      </c>
      <c r="Q89" s="884">
        <v>1.6</v>
      </c>
      <c r="R89" s="885"/>
      <c r="S89" s="843">
        <f t="shared" si="3"/>
        <v>32</v>
      </c>
      <c r="T89" s="843" t="s">
        <v>1897</v>
      </c>
      <c r="U89" s="843">
        <v>0</v>
      </c>
      <c r="V89" s="843">
        <v>1</v>
      </c>
      <c r="W89" s="843">
        <v>0</v>
      </c>
      <c r="X89" s="843">
        <v>0</v>
      </c>
      <c r="Y89" s="843">
        <v>1</v>
      </c>
      <c r="Z89" s="843">
        <v>1</v>
      </c>
      <c r="AA89" s="256" t="str">
        <f t="shared" si="4"/>
        <v>00082.ខ្សែរឹត 8*350 China #DKS0082</v>
      </c>
      <c r="AB89" s="1145" t="str">
        <f t="shared" si="5"/>
        <v>00082.ខ្សែរឹត 8*350</v>
      </c>
    </row>
    <row r="90" spans="3:28" ht="24.95" customHeight="1">
      <c r="C90" s="843">
        <v>83</v>
      </c>
      <c r="D90" s="843"/>
      <c r="E90" s="843"/>
      <c r="F90" s="1116" t="s">
        <v>2482</v>
      </c>
      <c r="G90" s="1117" t="s">
        <v>2482</v>
      </c>
      <c r="H90" s="868" t="s">
        <v>2480</v>
      </c>
      <c r="I90" s="1118" t="s">
        <v>2480</v>
      </c>
      <c r="J90" s="870" t="s">
        <v>2915</v>
      </c>
      <c r="K90" s="1138" t="s">
        <v>2956</v>
      </c>
      <c r="L90" s="1138" t="s">
        <v>2974</v>
      </c>
      <c r="M90" s="870" t="s">
        <v>2722</v>
      </c>
      <c r="N90" s="868"/>
      <c r="O90" s="1118"/>
      <c r="P90" s="1119">
        <v>24</v>
      </c>
      <c r="Q90" s="884">
        <v>1.25</v>
      </c>
      <c r="R90" s="885"/>
      <c r="S90" s="843">
        <f t="shared" si="3"/>
        <v>32</v>
      </c>
      <c r="T90" s="843" t="s">
        <v>1897</v>
      </c>
      <c r="U90" s="843">
        <v>0</v>
      </c>
      <c r="V90" s="843">
        <v>1</v>
      </c>
      <c r="W90" s="843">
        <v>0</v>
      </c>
      <c r="X90" s="843">
        <v>0</v>
      </c>
      <c r="Y90" s="843">
        <v>1</v>
      </c>
      <c r="Z90" s="843">
        <v>1</v>
      </c>
      <c r="AA90" s="256" t="str">
        <f t="shared" si="4"/>
        <v>00083.ខ្សែរឹត 8*250 China #DKS0083</v>
      </c>
      <c r="AB90" s="1145" t="str">
        <f t="shared" si="5"/>
        <v>00083.ខ្សែរឹត 8*250</v>
      </c>
    </row>
    <row r="91" spans="3:28" ht="24.95" customHeight="1">
      <c r="C91" s="843">
        <v>84</v>
      </c>
      <c r="D91" s="843"/>
      <c r="E91" s="843"/>
      <c r="F91" s="1116" t="s">
        <v>2484</v>
      </c>
      <c r="G91" s="1117" t="s">
        <v>2484</v>
      </c>
      <c r="H91" s="868" t="s">
        <v>2947</v>
      </c>
      <c r="I91" s="1118" t="s">
        <v>2947</v>
      </c>
      <c r="J91" s="870" t="s">
        <v>2778</v>
      </c>
      <c r="K91" s="1138" t="s">
        <v>2952</v>
      </c>
      <c r="L91" s="1138" t="s">
        <v>2974</v>
      </c>
      <c r="M91" s="870" t="s">
        <v>2264</v>
      </c>
      <c r="N91" s="868"/>
      <c r="O91" s="1118"/>
      <c r="P91" s="1119">
        <v>14.4</v>
      </c>
      <c r="Q91" s="884">
        <v>2</v>
      </c>
      <c r="R91" s="885"/>
      <c r="S91" s="843">
        <f t="shared" si="3"/>
        <v>26</v>
      </c>
      <c r="T91" s="843" t="s">
        <v>36</v>
      </c>
      <c r="U91" s="843">
        <v>0</v>
      </c>
      <c r="V91" s="843">
        <v>1</v>
      </c>
      <c r="W91" s="843">
        <v>0</v>
      </c>
      <c r="X91" s="843">
        <v>0</v>
      </c>
      <c r="Y91" s="843">
        <v>1</v>
      </c>
      <c r="Z91" s="843">
        <v>1</v>
      </c>
      <c r="AA91" s="256" t="str">
        <f t="shared" si="4"/>
        <v>00084.បិចភ្លើងឆក់លោត China #DKS0084</v>
      </c>
      <c r="AB91" s="1145" t="str">
        <f t="shared" si="5"/>
        <v>00084.បិចភ្លើងឆក់លោត</v>
      </c>
    </row>
    <row r="92" spans="3:28" ht="24.95" customHeight="1">
      <c r="C92" s="843">
        <v>85</v>
      </c>
      <c r="D92" s="843"/>
      <c r="E92" s="843"/>
      <c r="F92" s="1116" t="s">
        <v>2486</v>
      </c>
      <c r="G92" s="1117" t="s">
        <v>2486</v>
      </c>
      <c r="H92" s="868" t="s">
        <v>2483</v>
      </c>
      <c r="I92" s="1118" t="s">
        <v>2483</v>
      </c>
      <c r="J92" s="870" t="s">
        <v>2912</v>
      </c>
      <c r="K92" s="1138" t="s">
        <v>2955</v>
      </c>
      <c r="L92" s="1138" t="s">
        <v>2972</v>
      </c>
      <c r="M92" s="870" t="s">
        <v>2760</v>
      </c>
      <c r="N92" s="868"/>
      <c r="O92" s="1118"/>
      <c r="P92" s="1119">
        <v>1</v>
      </c>
      <c r="Q92" s="884">
        <v>1.5</v>
      </c>
      <c r="R92" s="885"/>
      <c r="S92" s="843">
        <f t="shared" si="3"/>
        <v>52</v>
      </c>
      <c r="T92" s="843">
        <v>1</v>
      </c>
      <c r="U92" s="843">
        <v>0</v>
      </c>
      <c r="V92" s="843">
        <v>1</v>
      </c>
      <c r="W92" s="843">
        <v>0</v>
      </c>
      <c r="X92" s="843">
        <v>0</v>
      </c>
      <c r="Y92" s="843">
        <v>1</v>
      </c>
      <c r="Z92" s="843">
        <v>1</v>
      </c>
      <c r="AA92" s="256" t="str">
        <f t="shared" si="4"/>
        <v>00085.ទុយោសកខ្សែភ្លើង 27 CHIP MONG #DKS0085</v>
      </c>
      <c r="AB92" s="1145" t="str">
        <f t="shared" si="5"/>
        <v>00085.ទុយោសកខ្សែភ្លើង 27</v>
      </c>
    </row>
    <row r="93" spans="3:28" ht="24.95" customHeight="1">
      <c r="C93" s="843">
        <v>86</v>
      </c>
      <c r="D93" s="843"/>
      <c r="E93" s="843"/>
      <c r="F93" s="1116" t="s">
        <v>2488</v>
      </c>
      <c r="G93" s="1117" t="s">
        <v>2488</v>
      </c>
      <c r="H93" s="868" t="s">
        <v>2485</v>
      </c>
      <c r="I93" s="1118" t="s">
        <v>2485</v>
      </c>
      <c r="J93" s="870" t="s">
        <v>2916</v>
      </c>
      <c r="K93" s="1138" t="s">
        <v>2956</v>
      </c>
      <c r="L93" s="1138" t="s">
        <v>2972</v>
      </c>
      <c r="M93" s="870" t="s">
        <v>2847</v>
      </c>
      <c r="N93" s="868"/>
      <c r="O93" s="1118"/>
      <c r="P93" s="1119">
        <v>92.16</v>
      </c>
      <c r="Q93" s="884">
        <v>0.5</v>
      </c>
      <c r="R93" s="885"/>
      <c r="S93" s="843">
        <f t="shared" si="3"/>
        <v>40</v>
      </c>
      <c r="T93" s="843" t="s">
        <v>2887</v>
      </c>
      <c r="U93" s="843">
        <v>0</v>
      </c>
      <c r="V93" s="843">
        <v>1</v>
      </c>
      <c r="W93" s="843">
        <v>0</v>
      </c>
      <c r="X93" s="843">
        <v>0</v>
      </c>
      <c r="Y93" s="843">
        <v>1</v>
      </c>
      <c r="Z93" s="843">
        <v>1</v>
      </c>
      <c r="AA93" s="256" t="str">
        <f t="shared" si="4"/>
        <v>00086.ប្រអប់បណ្ដាញមុខពី 25 CHIP MONG #DKS0086</v>
      </c>
      <c r="AB93" s="1145" t="str">
        <f t="shared" si="5"/>
        <v>00086.ប្រអប់បណ្ដាញមុខពី 25</v>
      </c>
    </row>
    <row r="94" spans="3:28" ht="24.95" customHeight="1">
      <c r="C94" s="843">
        <v>87</v>
      </c>
      <c r="D94" s="843"/>
      <c r="E94" s="843"/>
      <c r="F94" s="1116" t="s">
        <v>2490</v>
      </c>
      <c r="G94" s="1117" t="s">
        <v>2490</v>
      </c>
      <c r="H94" s="868" t="s">
        <v>2487</v>
      </c>
      <c r="I94" s="1118" t="s">
        <v>2487</v>
      </c>
      <c r="J94" s="870" t="s">
        <v>2917</v>
      </c>
      <c r="K94" s="1138" t="s">
        <v>2956</v>
      </c>
      <c r="L94" s="1138" t="s">
        <v>2972</v>
      </c>
      <c r="M94" s="870" t="s">
        <v>2848</v>
      </c>
      <c r="N94" s="868"/>
      <c r="O94" s="1118"/>
      <c r="P94" s="1119">
        <v>0.317</v>
      </c>
      <c r="Q94" s="884">
        <v>0.5</v>
      </c>
      <c r="R94" s="885"/>
      <c r="S94" s="843">
        <f t="shared" si="3"/>
        <v>41</v>
      </c>
      <c r="T94" s="843" t="s">
        <v>2888</v>
      </c>
      <c r="U94" s="843">
        <v>0</v>
      </c>
      <c r="V94" s="843">
        <v>1</v>
      </c>
      <c r="W94" s="843">
        <v>0</v>
      </c>
      <c r="X94" s="843">
        <v>0</v>
      </c>
      <c r="Y94" s="843">
        <v>1</v>
      </c>
      <c r="Z94" s="843">
        <v>1</v>
      </c>
      <c r="AA94" s="256" t="str">
        <f t="shared" si="4"/>
        <v>00087.ប្រអប់បណ្ដាញមុខ 20 CHIP MONG #DKS0087</v>
      </c>
      <c r="AB94" s="1145" t="str">
        <f t="shared" si="5"/>
        <v>00087.ប្រអប់បណ្ដាញមុខ 20</v>
      </c>
    </row>
    <row r="95" spans="3:28" ht="24.95" customHeight="1">
      <c r="C95" s="843">
        <v>88</v>
      </c>
      <c r="D95" s="843"/>
      <c r="E95" s="843"/>
      <c r="F95" s="1116" t="s">
        <v>2492</v>
      </c>
      <c r="G95" s="1117" t="s">
        <v>2492</v>
      </c>
      <c r="H95" s="868" t="s">
        <v>2489</v>
      </c>
      <c r="I95" s="1118" t="s">
        <v>2489</v>
      </c>
      <c r="J95" s="870" t="s">
        <v>2918</v>
      </c>
      <c r="K95" s="1138" t="s">
        <v>2956</v>
      </c>
      <c r="L95" s="1138" t="s">
        <v>2972</v>
      </c>
      <c r="M95" s="870" t="s">
        <v>2845</v>
      </c>
      <c r="N95" s="868"/>
      <c r="O95" s="1118"/>
      <c r="P95" s="1119">
        <v>82.08</v>
      </c>
      <c r="Q95" s="884">
        <v>0.5</v>
      </c>
      <c r="R95" s="885"/>
      <c r="S95" s="843">
        <f t="shared" si="3"/>
        <v>38</v>
      </c>
      <c r="T95" s="843" t="s">
        <v>2889</v>
      </c>
      <c r="U95" s="843">
        <v>0</v>
      </c>
      <c r="V95" s="843">
        <v>1</v>
      </c>
      <c r="W95" s="843">
        <v>0</v>
      </c>
      <c r="X95" s="843">
        <v>0</v>
      </c>
      <c r="Y95" s="843">
        <v>1</v>
      </c>
      <c r="Z95" s="843">
        <v>1</v>
      </c>
      <c r="AA95" s="256" t="str">
        <f t="shared" si="4"/>
        <v>00088.ប្រអប់បណ្ដាញមុខបី 25 CHIP MONG #DKS0088</v>
      </c>
      <c r="AB95" s="1145" t="str">
        <f t="shared" si="5"/>
        <v>00088.ប្រអប់បណ្ដាញមុខបី 25</v>
      </c>
    </row>
    <row r="96" spans="3:28" ht="24.95" customHeight="1">
      <c r="C96" s="843">
        <v>89</v>
      </c>
      <c r="D96" s="843"/>
      <c r="E96" s="843"/>
      <c r="F96" s="1116" t="s">
        <v>2494</v>
      </c>
      <c r="G96" s="1117" t="s">
        <v>2494</v>
      </c>
      <c r="H96" s="868" t="s">
        <v>2491</v>
      </c>
      <c r="I96" s="1118" t="s">
        <v>2491</v>
      </c>
      <c r="J96" s="870" t="s">
        <v>2919</v>
      </c>
      <c r="K96" s="1138" t="s">
        <v>2956</v>
      </c>
      <c r="L96" s="1138" t="s">
        <v>2972</v>
      </c>
      <c r="M96" s="870" t="s">
        <v>2846</v>
      </c>
      <c r="N96" s="868"/>
      <c r="O96" s="1118"/>
      <c r="P96" s="1119">
        <v>99.1</v>
      </c>
      <c r="Q96" s="884">
        <v>0.5</v>
      </c>
      <c r="R96" s="885"/>
      <c r="S96" s="843">
        <f t="shared" si="3"/>
        <v>39</v>
      </c>
      <c r="T96" s="843" t="s">
        <v>2890</v>
      </c>
      <c r="U96" s="843">
        <v>0</v>
      </c>
      <c r="V96" s="843">
        <v>1</v>
      </c>
      <c r="W96" s="843">
        <v>0</v>
      </c>
      <c r="X96" s="843">
        <v>0</v>
      </c>
      <c r="Y96" s="843">
        <v>1</v>
      </c>
      <c r="Z96" s="843">
        <v>1</v>
      </c>
      <c r="AA96" s="256" t="str">
        <f t="shared" si="4"/>
        <v>00089.ប្រអប់បណ្ដាញមុខបី 20 CHIP MONG #DKS0089</v>
      </c>
      <c r="AB96" s="1145" t="str">
        <f t="shared" si="5"/>
        <v>00089.ប្រអប់បណ្ដាញមុខបី 20</v>
      </c>
    </row>
    <row r="97" spans="3:28" ht="24.95" customHeight="1">
      <c r="C97" s="843">
        <v>90</v>
      </c>
      <c r="D97" s="843"/>
      <c r="E97" s="843"/>
      <c r="F97" s="1116" t="s">
        <v>2496</v>
      </c>
      <c r="G97" s="1117" t="s">
        <v>2496</v>
      </c>
      <c r="H97" s="868" t="s">
        <v>2493</v>
      </c>
      <c r="I97" s="1118" t="s">
        <v>2493</v>
      </c>
      <c r="J97" s="870" t="s">
        <v>2920</v>
      </c>
      <c r="K97" s="1138" t="s">
        <v>2951</v>
      </c>
      <c r="L97" s="1138" t="s">
        <v>2974</v>
      </c>
      <c r="M97" s="870" t="s">
        <v>2724</v>
      </c>
      <c r="N97" s="868"/>
      <c r="O97" s="1118"/>
      <c r="P97" s="1119">
        <v>18</v>
      </c>
      <c r="Q97" s="884">
        <v>0.5</v>
      </c>
      <c r="R97" s="885"/>
      <c r="S97" s="843">
        <f t="shared" si="3"/>
        <v>35</v>
      </c>
      <c r="T97" s="843" t="s">
        <v>2891</v>
      </c>
      <c r="U97" s="843">
        <v>0</v>
      </c>
      <c r="V97" s="843">
        <v>1</v>
      </c>
      <c r="W97" s="843">
        <v>0</v>
      </c>
      <c r="X97" s="843">
        <v>0</v>
      </c>
      <c r="Y97" s="843">
        <v>1</v>
      </c>
      <c r="Z97" s="843">
        <v>1</v>
      </c>
      <c r="AA97" s="256" t="str">
        <f t="shared" si="4"/>
        <v>00090.ជើងអំពូល ព្យូរស China #DKS0090</v>
      </c>
      <c r="AB97" s="1145" t="str">
        <f t="shared" si="5"/>
        <v>00090.ជើងអំពូល ព្យូរស</v>
      </c>
    </row>
    <row r="98" spans="3:28" ht="24.95" customHeight="1">
      <c r="C98" s="843">
        <v>91</v>
      </c>
      <c r="D98" s="843"/>
      <c r="E98" s="843"/>
      <c r="F98" s="1116" t="s">
        <v>2498</v>
      </c>
      <c r="G98" s="1117" t="s">
        <v>2498</v>
      </c>
      <c r="H98" s="868" t="s">
        <v>2495</v>
      </c>
      <c r="I98" s="1118" t="s">
        <v>2495</v>
      </c>
      <c r="J98" s="870" t="s">
        <v>2921</v>
      </c>
      <c r="K98" s="1138" t="s">
        <v>2955</v>
      </c>
      <c r="L98" s="1138" t="s">
        <v>2974</v>
      </c>
      <c r="M98" s="870" t="s">
        <v>2844</v>
      </c>
      <c r="N98" s="868"/>
      <c r="O98" s="1118"/>
      <c r="P98" s="1119">
        <v>4</v>
      </c>
      <c r="Q98" s="884">
        <v>0.4</v>
      </c>
      <c r="R98" s="885"/>
      <c r="S98" s="843">
        <f t="shared" si="3"/>
        <v>31</v>
      </c>
      <c r="T98" s="843" t="s">
        <v>45</v>
      </c>
      <c r="U98" s="843">
        <v>0</v>
      </c>
      <c r="V98" s="843">
        <v>1</v>
      </c>
      <c r="W98" s="843">
        <v>0</v>
      </c>
      <c r="X98" s="843">
        <v>0</v>
      </c>
      <c r="Y98" s="843">
        <v>1</v>
      </c>
      <c r="Z98" s="843">
        <v>1</v>
      </c>
      <c r="AA98" s="256" t="str">
        <f t="shared" si="4"/>
        <v>00091.កុងតាក់ខ្សែរ China #DKS0091</v>
      </c>
      <c r="AB98" s="1145" t="str">
        <f t="shared" si="5"/>
        <v>00091.កុងតាក់ខ្សែរ</v>
      </c>
    </row>
    <row r="99" spans="3:28" ht="24.95" customHeight="1">
      <c r="C99" s="843">
        <v>92</v>
      </c>
      <c r="D99" s="843"/>
      <c r="E99" s="843"/>
      <c r="F99" s="1116" t="s">
        <v>2499</v>
      </c>
      <c r="G99" s="1117" t="s">
        <v>2499</v>
      </c>
      <c r="H99" s="868" t="s">
        <v>2497</v>
      </c>
      <c r="I99" s="1118" t="s">
        <v>2497</v>
      </c>
      <c r="J99" s="870" t="s">
        <v>2912</v>
      </c>
      <c r="K99" s="1138" t="s">
        <v>2955</v>
      </c>
      <c r="L99" s="1138" t="s">
        <v>2972</v>
      </c>
      <c r="M99" s="870" t="s">
        <v>2760</v>
      </c>
      <c r="N99" s="868"/>
      <c r="O99" s="1118"/>
      <c r="P99" s="1119">
        <v>0.78</v>
      </c>
      <c r="Q99" s="884">
        <v>1</v>
      </c>
      <c r="R99" s="885"/>
      <c r="S99" s="843">
        <f t="shared" si="3"/>
        <v>52</v>
      </c>
      <c r="T99" s="843">
        <v>1</v>
      </c>
      <c r="U99" s="843">
        <v>0</v>
      </c>
      <c r="V99" s="843">
        <v>1</v>
      </c>
      <c r="W99" s="843">
        <v>0</v>
      </c>
      <c r="X99" s="843">
        <v>0</v>
      </c>
      <c r="Y99" s="843">
        <v>1</v>
      </c>
      <c r="Z99" s="843">
        <v>1</v>
      </c>
      <c r="AA99" s="256" t="str">
        <f t="shared" si="4"/>
        <v>00092.ទុយោសកខ្សែភ្លើង 21 CHIP MONG #DKS0092</v>
      </c>
      <c r="AB99" s="1145" t="str">
        <f t="shared" si="5"/>
        <v>00092.ទុយោសកខ្សែភ្លើង 21</v>
      </c>
    </row>
    <row r="100" spans="3:28" ht="24.95" customHeight="1">
      <c r="C100" s="843">
        <v>93</v>
      </c>
      <c r="D100" s="843"/>
      <c r="E100" s="843"/>
      <c r="F100" s="1116" t="s">
        <v>2501</v>
      </c>
      <c r="G100" s="1117" t="s">
        <v>2501</v>
      </c>
      <c r="H100" s="868" t="s">
        <v>2940</v>
      </c>
      <c r="I100" s="1118" t="s">
        <v>2940</v>
      </c>
      <c r="J100" s="870" t="s">
        <v>2915</v>
      </c>
      <c r="K100" s="1138" t="s">
        <v>2951</v>
      </c>
      <c r="L100" s="1138" t="s">
        <v>2974</v>
      </c>
      <c r="M100" s="870" t="s">
        <v>2722</v>
      </c>
      <c r="N100" s="868"/>
      <c r="O100" s="1118"/>
      <c r="P100" s="1119">
        <v>11.76</v>
      </c>
      <c r="Q100" s="884">
        <v>1</v>
      </c>
      <c r="R100" s="885"/>
      <c r="S100" s="843">
        <f t="shared" si="3"/>
        <v>32</v>
      </c>
      <c r="T100" s="843" t="s">
        <v>1897</v>
      </c>
      <c r="U100" s="843">
        <v>0</v>
      </c>
      <c r="V100" s="843">
        <v>1</v>
      </c>
      <c r="W100" s="843">
        <v>0</v>
      </c>
      <c r="X100" s="843">
        <v>0</v>
      </c>
      <c r="Y100" s="843">
        <v>1</v>
      </c>
      <c r="Z100" s="843">
        <v>1</v>
      </c>
      <c r="AA100" s="256" t="str">
        <f t="shared" si="4"/>
        <v>00093.បិចភ្លើង China #DKS0093</v>
      </c>
      <c r="AB100" s="1145" t="str">
        <f t="shared" si="5"/>
        <v>00093.បិចភ្លើង</v>
      </c>
    </row>
    <row r="101" spans="3:28" ht="24.95" customHeight="1">
      <c r="C101" s="843">
        <v>94</v>
      </c>
      <c r="D101" s="843"/>
      <c r="E101" s="843"/>
      <c r="F101" s="1116" t="s">
        <v>2503</v>
      </c>
      <c r="G101" s="1117" t="s">
        <v>2503</v>
      </c>
      <c r="H101" s="868" t="s">
        <v>2500</v>
      </c>
      <c r="I101" s="1118" t="s">
        <v>2500</v>
      </c>
      <c r="J101" s="870" t="s">
        <v>2922</v>
      </c>
      <c r="K101" s="1138" t="s">
        <v>2956</v>
      </c>
      <c r="L101" s="1138" t="s">
        <v>2972</v>
      </c>
      <c r="M101" s="870" t="s">
        <v>2843</v>
      </c>
      <c r="N101" s="868"/>
      <c r="O101" s="1118"/>
      <c r="P101" s="1119">
        <v>18</v>
      </c>
      <c r="Q101" s="884">
        <v>0.13</v>
      </c>
      <c r="R101" s="885"/>
      <c r="S101" s="843">
        <f t="shared" si="3"/>
        <v>37</v>
      </c>
      <c r="T101" s="843" t="s">
        <v>2892</v>
      </c>
      <c r="U101" s="843">
        <v>0</v>
      </c>
      <c r="V101" s="843">
        <v>1</v>
      </c>
      <c r="W101" s="843">
        <v>0</v>
      </c>
      <c r="X101" s="843">
        <v>0</v>
      </c>
      <c r="Y101" s="843">
        <v>1</v>
      </c>
      <c r="Z101" s="843">
        <v>1</v>
      </c>
      <c r="AA101" s="256" t="str">
        <f t="shared" si="4"/>
        <v>00094.ក្រចាប់លេខ 20 CHIP MONG #DKS0094</v>
      </c>
      <c r="AB101" s="1145" t="str">
        <f t="shared" si="5"/>
        <v>00094.ក្រចាប់លេខ 20</v>
      </c>
    </row>
    <row r="102" spans="3:28" ht="24.95" customHeight="1">
      <c r="C102" s="843">
        <v>95</v>
      </c>
      <c r="D102" s="843"/>
      <c r="E102" s="843"/>
      <c r="F102" s="1116" t="s">
        <v>2505</v>
      </c>
      <c r="G102" s="1117" t="s">
        <v>2505</v>
      </c>
      <c r="H102" s="868" t="s">
        <v>2502</v>
      </c>
      <c r="I102" s="1118" t="s">
        <v>2502</v>
      </c>
      <c r="J102" s="870" t="s">
        <v>2778</v>
      </c>
      <c r="K102" s="1138" t="s">
        <v>2952</v>
      </c>
      <c r="L102" s="1138" t="s">
        <v>2974</v>
      </c>
      <c r="M102" s="870" t="s">
        <v>2264</v>
      </c>
      <c r="N102" s="868"/>
      <c r="O102" s="1118"/>
      <c r="P102" s="1119">
        <v>4.5599999999999996</v>
      </c>
      <c r="Q102" s="884">
        <v>0.75</v>
      </c>
      <c r="R102" s="885"/>
      <c r="S102" s="843">
        <f t="shared" si="3"/>
        <v>26</v>
      </c>
      <c r="T102" s="843" t="s">
        <v>36</v>
      </c>
      <c r="U102" s="843">
        <v>0</v>
      </c>
      <c r="V102" s="843">
        <v>1</v>
      </c>
      <c r="W102" s="843">
        <v>0</v>
      </c>
      <c r="X102" s="843">
        <v>0</v>
      </c>
      <c r="Y102" s="843">
        <v>1</v>
      </c>
      <c r="Z102" s="843">
        <v>1</v>
      </c>
      <c r="AA102" s="256" t="str">
        <f t="shared" si="4"/>
        <v>00095.ព្រី(3b) China #DKS0095</v>
      </c>
      <c r="AB102" s="1145" t="str">
        <f t="shared" si="5"/>
        <v>00095.ព្រី(3b)</v>
      </c>
    </row>
    <row r="103" spans="3:28" ht="24.95" customHeight="1">
      <c r="C103" s="843">
        <v>96</v>
      </c>
      <c r="D103" s="843"/>
      <c r="E103" s="843"/>
      <c r="F103" s="1116" t="s">
        <v>2507</v>
      </c>
      <c r="G103" s="1117" t="s">
        <v>2507</v>
      </c>
      <c r="H103" s="868" t="s">
        <v>2504</v>
      </c>
      <c r="I103" s="1118" t="s">
        <v>2504</v>
      </c>
      <c r="J103" s="870" t="s">
        <v>2778</v>
      </c>
      <c r="K103" s="1138" t="s">
        <v>2951</v>
      </c>
      <c r="L103" s="1138" t="s">
        <v>2974</v>
      </c>
      <c r="M103" s="870" t="s">
        <v>2264</v>
      </c>
      <c r="N103" s="868"/>
      <c r="O103" s="1118"/>
      <c r="P103" s="1119">
        <v>3.24</v>
      </c>
      <c r="Q103" s="884">
        <v>0.38</v>
      </c>
      <c r="R103" s="885"/>
      <c r="S103" s="843">
        <f t="shared" si="3"/>
        <v>26</v>
      </c>
      <c r="T103" s="843" t="s">
        <v>36</v>
      </c>
      <c r="U103" s="843">
        <v>0</v>
      </c>
      <c r="V103" s="843">
        <v>1</v>
      </c>
      <c r="W103" s="843">
        <v>0</v>
      </c>
      <c r="X103" s="843">
        <v>0</v>
      </c>
      <c r="Y103" s="843">
        <v>1</v>
      </c>
      <c r="Z103" s="843">
        <v>1</v>
      </c>
      <c r="AA103" s="256" t="str">
        <f t="shared" si="4"/>
        <v>00096.ជើងអំពូល ជាប់ជញ្ជាំង China #DKS0096</v>
      </c>
      <c r="AB103" s="1145" t="str">
        <f t="shared" si="5"/>
        <v>00096.ជើងអំពូល ជាប់ជញ្ជាំង</v>
      </c>
    </row>
    <row r="104" spans="3:28" ht="24.95" customHeight="1">
      <c r="C104" s="843">
        <v>97</v>
      </c>
      <c r="D104" s="843"/>
      <c r="E104" s="843"/>
      <c r="F104" s="1116" t="s">
        <v>2509</v>
      </c>
      <c r="G104" s="1117" t="s">
        <v>2509</v>
      </c>
      <c r="H104" s="868" t="s">
        <v>2506</v>
      </c>
      <c r="I104" s="1118" t="s">
        <v>2506</v>
      </c>
      <c r="J104" s="870" t="s">
        <v>2778</v>
      </c>
      <c r="K104" s="1138" t="s">
        <v>2951</v>
      </c>
      <c r="L104" s="1138" t="s">
        <v>2974</v>
      </c>
      <c r="M104" s="870" t="s">
        <v>2264</v>
      </c>
      <c r="N104" s="868"/>
      <c r="O104" s="1118"/>
      <c r="P104" s="1119">
        <v>3.6</v>
      </c>
      <c r="Q104" s="884">
        <v>0.5</v>
      </c>
      <c r="R104" s="885"/>
      <c r="S104" s="843">
        <f t="shared" si="3"/>
        <v>26</v>
      </c>
      <c r="T104" s="843" t="s">
        <v>36</v>
      </c>
      <c r="U104" s="843">
        <v>0</v>
      </c>
      <c r="V104" s="843">
        <v>1</v>
      </c>
      <c r="W104" s="843">
        <v>0</v>
      </c>
      <c r="X104" s="843">
        <v>0</v>
      </c>
      <c r="Y104" s="843">
        <v>1</v>
      </c>
      <c r="Z104" s="843">
        <v>1</v>
      </c>
      <c r="AA104" s="256" t="str">
        <f t="shared" si="4"/>
        <v>00097.កុងតាក់ជាប់ជញ្ជាំង China #DKS0097</v>
      </c>
      <c r="AB104" s="1145" t="str">
        <f t="shared" si="5"/>
        <v>00097.កុងតាក់ជាប់ជញ្ជាំង</v>
      </c>
    </row>
    <row r="105" spans="3:28" ht="24.95" customHeight="1">
      <c r="C105" s="843">
        <v>98</v>
      </c>
      <c r="D105" s="843"/>
      <c r="E105" s="843"/>
      <c r="F105" s="1116" t="s">
        <v>2511</v>
      </c>
      <c r="G105" s="1117" t="s">
        <v>2511</v>
      </c>
      <c r="H105" s="868" t="s">
        <v>2508</v>
      </c>
      <c r="I105" s="1118" t="s">
        <v>2508</v>
      </c>
      <c r="J105" s="870" t="s">
        <v>2915</v>
      </c>
      <c r="K105" s="1138" t="s">
        <v>2952</v>
      </c>
      <c r="L105" s="1138" t="s">
        <v>2974</v>
      </c>
      <c r="M105" s="870" t="s">
        <v>2722</v>
      </c>
      <c r="N105" s="868"/>
      <c r="O105" s="1118"/>
      <c r="P105" s="1119">
        <v>9.6</v>
      </c>
      <c r="Q105" s="884">
        <v>0.75</v>
      </c>
      <c r="R105" s="885"/>
      <c r="S105" s="843">
        <f t="shared" si="3"/>
        <v>32</v>
      </c>
      <c r="T105" s="843" t="s">
        <v>1897</v>
      </c>
      <c r="U105" s="843">
        <v>0</v>
      </c>
      <c r="V105" s="843">
        <v>1</v>
      </c>
      <c r="W105" s="843">
        <v>0</v>
      </c>
      <c r="X105" s="843">
        <v>0</v>
      </c>
      <c r="Y105" s="843">
        <v>1</v>
      </c>
      <c r="Z105" s="843">
        <v>1</v>
      </c>
      <c r="AA105" s="256" t="str">
        <f t="shared" si="4"/>
        <v>00098.ឌុយ៣ចេញ២ China #DKS0098</v>
      </c>
      <c r="AB105" s="1145" t="str">
        <f t="shared" si="5"/>
        <v>00098.ឌុយ៣ចេញ២</v>
      </c>
    </row>
    <row r="106" spans="3:28" ht="24.95" customHeight="1">
      <c r="C106" s="843">
        <v>99</v>
      </c>
      <c r="D106" s="843"/>
      <c r="E106" s="843"/>
      <c r="F106" s="1116" t="s">
        <v>2514</v>
      </c>
      <c r="G106" s="1117" t="s">
        <v>2514</v>
      </c>
      <c r="H106" s="868" t="s">
        <v>2510</v>
      </c>
      <c r="I106" s="1118" t="s">
        <v>2510</v>
      </c>
      <c r="J106" s="870" t="s">
        <v>2921</v>
      </c>
      <c r="K106" s="1138" t="s">
        <v>2951</v>
      </c>
      <c r="L106" s="1138" t="s">
        <v>2974</v>
      </c>
      <c r="M106" s="870" t="s">
        <v>2844</v>
      </c>
      <c r="N106" s="868"/>
      <c r="O106" s="1118"/>
      <c r="P106" s="1119">
        <v>4.8</v>
      </c>
      <c r="Q106" s="884">
        <v>0.5</v>
      </c>
      <c r="R106" s="885"/>
      <c r="S106" s="843">
        <f t="shared" si="3"/>
        <v>31</v>
      </c>
      <c r="T106" s="843" t="s">
        <v>45</v>
      </c>
      <c r="U106" s="843">
        <v>0</v>
      </c>
      <c r="V106" s="843">
        <v>1</v>
      </c>
      <c r="W106" s="843">
        <v>0</v>
      </c>
      <c r="X106" s="843">
        <v>0</v>
      </c>
      <c r="Y106" s="843">
        <v>1</v>
      </c>
      <c r="Z106" s="843">
        <v>1</v>
      </c>
      <c r="AA106" s="256" t="str">
        <f t="shared" si="4"/>
        <v>00099.ជើងអំពូល ព្យូរខ្មៅ China #DKS0099</v>
      </c>
      <c r="AB106" s="1145" t="str">
        <f t="shared" si="5"/>
        <v>00099.ជើងអំពូល ព្យូរខ្មៅ</v>
      </c>
    </row>
    <row r="107" spans="3:28" ht="24.95" customHeight="1">
      <c r="C107" s="843">
        <v>100</v>
      </c>
      <c r="D107" s="843"/>
      <c r="E107" s="843"/>
      <c r="F107" s="1116" t="s">
        <v>2516</v>
      </c>
      <c r="G107" s="1117" t="s">
        <v>2516</v>
      </c>
      <c r="H107" s="868" t="s">
        <v>2512</v>
      </c>
      <c r="I107" s="1118" t="s">
        <v>2512</v>
      </c>
      <c r="J107" s="870" t="s">
        <v>2778</v>
      </c>
      <c r="K107" s="1138" t="s">
        <v>2952</v>
      </c>
      <c r="L107" s="1138" t="s">
        <v>2974</v>
      </c>
      <c r="M107" s="870" t="s">
        <v>2264</v>
      </c>
      <c r="N107" s="868"/>
      <c r="O107" s="1118"/>
      <c r="P107" s="1119">
        <v>66</v>
      </c>
      <c r="Q107" s="884">
        <v>6</v>
      </c>
      <c r="R107" s="885"/>
      <c r="S107" s="843">
        <f t="shared" si="3"/>
        <v>26</v>
      </c>
      <c r="T107" s="843" t="s">
        <v>36</v>
      </c>
      <c r="U107" s="843">
        <v>0</v>
      </c>
      <c r="V107" s="843">
        <v>1</v>
      </c>
      <c r="W107" s="843">
        <v>0</v>
      </c>
      <c r="X107" s="843">
        <v>0</v>
      </c>
      <c r="Y107" s="843">
        <v>1</v>
      </c>
      <c r="Z107" s="843">
        <v>1</v>
      </c>
      <c r="AA107" s="256" t="str">
        <f t="shared" si="4"/>
        <v>00100.ព្រីភ្លើង​ 5m រុន4 China #DKS0100</v>
      </c>
      <c r="AB107" s="1145" t="str">
        <f t="shared" si="5"/>
        <v>00100.ព្រីភ្លើង​ 5m រុន4</v>
      </c>
    </row>
    <row r="108" spans="3:28" ht="24.95" customHeight="1">
      <c r="C108" s="843">
        <v>101</v>
      </c>
      <c r="D108" s="843"/>
      <c r="E108" s="843"/>
      <c r="F108" s="1116" t="s">
        <v>2518</v>
      </c>
      <c r="G108" s="1117" t="s">
        <v>2518</v>
      </c>
      <c r="H108" s="868" t="s">
        <v>2513</v>
      </c>
      <c r="I108" s="1118" t="s">
        <v>2513</v>
      </c>
      <c r="J108" s="870" t="s">
        <v>2923</v>
      </c>
      <c r="K108" s="1138" t="s">
        <v>2957</v>
      </c>
      <c r="L108" s="1138" t="s">
        <v>2975</v>
      </c>
      <c r="M108" s="870" t="s">
        <v>2742</v>
      </c>
      <c r="N108" s="868" t="s">
        <v>2174</v>
      </c>
      <c r="O108" s="1118"/>
      <c r="P108" s="1119">
        <v>5</v>
      </c>
      <c r="Q108" s="884">
        <v>5.5</v>
      </c>
      <c r="R108" s="885"/>
      <c r="S108" s="843">
        <f t="shared" si="3"/>
        <v>46</v>
      </c>
      <c r="T108" s="843">
        <v>4500</v>
      </c>
      <c r="U108" s="843">
        <v>0</v>
      </c>
      <c r="V108" s="843">
        <v>1</v>
      </c>
      <c r="W108" s="843">
        <v>0</v>
      </c>
      <c r="X108" s="843">
        <v>0</v>
      </c>
      <c r="Y108" s="843">
        <v>1</v>
      </c>
      <c r="Z108" s="843">
        <v>1</v>
      </c>
      <c r="AA108" s="256" t="str">
        <f t="shared" si="4"/>
        <v>00101.ដែកគោល 3H 4H 5H 6H… Kbal Kla #DKS0101</v>
      </c>
      <c r="AB108" s="1145" t="str">
        <f t="shared" si="5"/>
        <v>00101.ដែកគោល 3H 4H 5H 6H…</v>
      </c>
    </row>
    <row r="109" spans="3:28" ht="24.95" customHeight="1">
      <c r="C109" s="843">
        <v>102</v>
      </c>
      <c r="D109" s="843"/>
      <c r="E109" s="843"/>
      <c r="F109" s="1116" t="s">
        <v>2520</v>
      </c>
      <c r="G109" s="1117" t="s">
        <v>2520</v>
      </c>
      <c r="H109" s="868" t="s">
        <v>2515</v>
      </c>
      <c r="I109" s="1118" t="s">
        <v>2515</v>
      </c>
      <c r="J109" s="870" t="s">
        <v>2924</v>
      </c>
      <c r="K109" s="1138" t="s">
        <v>2957</v>
      </c>
      <c r="L109" s="1138" t="s">
        <v>2974</v>
      </c>
      <c r="M109" s="870" t="s">
        <v>2725</v>
      </c>
      <c r="N109" s="868" t="s">
        <v>2174</v>
      </c>
      <c r="O109" s="1118"/>
      <c r="P109" s="1119">
        <v>108</v>
      </c>
      <c r="Q109" s="884">
        <v>5</v>
      </c>
      <c r="R109" s="885"/>
      <c r="S109" s="843">
        <f t="shared" si="3"/>
        <v>44</v>
      </c>
      <c r="T109" s="843" t="s">
        <v>1897</v>
      </c>
      <c r="U109" s="843">
        <v>0</v>
      </c>
      <c r="V109" s="843">
        <v>1</v>
      </c>
      <c r="W109" s="843">
        <v>0</v>
      </c>
      <c r="X109" s="843">
        <v>0</v>
      </c>
      <c r="Y109" s="843">
        <v>1</v>
      </c>
      <c r="Z109" s="843">
        <v>1</v>
      </c>
      <c r="AA109" s="256" t="str">
        <f t="shared" si="4"/>
        <v>00102.វិសខ្មៅ China #DKS0102</v>
      </c>
      <c r="AB109" s="1145" t="str">
        <f t="shared" si="5"/>
        <v>00102.វិសខ្មៅ</v>
      </c>
    </row>
    <row r="110" spans="3:28" ht="24.95" customHeight="1">
      <c r="C110" s="843">
        <v>103</v>
      </c>
      <c r="D110" s="843"/>
      <c r="E110" s="843"/>
      <c r="F110" s="1116" t="s">
        <v>2522</v>
      </c>
      <c r="G110" s="1117" t="s">
        <v>2522</v>
      </c>
      <c r="H110" s="868" t="s">
        <v>2517</v>
      </c>
      <c r="I110" s="1118" t="s">
        <v>2517</v>
      </c>
      <c r="J110" s="870" t="s">
        <v>2778</v>
      </c>
      <c r="K110" s="1138" t="s">
        <v>2958</v>
      </c>
      <c r="L110" s="1138" t="s">
        <v>2976</v>
      </c>
      <c r="M110" s="870" t="s">
        <v>2264</v>
      </c>
      <c r="N110" s="868" t="s">
        <v>2174</v>
      </c>
      <c r="O110" s="1118"/>
      <c r="P110" s="1119">
        <v>9</v>
      </c>
      <c r="Q110" s="884">
        <v>1</v>
      </c>
      <c r="R110" s="885"/>
      <c r="S110" s="843">
        <f t="shared" si="3"/>
        <v>26</v>
      </c>
      <c r="T110" s="843" t="s">
        <v>36</v>
      </c>
      <c r="U110" s="843">
        <v>0</v>
      </c>
      <c r="V110" s="843">
        <v>1</v>
      </c>
      <c r="W110" s="843">
        <v>0</v>
      </c>
      <c r="X110" s="843">
        <v>0</v>
      </c>
      <c r="Y110" s="843">
        <v>1</v>
      </c>
      <c r="Z110" s="843">
        <v>1</v>
      </c>
      <c r="AA110" s="256" t="str">
        <f t="shared" si="4"/>
        <v>00103.ផ្លែស្វានបេតុង 6l PL #DKS0103</v>
      </c>
      <c r="AB110" s="1145" t="str">
        <f t="shared" si="5"/>
        <v>00103.ផ្លែស្វានបេតុង 6l</v>
      </c>
    </row>
    <row r="111" spans="3:28" ht="24.95" customHeight="1">
      <c r="C111" s="843">
        <v>104</v>
      </c>
      <c r="D111" s="843"/>
      <c r="E111" s="843"/>
      <c r="F111" s="1116" t="s">
        <v>2524</v>
      </c>
      <c r="G111" s="1117" t="s">
        <v>2524</v>
      </c>
      <c r="H111" s="868" t="s">
        <v>2519</v>
      </c>
      <c r="I111" s="1118" t="s">
        <v>2519</v>
      </c>
      <c r="J111" s="870" t="s">
        <v>2778</v>
      </c>
      <c r="K111" s="1138" t="s">
        <v>2958</v>
      </c>
      <c r="L111" s="1138" t="s">
        <v>2976</v>
      </c>
      <c r="M111" s="870" t="s">
        <v>2264</v>
      </c>
      <c r="N111" s="868" t="s">
        <v>2174</v>
      </c>
      <c r="O111" s="1118"/>
      <c r="P111" s="1119">
        <v>11.4</v>
      </c>
      <c r="Q111" s="884">
        <v>1.1000000000000001</v>
      </c>
      <c r="R111" s="885"/>
      <c r="S111" s="843">
        <f t="shared" si="3"/>
        <v>26</v>
      </c>
      <c r="T111" s="843" t="s">
        <v>36</v>
      </c>
      <c r="U111" s="843">
        <v>0</v>
      </c>
      <c r="V111" s="843">
        <v>1</v>
      </c>
      <c r="W111" s="843">
        <v>0</v>
      </c>
      <c r="X111" s="843">
        <v>0</v>
      </c>
      <c r="Y111" s="843">
        <v>1</v>
      </c>
      <c r="Z111" s="843">
        <v>1</v>
      </c>
      <c r="AA111" s="256" t="str">
        <f t="shared" si="4"/>
        <v>00104.ផ្លែស្វានបេតុង 8l PL #DKS0104</v>
      </c>
      <c r="AB111" s="1145" t="str">
        <f t="shared" si="5"/>
        <v>00104.ផ្លែស្វានបេតុង 8l</v>
      </c>
    </row>
    <row r="112" spans="3:28" ht="24.95" customHeight="1">
      <c r="C112" s="843">
        <v>105</v>
      </c>
      <c r="D112" s="843"/>
      <c r="E112" s="843"/>
      <c r="F112" s="1116" t="s">
        <v>2526</v>
      </c>
      <c r="G112" s="1117" t="s">
        <v>2526</v>
      </c>
      <c r="H112" s="868" t="s">
        <v>2521</v>
      </c>
      <c r="I112" s="1118" t="s">
        <v>2521</v>
      </c>
      <c r="J112" s="870" t="s">
        <v>2778</v>
      </c>
      <c r="K112" s="1138" t="s">
        <v>2958</v>
      </c>
      <c r="L112" s="1138" t="s">
        <v>2976</v>
      </c>
      <c r="M112" s="870" t="s">
        <v>2264</v>
      </c>
      <c r="N112" s="868" t="s">
        <v>2174</v>
      </c>
      <c r="O112" s="1118"/>
      <c r="P112" s="1119">
        <v>13.2</v>
      </c>
      <c r="Q112" s="884">
        <v>1.25</v>
      </c>
      <c r="R112" s="885"/>
      <c r="S112" s="843">
        <f t="shared" si="3"/>
        <v>26</v>
      </c>
      <c r="T112" s="843" t="s">
        <v>36</v>
      </c>
      <c r="U112" s="843">
        <v>0</v>
      </c>
      <c r="V112" s="843">
        <v>1</v>
      </c>
      <c r="W112" s="843">
        <v>0</v>
      </c>
      <c r="X112" s="843">
        <v>0</v>
      </c>
      <c r="Y112" s="843">
        <v>1</v>
      </c>
      <c r="Z112" s="843">
        <v>1</v>
      </c>
      <c r="AA112" s="256" t="str">
        <f t="shared" si="4"/>
        <v>00105.ផ្លែស្វានបេតុង 10l PL #DKS0105</v>
      </c>
      <c r="AB112" s="1145" t="str">
        <f t="shared" si="5"/>
        <v>00105.ផ្លែស្វានបេតុង 10l</v>
      </c>
    </row>
    <row r="113" spans="3:28" ht="24.95" customHeight="1">
      <c r="C113" s="843">
        <v>106</v>
      </c>
      <c r="D113" s="843"/>
      <c r="E113" s="843"/>
      <c r="F113" s="1116" t="s">
        <v>2528</v>
      </c>
      <c r="G113" s="1117" t="s">
        <v>2528</v>
      </c>
      <c r="H113" s="868" t="s">
        <v>2523</v>
      </c>
      <c r="I113" s="1118" t="s">
        <v>2523</v>
      </c>
      <c r="J113" s="870" t="s">
        <v>2778</v>
      </c>
      <c r="K113" s="1138" t="s">
        <v>2958</v>
      </c>
      <c r="L113" s="1138" t="s">
        <v>2976</v>
      </c>
      <c r="M113" s="870" t="s">
        <v>2264</v>
      </c>
      <c r="N113" s="868" t="s">
        <v>2174</v>
      </c>
      <c r="O113" s="1118"/>
      <c r="P113" s="1119">
        <v>14.4</v>
      </c>
      <c r="Q113" s="884">
        <v>1.5</v>
      </c>
      <c r="R113" s="885"/>
      <c r="S113" s="843">
        <f t="shared" si="3"/>
        <v>26</v>
      </c>
      <c r="T113" s="843" t="s">
        <v>36</v>
      </c>
      <c r="U113" s="843">
        <v>0</v>
      </c>
      <c r="V113" s="843">
        <v>1</v>
      </c>
      <c r="W113" s="843">
        <v>0</v>
      </c>
      <c r="X113" s="843">
        <v>0</v>
      </c>
      <c r="Y113" s="843">
        <v>1</v>
      </c>
      <c r="Z113" s="843">
        <v>1</v>
      </c>
      <c r="AA113" s="256" t="str">
        <f t="shared" si="4"/>
        <v>00106.ផ្លែស្វានបេតុង 12l PL #DKS0106</v>
      </c>
      <c r="AB113" s="1145" t="str">
        <f t="shared" si="5"/>
        <v>00106.ផ្លែស្វានបេតុង 12l</v>
      </c>
    </row>
    <row r="114" spans="3:28" ht="24.95" customHeight="1">
      <c r="C114" s="843">
        <v>107</v>
      </c>
      <c r="D114" s="843"/>
      <c r="E114" s="843"/>
      <c r="F114" s="1116" t="s">
        <v>2530</v>
      </c>
      <c r="G114" s="1117" t="s">
        <v>2530</v>
      </c>
      <c r="H114" s="868" t="s">
        <v>2525</v>
      </c>
      <c r="I114" s="1118" t="s">
        <v>2525</v>
      </c>
      <c r="J114" s="870" t="s">
        <v>2778</v>
      </c>
      <c r="K114" s="1138" t="s">
        <v>2958</v>
      </c>
      <c r="L114" s="1138" t="s">
        <v>2976</v>
      </c>
      <c r="M114" s="870" t="s">
        <v>2264</v>
      </c>
      <c r="N114" s="868" t="s">
        <v>2174</v>
      </c>
      <c r="O114" s="1118"/>
      <c r="P114" s="1119">
        <v>2.2999999999999998</v>
      </c>
      <c r="Q114" s="884">
        <v>2.75</v>
      </c>
      <c r="R114" s="885"/>
      <c r="S114" s="843">
        <f t="shared" si="3"/>
        <v>26</v>
      </c>
      <c r="T114" s="843" t="s">
        <v>36</v>
      </c>
      <c r="U114" s="843">
        <v>0</v>
      </c>
      <c r="V114" s="843">
        <v>1</v>
      </c>
      <c r="W114" s="843">
        <v>0</v>
      </c>
      <c r="X114" s="843">
        <v>0</v>
      </c>
      <c r="Y114" s="843">
        <v>1</v>
      </c>
      <c r="Z114" s="843">
        <v>1</v>
      </c>
      <c r="AA114" s="256" t="str">
        <f t="shared" si="4"/>
        <v>00107.ក្បាលស្វាន GF-10mm PL #DKS0107</v>
      </c>
      <c r="AB114" s="1145" t="str">
        <f t="shared" si="5"/>
        <v>00107.ក្បាលស្វាន GF-10mm</v>
      </c>
    </row>
    <row r="115" spans="3:28" ht="24.95" customHeight="1">
      <c r="C115" s="843">
        <v>108</v>
      </c>
      <c r="D115" s="843"/>
      <c r="E115" s="843"/>
      <c r="F115" s="1116" t="s">
        <v>2532</v>
      </c>
      <c r="G115" s="1117" t="s">
        <v>2532</v>
      </c>
      <c r="H115" s="868" t="s">
        <v>2527</v>
      </c>
      <c r="I115" s="1118" t="s">
        <v>2527</v>
      </c>
      <c r="J115" s="870" t="s">
        <v>2939</v>
      </c>
      <c r="K115" s="1138" t="s">
        <v>2958</v>
      </c>
      <c r="L115" s="1138" t="s">
        <v>2976</v>
      </c>
      <c r="M115" s="870" t="s">
        <v>2307</v>
      </c>
      <c r="N115" s="868" t="s">
        <v>2174</v>
      </c>
      <c r="O115" s="1118"/>
      <c r="P115" s="1119">
        <v>2.7</v>
      </c>
      <c r="Q115" s="884">
        <v>3</v>
      </c>
      <c r="R115" s="885"/>
      <c r="S115" s="843">
        <f t="shared" si="3"/>
        <v>2</v>
      </c>
      <c r="T115" s="843">
        <v>1</v>
      </c>
      <c r="U115" s="843">
        <v>0</v>
      </c>
      <c r="V115" s="843">
        <v>1</v>
      </c>
      <c r="W115" s="843">
        <v>0</v>
      </c>
      <c r="X115" s="843">
        <v>0</v>
      </c>
      <c r="Y115" s="843">
        <v>1</v>
      </c>
      <c r="Z115" s="843">
        <v>1</v>
      </c>
      <c r="AA115" s="256" t="str">
        <f t="shared" si="4"/>
        <v>00108.ក្បាលស្វាន 13l PL #DKS0108</v>
      </c>
      <c r="AB115" s="1145" t="str">
        <f t="shared" si="5"/>
        <v>00108.ក្បាលស្វាន 13l</v>
      </c>
    </row>
    <row r="116" spans="3:28" ht="24.95" customHeight="1">
      <c r="C116" s="843">
        <v>109</v>
      </c>
      <c r="D116" s="843"/>
      <c r="E116" s="843"/>
      <c r="F116" s="1116" t="s">
        <v>2534</v>
      </c>
      <c r="G116" s="1117" t="s">
        <v>2534</v>
      </c>
      <c r="H116" s="868" t="s">
        <v>2529</v>
      </c>
      <c r="I116" s="1118" t="s">
        <v>2529</v>
      </c>
      <c r="J116" s="870" t="s">
        <v>2939</v>
      </c>
      <c r="K116" s="1138" t="s">
        <v>2958</v>
      </c>
      <c r="L116" s="1138" t="s">
        <v>2976</v>
      </c>
      <c r="M116" s="870" t="s">
        <v>2307</v>
      </c>
      <c r="N116" s="868" t="s">
        <v>2174</v>
      </c>
      <c r="O116" s="1118"/>
      <c r="P116" s="1119">
        <v>3.7</v>
      </c>
      <c r="Q116" s="884">
        <v>4</v>
      </c>
      <c r="R116" s="885"/>
      <c r="S116" s="843">
        <f t="shared" si="3"/>
        <v>2</v>
      </c>
      <c r="T116" s="843">
        <v>1</v>
      </c>
      <c r="U116" s="843">
        <v>0</v>
      </c>
      <c r="V116" s="843">
        <v>1</v>
      </c>
      <c r="W116" s="843">
        <v>0</v>
      </c>
      <c r="X116" s="843">
        <v>0</v>
      </c>
      <c r="Y116" s="843">
        <v>1</v>
      </c>
      <c r="Z116" s="843">
        <v>1</v>
      </c>
      <c r="AA116" s="256" t="str">
        <f t="shared" si="4"/>
        <v>00109.ក្បាលស្វាន 16l PL #DKS0109</v>
      </c>
      <c r="AB116" s="1145" t="str">
        <f t="shared" si="5"/>
        <v>00109.ក្បាលស្វាន 16l</v>
      </c>
    </row>
    <row r="117" spans="3:28" ht="24.95" customHeight="1">
      <c r="C117" s="843">
        <v>110</v>
      </c>
      <c r="D117" s="843"/>
      <c r="E117" s="843"/>
      <c r="F117" s="1116" t="s">
        <v>2536</v>
      </c>
      <c r="G117" s="1117" t="s">
        <v>2536</v>
      </c>
      <c r="H117" s="868" t="s">
        <v>2531</v>
      </c>
      <c r="I117" s="1118" t="s">
        <v>2531</v>
      </c>
      <c r="J117" s="870" t="s">
        <v>2939</v>
      </c>
      <c r="K117" s="1138" t="s">
        <v>2959</v>
      </c>
      <c r="L117" s="1138" t="s">
        <v>2976</v>
      </c>
      <c r="M117" s="870" t="s">
        <v>2307</v>
      </c>
      <c r="N117" s="868" t="s">
        <v>2174</v>
      </c>
      <c r="O117" s="1118"/>
      <c r="P117" s="1119">
        <v>0.35</v>
      </c>
      <c r="Q117" s="884">
        <v>0.5</v>
      </c>
      <c r="R117" s="885"/>
      <c r="S117" s="843">
        <f t="shared" si="3"/>
        <v>2</v>
      </c>
      <c r="T117" s="843">
        <v>1</v>
      </c>
      <c r="U117" s="843">
        <v>0</v>
      </c>
      <c r="V117" s="843">
        <v>1</v>
      </c>
      <c r="W117" s="843">
        <v>0</v>
      </c>
      <c r="X117" s="843">
        <v>0</v>
      </c>
      <c r="Y117" s="843">
        <v>1</v>
      </c>
      <c r="Z117" s="843">
        <v>1</v>
      </c>
      <c r="AA117" s="256" t="str">
        <f t="shared" si="4"/>
        <v>00110.សោរដោះម៉ូទ័រ 10l PL #DKS0110</v>
      </c>
      <c r="AB117" s="1145" t="str">
        <f t="shared" si="5"/>
        <v>00110.សោរដោះម៉ូទ័រ 10l</v>
      </c>
    </row>
    <row r="118" spans="3:28" ht="24.95" customHeight="1">
      <c r="C118" s="843">
        <v>111</v>
      </c>
      <c r="D118" s="843"/>
      <c r="E118" s="843"/>
      <c r="F118" s="1116" t="s">
        <v>2538</v>
      </c>
      <c r="G118" s="1117" t="s">
        <v>2538</v>
      </c>
      <c r="H118" s="868" t="s">
        <v>2533</v>
      </c>
      <c r="I118" s="1118" t="s">
        <v>2533</v>
      </c>
      <c r="J118" s="870" t="s">
        <v>2939</v>
      </c>
      <c r="K118" s="1138" t="s">
        <v>2959</v>
      </c>
      <c r="L118" s="1138" t="s">
        <v>2976</v>
      </c>
      <c r="M118" s="870" t="s">
        <v>2307</v>
      </c>
      <c r="N118" s="868" t="s">
        <v>2174</v>
      </c>
      <c r="O118" s="1118"/>
      <c r="P118" s="1119">
        <v>0.4</v>
      </c>
      <c r="Q118" s="884">
        <v>0.5</v>
      </c>
      <c r="R118" s="885"/>
      <c r="S118" s="843">
        <f t="shared" si="3"/>
        <v>2</v>
      </c>
      <c r="T118" s="843">
        <v>1</v>
      </c>
      <c r="U118" s="843">
        <v>0</v>
      </c>
      <c r="V118" s="843">
        <v>1</v>
      </c>
      <c r="W118" s="843">
        <v>0</v>
      </c>
      <c r="X118" s="843">
        <v>0</v>
      </c>
      <c r="Y118" s="843">
        <v>1</v>
      </c>
      <c r="Z118" s="843">
        <v>1</v>
      </c>
      <c r="AA118" s="256" t="str">
        <f t="shared" si="4"/>
        <v>00111.សោរដោះម៉ូទ័រ 13l PL #DKS0111</v>
      </c>
      <c r="AB118" s="1145" t="str">
        <f t="shared" si="5"/>
        <v>00111.សោរដោះម៉ូទ័រ 13l</v>
      </c>
    </row>
    <row r="119" spans="3:28" ht="24.95" customHeight="1">
      <c r="C119" s="843">
        <v>112</v>
      </c>
      <c r="D119" s="843"/>
      <c r="E119" s="843"/>
      <c r="F119" s="1116" t="s">
        <v>2540</v>
      </c>
      <c r="G119" s="1117" t="s">
        <v>2540</v>
      </c>
      <c r="H119" s="868" t="s">
        <v>2535</v>
      </c>
      <c r="I119" s="1118" t="s">
        <v>2535</v>
      </c>
      <c r="J119" s="870" t="s">
        <v>2939</v>
      </c>
      <c r="K119" s="1138" t="s">
        <v>2959</v>
      </c>
      <c r="L119" s="1138" t="s">
        <v>2976</v>
      </c>
      <c r="M119" s="870" t="s">
        <v>2307</v>
      </c>
      <c r="N119" s="868" t="s">
        <v>2174</v>
      </c>
      <c r="O119" s="1118"/>
      <c r="P119" s="1119">
        <v>2.6</v>
      </c>
      <c r="Q119" s="884">
        <v>3</v>
      </c>
      <c r="R119" s="885"/>
      <c r="S119" s="843">
        <f t="shared" si="3"/>
        <v>2</v>
      </c>
      <c r="T119" s="843">
        <v>1</v>
      </c>
      <c r="U119" s="843">
        <v>0</v>
      </c>
      <c r="V119" s="843">
        <v>1</v>
      </c>
      <c r="W119" s="843">
        <v>0</v>
      </c>
      <c r="X119" s="843">
        <v>0</v>
      </c>
      <c r="Y119" s="843">
        <v>1</v>
      </c>
      <c r="Z119" s="843">
        <v>1</v>
      </c>
      <c r="AA119" s="256" t="str">
        <f t="shared" si="4"/>
        <v>00112.ញញូលមុខក្រឡា 0.5kg PL #DKS0112</v>
      </c>
      <c r="AB119" s="1145" t="str">
        <f t="shared" si="5"/>
        <v>00112.ញញូលមុខក្រឡា 0.5kg</v>
      </c>
    </row>
    <row r="120" spans="3:28" ht="24.95" customHeight="1">
      <c r="C120" s="843">
        <v>113</v>
      </c>
      <c r="D120" s="843"/>
      <c r="E120" s="843"/>
      <c r="F120" s="1116" t="s">
        <v>2542</v>
      </c>
      <c r="G120" s="1117" t="s">
        <v>2542</v>
      </c>
      <c r="H120" s="868" t="s">
        <v>2537</v>
      </c>
      <c r="I120" s="1118" t="s">
        <v>2537</v>
      </c>
      <c r="J120" s="870" t="s">
        <v>2939</v>
      </c>
      <c r="K120" s="1138" t="s">
        <v>2960</v>
      </c>
      <c r="L120" s="1138" t="s">
        <v>2976</v>
      </c>
      <c r="M120" s="870" t="s">
        <v>2307</v>
      </c>
      <c r="N120" s="868" t="s">
        <v>2174</v>
      </c>
      <c r="O120" s="1118"/>
      <c r="P120" s="1119">
        <v>1.3</v>
      </c>
      <c r="Q120" s="884">
        <v>1.75</v>
      </c>
      <c r="R120" s="885"/>
      <c r="S120" s="843">
        <f t="shared" si="3"/>
        <v>2</v>
      </c>
      <c r="T120" s="843">
        <v>1</v>
      </c>
      <c r="U120" s="843">
        <v>0</v>
      </c>
      <c r="V120" s="843">
        <v>1</v>
      </c>
      <c r="W120" s="843">
        <v>0</v>
      </c>
      <c r="X120" s="843">
        <v>0</v>
      </c>
      <c r="Y120" s="843">
        <v>1</v>
      </c>
      <c r="Z120" s="843">
        <v>1</v>
      </c>
      <c r="AA120" s="256" t="str">
        <f t="shared" si="4"/>
        <v>00113.កាបចាក់កង 6T PL #DKS0113</v>
      </c>
      <c r="AB120" s="1145" t="str">
        <f t="shared" si="5"/>
        <v>00113.កាបចាក់កង 6T</v>
      </c>
    </row>
    <row r="121" spans="3:28" ht="24.95" customHeight="1">
      <c r="C121" s="843">
        <v>114</v>
      </c>
      <c r="D121" s="843"/>
      <c r="E121" s="843"/>
      <c r="F121" s="1116" t="s">
        <v>2544</v>
      </c>
      <c r="G121" s="1117" t="s">
        <v>2544</v>
      </c>
      <c r="H121" s="868" t="s">
        <v>2539</v>
      </c>
      <c r="I121" s="1118" t="s">
        <v>2539</v>
      </c>
      <c r="J121" s="870" t="s">
        <v>2939</v>
      </c>
      <c r="K121" s="1138" t="s">
        <v>2960</v>
      </c>
      <c r="L121" s="1138" t="s">
        <v>2976</v>
      </c>
      <c r="M121" s="870" t="s">
        <v>2307</v>
      </c>
      <c r="N121" s="868" t="s">
        <v>2174</v>
      </c>
      <c r="O121" s="1118"/>
      <c r="P121" s="1119">
        <v>1.5</v>
      </c>
      <c r="Q121" s="884">
        <v>2</v>
      </c>
      <c r="R121" s="885"/>
      <c r="S121" s="843">
        <f t="shared" si="3"/>
        <v>2</v>
      </c>
      <c r="T121" s="843">
        <v>1</v>
      </c>
      <c r="U121" s="843">
        <v>0</v>
      </c>
      <c r="V121" s="843">
        <v>1</v>
      </c>
      <c r="W121" s="843">
        <v>0</v>
      </c>
      <c r="X121" s="843">
        <v>0</v>
      </c>
      <c r="Y121" s="843">
        <v>1</v>
      </c>
      <c r="Z121" s="843">
        <v>1</v>
      </c>
      <c r="AA121" s="256" t="str">
        <f t="shared" si="4"/>
        <v>00114.កាបចាក់កង 8T PL #DKS0114</v>
      </c>
      <c r="AB121" s="1145" t="str">
        <f t="shared" si="5"/>
        <v>00114.កាបចាក់កង 8T</v>
      </c>
    </row>
    <row r="122" spans="3:28" ht="24.95" customHeight="1">
      <c r="C122" s="843">
        <v>115</v>
      </c>
      <c r="D122" s="843"/>
      <c r="E122" s="843"/>
      <c r="F122" s="1116" t="s">
        <v>2546</v>
      </c>
      <c r="G122" s="1117" t="s">
        <v>2546</v>
      </c>
      <c r="H122" s="868" t="s">
        <v>2541</v>
      </c>
      <c r="I122" s="1118" t="s">
        <v>2541</v>
      </c>
      <c r="J122" s="870" t="s">
        <v>2939</v>
      </c>
      <c r="K122" s="1138" t="s">
        <v>2961</v>
      </c>
      <c r="L122" s="1138" t="s">
        <v>2976</v>
      </c>
      <c r="M122" s="870" t="s">
        <v>2307</v>
      </c>
      <c r="N122" s="868" t="s">
        <v>2174</v>
      </c>
      <c r="O122" s="1118"/>
      <c r="P122" s="1119">
        <v>0.85</v>
      </c>
      <c r="Q122" s="884">
        <v>1.5</v>
      </c>
      <c r="R122" s="885"/>
      <c r="S122" s="843">
        <f t="shared" si="3"/>
        <v>2</v>
      </c>
      <c r="T122" s="843">
        <v>1</v>
      </c>
      <c r="U122" s="843">
        <v>0</v>
      </c>
      <c r="V122" s="843">
        <v>1</v>
      </c>
      <c r="W122" s="843">
        <v>0</v>
      </c>
      <c r="X122" s="843">
        <v>0</v>
      </c>
      <c r="Y122" s="843">
        <v>1</v>
      </c>
      <c r="Z122" s="843">
        <v>1</v>
      </c>
      <c r="AA122" s="256" t="str">
        <f t="shared" si="4"/>
        <v>00115.ច្រវ៉ាក់កង 6T PL #DKS0115</v>
      </c>
      <c r="AB122" s="1145" t="str">
        <f t="shared" si="5"/>
        <v>00115.ច្រវ៉ាក់កង 6T</v>
      </c>
    </row>
    <row r="123" spans="3:28" ht="24.95" customHeight="1">
      <c r="C123" s="843">
        <v>116</v>
      </c>
      <c r="D123" s="843"/>
      <c r="E123" s="843"/>
      <c r="F123" s="1116" t="s">
        <v>2548</v>
      </c>
      <c r="G123" s="1117" t="s">
        <v>2548</v>
      </c>
      <c r="H123" s="868" t="s">
        <v>2543</v>
      </c>
      <c r="I123" s="1118" t="s">
        <v>2543</v>
      </c>
      <c r="J123" s="870" t="s">
        <v>2939</v>
      </c>
      <c r="K123" s="1138" t="s">
        <v>2961</v>
      </c>
      <c r="L123" s="1138" t="s">
        <v>2976</v>
      </c>
      <c r="M123" s="870" t="s">
        <v>2307</v>
      </c>
      <c r="N123" s="868" t="s">
        <v>2174</v>
      </c>
      <c r="O123" s="1118"/>
      <c r="P123" s="1119">
        <v>0.95</v>
      </c>
      <c r="Q123" s="884">
        <v>1.5</v>
      </c>
      <c r="R123" s="885"/>
      <c r="S123" s="843">
        <f t="shared" si="3"/>
        <v>2</v>
      </c>
      <c r="T123" s="843">
        <v>1</v>
      </c>
      <c r="U123" s="843">
        <v>0</v>
      </c>
      <c r="V123" s="843">
        <v>1</v>
      </c>
      <c r="W123" s="843">
        <v>0</v>
      </c>
      <c r="X123" s="843">
        <v>0</v>
      </c>
      <c r="Y123" s="843">
        <v>1</v>
      </c>
      <c r="Z123" s="843">
        <v>1</v>
      </c>
      <c r="AA123" s="256" t="str">
        <f t="shared" si="4"/>
        <v>00116.ច្រវ៉ាក់កង 8T PL #DKS0116</v>
      </c>
      <c r="AB123" s="1145" t="str">
        <f t="shared" si="5"/>
        <v>00116.ច្រវ៉ាក់កង 8T</v>
      </c>
    </row>
    <row r="124" spans="3:28" ht="24.95" customHeight="1">
      <c r="C124" s="843">
        <v>117</v>
      </c>
      <c r="D124" s="843"/>
      <c r="E124" s="843"/>
      <c r="F124" s="1116" t="s">
        <v>2550</v>
      </c>
      <c r="G124" s="1117" t="s">
        <v>2550</v>
      </c>
      <c r="H124" s="868" t="s">
        <v>2545</v>
      </c>
      <c r="I124" s="1118" t="s">
        <v>2545</v>
      </c>
      <c r="J124" s="870" t="s">
        <v>2814</v>
      </c>
      <c r="K124" s="1138" t="s">
        <v>2959</v>
      </c>
      <c r="L124" s="1138" t="s">
        <v>2976</v>
      </c>
      <c r="M124" s="870" t="s">
        <v>2265</v>
      </c>
      <c r="N124" s="868" t="s">
        <v>2174</v>
      </c>
      <c r="O124" s="1118"/>
      <c r="P124" s="1119">
        <v>6.6</v>
      </c>
      <c r="Q124" s="884">
        <v>1.35</v>
      </c>
      <c r="R124" s="885"/>
      <c r="S124" s="843">
        <f t="shared" si="3"/>
        <v>25</v>
      </c>
      <c r="T124" s="843" t="s">
        <v>58</v>
      </c>
      <c r="U124" s="843">
        <v>0</v>
      </c>
      <c r="V124" s="843">
        <v>1</v>
      </c>
      <c r="W124" s="843">
        <v>0</v>
      </c>
      <c r="X124" s="843">
        <v>0</v>
      </c>
      <c r="Y124" s="843">
        <v>1</v>
      </c>
      <c r="Z124" s="843">
        <v>1</v>
      </c>
      <c r="AA124" s="256" t="str">
        <f t="shared" si="4"/>
        <v>00117.ដងឈូស​ 1" PL #DKS0117</v>
      </c>
      <c r="AB124" s="1145" t="str">
        <f t="shared" si="5"/>
        <v>00117.ដងឈូស​ 1"</v>
      </c>
    </row>
    <row r="125" spans="3:28" ht="24.95" customHeight="1">
      <c r="C125" s="843">
        <v>118</v>
      </c>
      <c r="D125" s="843"/>
      <c r="E125" s="843"/>
      <c r="F125" s="1116" t="s">
        <v>2552</v>
      </c>
      <c r="G125" s="1117" t="s">
        <v>2552</v>
      </c>
      <c r="H125" s="868" t="s">
        <v>2547</v>
      </c>
      <c r="I125" s="1118" t="s">
        <v>2547</v>
      </c>
      <c r="J125" s="870" t="s">
        <v>2814</v>
      </c>
      <c r="K125" s="1138" t="s">
        <v>2959</v>
      </c>
      <c r="L125" s="1138" t="s">
        <v>2976</v>
      </c>
      <c r="M125" s="870" t="s">
        <v>2265</v>
      </c>
      <c r="N125" s="868" t="s">
        <v>2174</v>
      </c>
      <c r="O125" s="1118"/>
      <c r="P125" s="1119">
        <v>7.2</v>
      </c>
      <c r="Q125" s="884">
        <v>1.5</v>
      </c>
      <c r="R125" s="885"/>
      <c r="S125" s="843">
        <f t="shared" si="3"/>
        <v>25</v>
      </c>
      <c r="T125" s="843" t="s">
        <v>58</v>
      </c>
      <c r="U125" s="843">
        <v>0</v>
      </c>
      <c r="V125" s="843">
        <v>1</v>
      </c>
      <c r="W125" s="843">
        <v>0</v>
      </c>
      <c r="X125" s="843">
        <v>0</v>
      </c>
      <c r="Y125" s="843">
        <v>1</v>
      </c>
      <c r="Z125" s="843">
        <v>1</v>
      </c>
      <c r="AA125" s="256" t="str">
        <f t="shared" si="4"/>
        <v>00118.ដងឈូស​ 2'' PL #DKS0118</v>
      </c>
      <c r="AB125" s="1145" t="str">
        <f t="shared" si="5"/>
        <v>00118.ដងឈូស​ 2''</v>
      </c>
    </row>
    <row r="126" spans="3:28" ht="24.95" customHeight="1">
      <c r="C126" s="843">
        <v>119</v>
      </c>
      <c r="D126" s="843"/>
      <c r="E126" s="843"/>
      <c r="F126" s="1116" t="s">
        <v>2554</v>
      </c>
      <c r="G126" s="1117" t="s">
        <v>2554</v>
      </c>
      <c r="H126" s="868" t="s">
        <v>2549</v>
      </c>
      <c r="I126" s="1118" t="s">
        <v>2549</v>
      </c>
      <c r="J126" s="870" t="s">
        <v>2814</v>
      </c>
      <c r="K126" s="1138" t="s">
        <v>2959</v>
      </c>
      <c r="L126" s="1138" t="s">
        <v>2976</v>
      </c>
      <c r="M126" s="870" t="s">
        <v>2265</v>
      </c>
      <c r="N126" s="868" t="s">
        <v>2174</v>
      </c>
      <c r="O126" s="1118"/>
      <c r="P126" s="1119">
        <v>7.8</v>
      </c>
      <c r="Q126" s="884">
        <v>1.75</v>
      </c>
      <c r="R126" s="885"/>
      <c r="S126" s="843">
        <f t="shared" si="3"/>
        <v>25</v>
      </c>
      <c r="T126" s="843" t="s">
        <v>58</v>
      </c>
      <c r="U126" s="843">
        <v>0</v>
      </c>
      <c r="V126" s="843">
        <v>1</v>
      </c>
      <c r="W126" s="843">
        <v>0</v>
      </c>
      <c r="X126" s="843">
        <v>0</v>
      </c>
      <c r="Y126" s="843">
        <v>1</v>
      </c>
      <c r="Z126" s="843">
        <v>1</v>
      </c>
      <c r="AA126" s="256" t="str">
        <f t="shared" si="4"/>
        <v>00119.ដងឈូស​ 3" PL #DKS0119</v>
      </c>
      <c r="AB126" s="1145" t="str">
        <f t="shared" si="5"/>
        <v>00119.ដងឈូស​ 3"</v>
      </c>
    </row>
    <row r="127" spans="3:28" ht="24.95" customHeight="1">
      <c r="C127" s="843">
        <v>120</v>
      </c>
      <c r="D127" s="843"/>
      <c r="E127" s="843"/>
      <c r="F127" s="1116" t="s">
        <v>2556</v>
      </c>
      <c r="G127" s="1117" t="s">
        <v>2556</v>
      </c>
      <c r="H127" s="868" t="s">
        <v>2551</v>
      </c>
      <c r="I127" s="1118" t="s">
        <v>2551</v>
      </c>
      <c r="J127" s="870" t="s">
        <v>2814</v>
      </c>
      <c r="K127" s="1138" t="s">
        <v>2959</v>
      </c>
      <c r="L127" s="1138" t="s">
        <v>2976</v>
      </c>
      <c r="M127" s="870" t="s">
        <v>2265</v>
      </c>
      <c r="N127" s="868" t="s">
        <v>2174</v>
      </c>
      <c r="O127" s="1118"/>
      <c r="P127" s="1119">
        <v>8.4</v>
      </c>
      <c r="Q127" s="884">
        <v>1.8</v>
      </c>
      <c r="R127" s="885"/>
      <c r="S127" s="843">
        <f t="shared" si="3"/>
        <v>25</v>
      </c>
      <c r="T127" s="843" t="s">
        <v>58</v>
      </c>
      <c r="U127" s="843">
        <v>0</v>
      </c>
      <c r="V127" s="843">
        <v>1</v>
      </c>
      <c r="W127" s="843">
        <v>0</v>
      </c>
      <c r="X127" s="843">
        <v>0</v>
      </c>
      <c r="Y127" s="843">
        <v>1</v>
      </c>
      <c r="Z127" s="843">
        <v>1</v>
      </c>
      <c r="AA127" s="256" t="str">
        <f t="shared" si="4"/>
        <v>00120.ដងឈូស​ 4'' PL #DKS0120</v>
      </c>
      <c r="AB127" s="1145" t="str">
        <f t="shared" si="5"/>
        <v>00120.ដងឈូស​ 4''</v>
      </c>
    </row>
    <row r="128" spans="3:28" ht="24.95" customHeight="1">
      <c r="C128" s="843">
        <v>121</v>
      </c>
      <c r="D128" s="843"/>
      <c r="E128" s="843"/>
      <c r="F128" s="1116" t="s">
        <v>2558</v>
      </c>
      <c r="G128" s="1117" t="s">
        <v>2558</v>
      </c>
      <c r="H128" s="868" t="s">
        <v>2553</v>
      </c>
      <c r="I128" s="1118" t="s">
        <v>2553</v>
      </c>
      <c r="J128" s="870" t="s">
        <v>2814</v>
      </c>
      <c r="K128" s="1138" t="s">
        <v>2959</v>
      </c>
      <c r="L128" s="1138" t="s">
        <v>2976</v>
      </c>
      <c r="M128" s="870" t="s">
        <v>2265</v>
      </c>
      <c r="N128" s="868" t="s">
        <v>2174</v>
      </c>
      <c r="O128" s="1118"/>
      <c r="P128" s="1119">
        <v>9</v>
      </c>
      <c r="Q128" s="884">
        <v>1.8</v>
      </c>
      <c r="R128" s="885"/>
      <c r="S128" s="843">
        <f t="shared" si="3"/>
        <v>25</v>
      </c>
      <c r="T128" s="843" t="s">
        <v>58</v>
      </c>
      <c r="U128" s="843">
        <v>0</v>
      </c>
      <c r="V128" s="843">
        <v>1</v>
      </c>
      <c r="W128" s="843">
        <v>0</v>
      </c>
      <c r="X128" s="843">
        <v>0</v>
      </c>
      <c r="Y128" s="843">
        <v>1</v>
      </c>
      <c r="Z128" s="843">
        <v>1</v>
      </c>
      <c r="AA128" s="256" t="str">
        <f t="shared" si="4"/>
        <v>00121.ដងឈូស​ 5'' PL #DKS0121</v>
      </c>
      <c r="AB128" s="1145" t="str">
        <f t="shared" si="5"/>
        <v>00121.ដងឈូស​ 5''</v>
      </c>
    </row>
    <row r="129" spans="3:28" ht="24.95" customHeight="1">
      <c r="C129" s="843">
        <v>122</v>
      </c>
      <c r="D129" s="843"/>
      <c r="E129" s="843"/>
      <c r="F129" s="1116" t="s">
        <v>2560</v>
      </c>
      <c r="G129" s="1117" t="s">
        <v>2560</v>
      </c>
      <c r="H129" s="868" t="s">
        <v>2555</v>
      </c>
      <c r="I129" s="1118" t="s">
        <v>2555</v>
      </c>
      <c r="J129" s="870" t="s">
        <v>2915</v>
      </c>
      <c r="K129" s="1138" t="s">
        <v>2962</v>
      </c>
      <c r="L129" s="1138" t="s">
        <v>2976</v>
      </c>
      <c r="M129" s="870" t="s">
        <v>2722</v>
      </c>
      <c r="N129" s="868" t="s">
        <v>2174</v>
      </c>
      <c r="O129" s="1118"/>
      <c r="P129" s="1119">
        <v>31.2</v>
      </c>
      <c r="Q129" s="884">
        <v>36</v>
      </c>
      <c r="R129" s="885"/>
      <c r="S129" s="843">
        <f t="shared" si="3"/>
        <v>32</v>
      </c>
      <c r="T129" s="843">
        <v>24</v>
      </c>
      <c r="U129" s="843">
        <v>0</v>
      </c>
      <c r="V129" s="843">
        <v>1</v>
      </c>
      <c r="W129" s="843">
        <v>0</v>
      </c>
      <c r="X129" s="843">
        <v>0</v>
      </c>
      <c r="Y129" s="843">
        <v>1</v>
      </c>
      <c r="Z129" s="843">
        <v>1</v>
      </c>
      <c r="AA129" s="256" t="str">
        <f t="shared" si="4"/>
        <v>00122.ដងបាញ់កាវកញ្ចក់ PL #DKS0122</v>
      </c>
      <c r="AB129" s="1145" t="str">
        <f t="shared" si="5"/>
        <v>00122.ដងបាញ់កាវកញ្ចក់</v>
      </c>
    </row>
    <row r="130" spans="3:28" ht="24.95" customHeight="1">
      <c r="C130" s="843">
        <v>123</v>
      </c>
      <c r="D130" s="843"/>
      <c r="E130" s="843"/>
      <c r="F130" s="1116" t="s">
        <v>2562</v>
      </c>
      <c r="G130" s="1117" t="s">
        <v>2562</v>
      </c>
      <c r="H130" s="868" t="s">
        <v>2557</v>
      </c>
      <c r="I130" s="1118" t="s">
        <v>2557</v>
      </c>
      <c r="J130" s="870" t="s">
        <v>2925</v>
      </c>
      <c r="K130" s="1138" t="s">
        <v>2962</v>
      </c>
      <c r="L130" s="1138" t="s">
        <v>2976</v>
      </c>
      <c r="M130" s="870" t="s">
        <v>2723</v>
      </c>
      <c r="N130" s="868" t="s">
        <v>2174</v>
      </c>
      <c r="O130" s="1118"/>
      <c r="P130" s="1119">
        <v>25.92</v>
      </c>
      <c r="Q130" s="884">
        <v>1.5</v>
      </c>
      <c r="R130" s="885"/>
      <c r="S130" s="843">
        <f t="shared" si="3"/>
        <v>33</v>
      </c>
      <c r="T130" s="843" t="s">
        <v>55</v>
      </c>
      <c r="U130" s="843">
        <v>0</v>
      </c>
      <c r="V130" s="843">
        <v>1</v>
      </c>
      <c r="W130" s="843">
        <v>0</v>
      </c>
      <c r="X130" s="843">
        <v>0</v>
      </c>
      <c r="Y130" s="843">
        <v>1</v>
      </c>
      <c r="Z130" s="843">
        <v>1</v>
      </c>
      <c r="AA130" s="256" t="str">
        <f t="shared" si="4"/>
        <v>00123.កាវកញ្ចក់ PL #DKS0123</v>
      </c>
      <c r="AB130" s="1145" t="str">
        <f t="shared" si="5"/>
        <v>00123.កាវកញ្ចក់</v>
      </c>
    </row>
    <row r="131" spans="3:28" ht="24.95" customHeight="1">
      <c r="C131" s="843">
        <v>124</v>
      </c>
      <c r="D131" s="843"/>
      <c r="E131" s="843"/>
      <c r="F131" s="1116" t="s">
        <v>2564</v>
      </c>
      <c r="G131" s="1117" t="s">
        <v>2564</v>
      </c>
      <c r="H131" s="868" t="s">
        <v>2559</v>
      </c>
      <c r="I131" s="1118" t="s">
        <v>2559</v>
      </c>
      <c r="J131" s="870" t="s">
        <v>2939</v>
      </c>
      <c r="K131" s="1138" t="s">
        <v>2962</v>
      </c>
      <c r="L131" s="1138" t="s">
        <v>2976</v>
      </c>
      <c r="M131" s="870" t="s">
        <v>2307</v>
      </c>
      <c r="N131" s="868" t="s">
        <v>2174</v>
      </c>
      <c r="O131" s="1118"/>
      <c r="P131" s="1119">
        <v>2</v>
      </c>
      <c r="Q131" s="884">
        <v>2.5</v>
      </c>
      <c r="R131" s="885"/>
      <c r="S131" s="843">
        <f t="shared" si="3"/>
        <v>2</v>
      </c>
      <c r="T131" s="843">
        <v>1</v>
      </c>
      <c r="U131" s="843">
        <v>0</v>
      </c>
      <c r="V131" s="843">
        <v>1</v>
      </c>
      <c r="W131" s="843">
        <v>0</v>
      </c>
      <c r="X131" s="843">
        <v>0</v>
      </c>
      <c r="Y131" s="843">
        <v>1</v>
      </c>
      <c r="Z131" s="843">
        <v>1</v>
      </c>
      <c r="AA131" s="256" t="str">
        <f t="shared" si="4"/>
        <v>00124.កាំភ្លើងកាវទៀន PL #DKS0124</v>
      </c>
      <c r="AB131" s="1145" t="str">
        <f t="shared" si="5"/>
        <v>00124.កាំភ្លើងកាវទៀន</v>
      </c>
    </row>
    <row r="132" spans="3:28" ht="24.95" customHeight="1">
      <c r="C132" s="843">
        <v>125</v>
      </c>
      <c r="D132" s="843"/>
      <c r="E132" s="843"/>
      <c r="F132" s="1116" t="s">
        <v>2566</v>
      </c>
      <c r="G132" s="1117" t="s">
        <v>2566</v>
      </c>
      <c r="H132" s="868" t="s">
        <v>2561</v>
      </c>
      <c r="I132" s="1118" t="s">
        <v>2561</v>
      </c>
      <c r="J132" s="870" t="s">
        <v>2920</v>
      </c>
      <c r="K132" s="1138" t="s">
        <v>2962</v>
      </c>
      <c r="L132" s="1138" t="s">
        <v>2976</v>
      </c>
      <c r="M132" s="870" t="s">
        <v>2724</v>
      </c>
      <c r="N132" s="868" t="s">
        <v>2174</v>
      </c>
      <c r="O132" s="1118"/>
      <c r="P132" s="1119">
        <v>4</v>
      </c>
      <c r="Q132" s="884">
        <v>0.04</v>
      </c>
      <c r="R132" s="885"/>
      <c r="S132" s="843">
        <f t="shared" si="3"/>
        <v>35</v>
      </c>
      <c r="T132" s="843" t="s">
        <v>2891</v>
      </c>
      <c r="U132" s="843">
        <v>0</v>
      </c>
      <c r="V132" s="843">
        <v>1</v>
      </c>
      <c r="W132" s="843">
        <v>0</v>
      </c>
      <c r="X132" s="843">
        <v>0</v>
      </c>
      <c r="Y132" s="843">
        <v>1</v>
      </c>
      <c r="Z132" s="843">
        <v>1</v>
      </c>
      <c r="AA132" s="256" t="str">
        <f t="shared" si="4"/>
        <v>00125.កាវទៀន PL #DKS0125</v>
      </c>
      <c r="AB132" s="1145" t="str">
        <f t="shared" si="5"/>
        <v>00125.កាវទៀន</v>
      </c>
    </row>
    <row r="133" spans="3:28" ht="24.95" customHeight="1">
      <c r="C133" s="843">
        <v>126</v>
      </c>
      <c r="D133" s="843"/>
      <c r="E133" s="843"/>
      <c r="F133" s="1116" t="s">
        <v>2568</v>
      </c>
      <c r="G133" s="1117" t="s">
        <v>2568</v>
      </c>
      <c r="H133" s="868" t="s">
        <v>2563</v>
      </c>
      <c r="I133" s="1118" t="s">
        <v>2563</v>
      </c>
      <c r="J133" s="870" t="s">
        <v>2778</v>
      </c>
      <c r="K133" s="1138" t="s">
        <v>2963</v>
      </c>
      <c r="L133" s="1138" t="s">
        <v>2976</v>
      </c>
      <c r="M133" s="870" t="s">
        <v>2264</v>
      </c>
      <c r="N133" s="868" t="s">
        <v>2174</v>
      </c>
      <c r="O133" s="1118"/>
      <c r="P133" s="1119">
        <v>31.2</v>
      </c>
      <c r="Q133" s="884">
        <v>3.5</v>
      </c>
      <c r="R133" s="885"/>
      <c r="S133" s="843">
        <f t="shared" si="3"/>
        <v>26</v>
      </c>
      <c r="T133" s="843" t="s">
        <v>36</v>
      </c>
      <c r="U133" s="843">
        <v>0</v>
      </c>
      <c r="V133" s="843">
        <v>1</v>
      </c>
      <c r="W133" s="843">
        <v>0</v>
      </c>
      <c r="X133" s="843">
        <v>0</v>
      </c>
      <c r="Y133" s="843">
        <v>1</v>
      </c>
      <c r="Z133" s="843">
        <v>1</v>
      </c>
      <c r="AA133" s="256" t="str">
        <f t="shared" si="4"/>
        <v>00126.កន្ត្រៃកាត់មែកឈើ PL #DKS0126</v>
      </c>
      <c r="AB133" s="1145" t="str">
        <f t="shared" si="5"/>
        <v>00126.កន្ត្រៃកាត់មែកឈើ</v>
      </c>
    </row>
    <row r="134" spans="3:28" ht="24.95" customHeight="1">
      <c r="C134" s="843">
        <v>127</v>
      </c>
      <c r="D134" s="843"/>
      <c r="E134" s="843"/>
      <c r="F134" s="1116" t="s">
        <v>2570</v>
      </c>
      <c r="G134" s="1117" t="s">
        <v>2570</v>
      </c>
      <c r="H134" s="868" t="s">
        <v>2565</v>
      </c>
      <c r="I134" s="1118" t="s">
        <v>2565</v>
      </c>
      <c r="J134" s="870" t="s">
        <v>2778</v>
      </c>
      <c r="K134" s="1138" t="s">
        <v>2959</v>
      </c>
      <c r="L134" s="1138" t="s">
        <v>2976</v>
      </c>
      <c r="M134" s="870" t="s">
        <v>2264</v>
      </c>
      <c r="N134" s="868" t="s">
        <v>2174</v>
      </c>
      <c r="O134" s="1118"/>
      <c r="P134" s="1119">
        <v>26.4</v>
      </c>
      <c r="Q134" s="884">
        <v>3</v>
      </c>
      <c r="R134" s="885"/>
      <c r="S134" s="843">
        <f t="shared" si="3"/>
        <v>26</v>
      </c>
      <c r="T134" s="843" t="s">
        <v>36</v>
      </c>
      <c r="U134" s="843">
        <v>0</v>
      </c>
      <c r="V134" s="843">
        <v>1</v>
      </c>
      <c r="W134" s="843">
        <v>0</v>
      </c>
      <c r="X134" s="843">
        <v>0</v>
      </c>
      <c r="Y134" s="843">
        <v>1</v>
      </c>
      <c r="Z134" s="843">
        <v>1</v>
      </c>
      <c r="AA134" s="256" t="str">
        <f t="shared" si="4"/>
        <v>00127.ដង្កាប់គៀបគ្រាប់ PL #DKS0127</v>
      </c>
      <c r="AB134" s="1145" t="str">
        <f t="shared" si="5"/>
        <v>00127.ដង្កាប់គៀបគ្រាប់</v>
      </c>
    </row>
    <row r="135" spans="3:28" ht="24.95" customHeight="1">
      <c r="C135" s="843">
        <v>128</v>
      </c>
      <c r="D135" s="843"/>
      <c r="E135" s="843"/>
      <c r="F135" s="1116" t="s">
        <v>2572</v>
      </c>
      <c r="G135" s="1117" t="s">
        <v>2572</v>
      </c>
      <c r="H135" s="868" t="s">
        <v>2567</v>
      </c>
      <c r="I135" s="1118" t="s">
        <v>2567</v>
      </c>
      <c r="J135" s="870" t="s">
        <v>2778</v>
      </c>
      <c r="K135" s="1138" t="s">
        <v>2959</v>
      </c>
      <c r="L135" s="1138" t="s">
        <v>2976</v>
      </c>
      <c r="M135" s="870" t="s">
        <v>2264</v>
      </c>
      <c r="N135" s="868" t="s">
        <v>2174</v>
      </c>
      <c r="O135" s="1118"/>
      <c r="P135" s="1119">
        <v>37.200000000000003</v>
      </c>
      <c r="Q135" s="884">
        <v>3.5</v>
      </c>
      <c r="R135" s="885"/>
      <c r="S135" s="843">
        <f t="shared" si="3"/>
        <v>26</v>
      </c>
      <c r="T135" s="843" t="s">
        <v>36</v>
      </c>
      <c r="U135" s="843">
        <v>0</v>
      </c>
      <c r="V135" s="843">
        <v>1</v>
      </c>
      <c r="W135" s="843">
        <v>0</v>
      </c>
      <c r="X135" s="843">
        <v>0</v>
      </c>
      <c r="Y135" s="843">
        <v>1</v>
      </c>
      <c r="Z135" s="843">
        <v>1</v>
      </c>
      <c r="AA135" s="256" t="str">
        <f t="shared" si="4"/>
        <v>00128.ដង្កាប់មាត់សេក 8" PL #DKS0128</v>
      </c>
      <c r="AB135" s="1145" t="str">
        <f t="shared" si="5"/>
        <v>00128.ដង្កាប់មាត់សេក 8"</v>
      </c>
    </row>
    <row r="136" spans="3:28" ht="24.95" customHeight="1">
      <c r="C136" s="843">
        <v>129</v>
      </c>
      <c r="D136" s="843"/>
      <c r="E136" s="843"/>
      <c r="F136" s="1116" t="s">
        <v>2574</v>
      </c>
      <c r="G136" s="1117" t="s">
        <v>2574</v>
      </c>
      <c r="H136" s="868" t="s">
        <v>2569</v>
      </c>
      <c r="I136" s="1118" t="s">
        <v>2569</v>
      </c>
      <c r="J136" s="870" t="s">
        <v>2778</v>
      </c>
      <c r="K136" s="1138" t="s">
        <v>2959</v>
      </c>
      <c r="L136" s="1138" t="s">
        <v>2976</v>
      </c>
      <c r="M136" s="870" t="s">
        <v>2264</v>
      </c>
      <c r="N136" s="868" t="s">
        <v>2174</v>
      </c>
      <c r="O136" s="1118"/>
      <c r="P136" s="1119">
        <v>46.8</v>
      </c>
      <c r="Q136" s="884">
        <v>4.5</v>
      </c>
      <c r="R136" s="885"/>
      <c r="S136" s="843">
        <f t="shared" si="3"/>
        <v>26</v>
      </c>
      <c r="T136" s="843" t="s">
        <v>36</v>
      </c>
      <c r="U136" s="843">
        <v>0</v>
      </c>
      <c r="V136" s="843">
        <v>1</v>
      </c>
      <c r="W136" s="843">
        <v>0</v>
      </c>
      <c r="X136" s="843">
        <v>0</v>
      </c>
      <c r="Y136" s="843">
        <v>1</v>
      </c>
      <c r="Z136" s="843">
        <v>1</v>
      </c>
      <c r="AA136" s="256" t="str">
        <f t="shared" si="4"/>
        <v>00129.ដង្កាប់មាត់សេក PL #DKS0129</v>
      </c>
      <c r="AB136" s="1145" t="str">
        <f t="shared" si="5"/>
        <v>00129.ដង្កាប់មាត់សេក</v>
      </c>
    </row>
    <row r="137" spans="3:28" ht="24.95" customHeight="1">
      <c r="C137" s="843">
        <v>130</v>
      </c>
      <c r="D137" s="843"/>
      <c r="E137" s="843"/>
      <c r="F137" s="1116" t="s">
        <v>2576</v>
      </c>
      <c r="G137" s="1117" t="s">
        <v>2576</v>
      </c>
      <c r="H137" s="868" t="s">
        <v>2571</v>
      </c>
      <c r="I137" s="1118" t="s">
        <v>2571</v>
      </c>
      <c r="J137" s="870" t="s">
        <v>2939</v>
      </c>
      <c r="K137" s="1138" t="s">
        <v>2959</v>
      </c>
      <c r="L137" s="1138" t="s">
        <v>2976</v>
      </c>
      <c r="M137" s="870" t="s">
        <v>2893</v>
      </c>
      <c r="N137" s="868" t="s">
        <v>2174</v>
      </c>
      <c r="O137" s="1118"/>
      <c r="P137" s="1119">
        <v>1.8</v>
      </c>
      <c r="Q137" s="884">
        <v>2.25</v>
      </c>
      <c r="R137" s="885"/>
      <c r="S137" s="843">
        <f t="shared" ref="S137:S200" si="6">IF(J137="","",MID(J137,1,3)*1)</f>
        <v>2</v>
      </c>
      <c r="T137" s="843">
        <v>1</v>
      </c>
      <c r="U137" s="843">
        <v>0</v>
      </c>
      <c r="V137" s="843">
        <v>1</v>
      </c>
      <c r="W137" s="843">
        <v>0</v>
      </c>
      <c r="X137" s="843">
        <v>0</v>
      </c>
      <c r="Y137" s="843">
        <v>1</v>
      </c>
      <c r="Z137" s="843">
        <v>1</v>
      </c>
      <c r="AA137" s="256" t="str">
        <f t="shared" ref="AA137:AA200" si="7">IF(AND(C137&lt;&gt;"",H137&lt;&gt;""),TEXT(C137,"00000")&amp;"."&amp;H137&amp;" "&amp;MID(L137,5,100)&amp;" #"&amp;F137,"")</f>
        <v>00130.ដង្កាប់បូតខ្សែភ្លើង PL #DKS0130</v>
      </c>
      <c r="AB137" s="1145" t="str">
        <f t="shared" ref="AB137:AB200" si="8">IF(AND(C137&lt;&gt;"",H137&lt;&gt;""),TEXT(C137,"00000")&amp;"."&amp;H137,"")</f>
        <v>00130.ដង្កាប់បូតខ្សែភ្លើង</v>
      </c>
    </row>
    <row r="138" spans="3:28" ht="24.95" customHeight="1">
      <c r="C138" s="843">
        <v>131</v>
      </c>
      <c r="D138" s="843"/>
      <c r="E138" s="843"/>
      <c r="F138" s="1116" t="s">
        <v>2578</v>
      </c>
      <c r="G138" s="1117" t="s">
        <v>2578</v>
      </c>
      <c r="H138" s="868" t="s">
        <v>2573</v>
      </c>
      <c r="I138" s="1118" t="s">
        <v>2573</v>
      </c>
      <c r="J138" s="870" t="s">
        <v>2939</v>
      </c>
      <c r="K138" s="1138" t="s">
        <v>2964</v>
      </c>
      <c r="L138" s="1138" t="s">
        <v>2976</v>
      </c>
      <c r="M138" s="870" t="s">
        <v>2307</v>
      </c>
      <c r="N138" s="868" t="s">
        <v>2174</v>
      </c>
      <c r="O138" s="1118"/>
      <c r="P138" s="1119">
        <v>0.7</v>
      </c>
      <c r="Q138" s="884">
        <v>1.25</v>
      </c>
      <c r="R138" s="885"/>
      <c r="S138" s="843">
        <f t="shared" si="6"/>
        <v>2</v>
      </c>
      <c r="T138" s="843">
        <v>1</v>
      </c>
      <c r="U138" s="843">
        <v>0</v>
      </c>
      <c r="V138" s="843">
        <v>1</v>
      </c>
      <c r="W138" s="843">
        <v>0</v>
      </c>
      <c r="X138" s="843">
        <v>0</v>
      </c>
      <c r="Y138" s="843">
        <v>1</v>
      </c>
      <c r="Z138" s="843">
        <v>1</v>
      </c>
      <c r="AA138" s="256" t="str">
        <f t="shared" si="7"/>
        <v>00131.ច្រាស់ជ័រស្ពាន់ PL #DKS0131</v>
      </c>
      <c r="AB138" s="1145" t="str">
        <f t="shared" si="8"/>
        <v>00131.ច្រាស់ជ័រស្ពាន់</v>
      </c>
    </row>
    <row r="139" spans="3:28" ht="24.95" customHeight="1">
      <c r="C139" s="843">
        <v>132</v>
      </c>
      <c r="D139" s="843"/>
      <c r="E139" s="843"/>
      <c r="F139" s="1116" t="s">
        <v>2580</v>
      </c>
      <c r="G139" s="1117" t="s">
        <v>2580</v>
      </c>
      <c r="H139" s="868" t="s">
        <v>2575</v>
      </c>
      <c r="I139" s="1118" t="s">
        <v>2575</v>
      </c>
      <c r="J139" s="870" t="s">
        <v>2939</v>
      </c>
      <c r="K139" s="1138" t="s">
        <v>2964</v>
      </c>
      <c r="L139" s="1138" t="s">
        <v>2976</v>
      </c>
      <c r="M139" s="870" t="s">
        <v>2307</v>
      </c>
      <c r="N139" s="868" t="s">
        <v>2174</v>
      </c>
      <c r="O139" s="1118"/>
      <c r="P139" s="1119">
        <v>2.2000000000000002</v>
      </c>
      <c r="Q139" s="884">
        <v>2.75</v>
      </c>
      <c r="R139" s="885"/>
      <c r="S139" s="843">
        <f t="shared" si="6"/>
        <v>2</v>
      </c>
      <c r="T139" s="843">
        <v>1</v>
      </c>
      <c r="U139" s="843">
        <v>0</v>
      </c>
      <c r="V139" s="843">
        <v>1</v>
      </c>
      <c r="W139" s="843">
        <v>0</v>
      </c>
      <c r="X139" s="843">
        <v>0</v>
      </c>
      <c r="Y139" s="843">
        <v>1</v>
      </c>
      <c r="Z139" s="843">
        <v>1</v>
      </c>
      <c r="AA139" s="256" t="str">
        <f t="shared" si="7"/>
        <v>00132.ច្រាស់ជ័រស្ពាន់ឈុត PL #DKS0132</v>
      </c>
      <c r="AB139" s="1145" t="str">
        <f t="shared" si="8"/>
        <v>00132.ច្រាស់ជ័រស្ពាន់ឈុត</v>
      </c>
    </row>
    <row r="140" spans="3:28" ht="24.95" customHeight="1">
      <c r="C140" s="843">
        <v>133</v>
      </c>
      <c r="D140" s="843"/>
      <c r="E140" s="843"/>
      <c r="F140" s="1116" t="s">
        <v>2582</v>
      </c>
      <c r="G140" s="1117" t="s">
        <v>2582</v>
      </c>
      <c r="H140" s="868" t="s">
        <v>2577</v>
      </c>
      <c r="I140" s="1118" t="s">
        <v>2577</v>
      </c>
      <c r="J140" s="870" t="s">
        <v>2939</v>
      </c>
      <c r="K140" s="1138" t="s">
        <v>2960</v>
      </c>
      <c r="L140" s="1138" t="s">
        <v>2976</v>
      </c>
      <c r="M140" s="870" t="s">
        <v>2307</v>
      </c>
      <c r="N140" s="868" t="s">
        <v>2174</v>
      </c>
      <c r="O140" s="1118"/>
      <c r="P140" s="1119">
        <v>9.5</v>
      </c>
      <c r="Q140" s="884">
        <v>10.5</v>
      </c>
      <c r="R140" s="885"/>
      <c r="S140" s="843">
        <f t="shared" si="6"/>
        <v>2</v>
      </c>
      <c r="T140" s="843">
        <v>1</v>
      </c>
      <c r="U140" s="843">
        <v>0</v>
      </c>
      <c r="V140" s="843">
        <v>1</v>
      </c>
      <c r="W140" s="843">
        <v>0</v>
      </c>
      <c r="X140" s="843">
        <v>0</v>
      </c>
      <c r="Y140" s="843">
        <v>1</v>
      </c>
      <c r="Z140" s="843">
        <v>1</v>
      </c>
      <c r="AA140" s="256" t="str">
        <f t="shared" si="7"/>
        <v>00133.សោរសារ៉ែន (70mm) PL #DKS0133</v>
      </c>
      <c r="AB140" s="1145" t="str">
        <f t="shared" si="8"/>
        <v>00133.សោរសារ៉ែន (70mm)</v>
      </c>
    </row>
    <row r="141" spans="3:28" ht="24.95" customHeight="1">
      <c r="C141" s="843">
        <v>134</v>
      </c>
      <c r="D141" s="843"/>
      <c r="E141" s="843"/>
      <c r="F141" s="1116" t="s">
        <v>2584</v>
      </c>
      <c r="G141" s="1117" t="s">
        <v>2584</v>
      </c>
      <c r="H141" s="868" t="s">
        <v>2579</v>
      </c>
      <c r="I141" s="1118" t="s">
        <v>2579</v>
      </c>
      <c r="J141" s="870" t="s">
        <v>2939</v>
      </c>
      <c r="K141" s="1138" t="s">
        <v>2960</v>
      </c>
      <c r="L141" s="1138" t="s">
        <v>2976</v>
      </c>
      <c r="M141" s="870" t="s">
        <v>2307</v>
      </c>
      <c r="N141" s="868" t="s">
        <v>2174</v>
      </c>
      <c r="O141" s="1118"/>
      <c r="P141" s="1119">
        <v>1</v>
      </c>
      <c r="Q141" s="884">
        <v>1.5</v>
      </c>
      <c r="R141" s="885"/>
      <c r="S141" s="843">
        <f t="shared" si="6"/>
        <v>2</v>
      </c>
      <c r="T141" s="843">
        <v>1</v>
      </c>
      <c r="U141" s="843">
        <v>0</v>
      </c>
      <c r="V141" s="843">
        <v>1</v>
      </c>
      <c r="W141" s="843">
        <v>0</v>
      </c>
      <c r="X141" s="843">
        <v>0</v>
      </c>
      <c r="Y141" s="843">
        <v>1</v>
      </c>
      <c r="Z141" s="843">
        <v>1</v>
      </c>
      <c r="AA141" s="256" t="str">
        <f t="shared" si="7"/>
        <v>00134.សោវ៉ាលីល្អ PL #DKS0134</v>
      </c>
      <c r="AB141" s="1145" t="str">
        <f t="shared" si="8"/>
        <v>00134.សោវ៉ាលីល្អ</v>
      </c>
    </row>
    <row r="142" spans="3:28" ht="24.95" customHeight="1">
      <c r="C142" s="843">
        <v>135</v>
      </c>
      <c r="D142" s="843"/>
      <c r="E142" s="843"/>
      <c r="F142" s="1116" t="s">
        <v>2586</v>
      </c>
      <c r="G142" s="1117" t="s">
        <v>2586</v>
      </c>
      <c r="H142" s="868" t="s">
        <v>2581</v>
      </c>
      <c r="I142" s="1118" t="s">
        <v>2581</v>
      </c>
      <c r="J142" s="870" t="s">
        <v>2939</v>
      </c>
      <c r="K142" s="1138" t="s">
        <v>2965</v>
      </c>
      <c r="L142" s="1138" t="s">
        <v>2976</v>
      </c>
      <c r="M142" s="870" t="s">
        <v>2307</v>
      </c>
      <c r="N142" s="868" t="s">
        <v>2174</v>
      </c>
      <c r="O142" s="1118"/>
      <c r="P142" s="1119">
        <v>0.65</v>
      </c>
      <c r="Q142" s="884">
        <v>1</v>
      </c>
      <c r="R142" s="885"/>
      <c r="S142" s="843">
        <f t="shared" si="6"/>
        <v>2</v>
      </c>
      <c r="T142" s="843">
        <v>1</v>
      </c>
      <c r="U142" s="843">
        <v>0</v>
      </c>
      <c r="V142" s="843">
        <v>1</v>
      </c>
      <c r="W142" s="843">
        <v>0</v>
      </c>
      <c r="X142" s="843">
        <v>0</v>
      </c>
      <c r="Y142" s="843">
        <v>1</v>
      </c>
      <c r="Z142" s="843">
        <v>1</v>
      </c>
      <c r="AA142" s="256" t="str">
        <f t="shared" si="7"/>
        <v>00135.កាំបិតរុញល្អ PL #DKS0135</v>
      </c>
      <c r="AB142" s="1145" t="str">
        <f t="shared" si="8"/>
        <v>00135.កាំបិតរុញល្អ</v>
      </c>
    </row>
    <row r="143" spans="3:28" ht="24.95" customHeight="1">
      <c r="C143" s="843">
        <v>136</v>
      </c>
      <c r="D143" s="843"/>
      <c r="E143" s="843"/>
      <c r="F143" s="1116" t="s">
        <v>2588</v>
      </c>
      <c r="G143" s="1117" t="s">
        <v>2588</v>
      </c>
      <c r="H143" s="868" t="s">
        <v>2583</v>
      </c>
      <c r="I143" s="1118" t="s">
        <v>2583</v>
      </c>
      <c r="J143" s="870" t="s">
        <v>2939</v>
      </c>
      <c r="K143" s="1138" t="s">
        <v>2965</v>
      </c>
      <c r="L143" s="1138" t="s">
        <v>2976</v>
      </c>
      <c r="M143" s="870" t="s">
        <v>2307</v>
      </c>
      <c r="N143" s="868" t="s">
        <v>2174</v>
      </c>
      <c r="O143" s="1118"/>
      <c r="P143" s="1119">
        <v>0.38</v>
      </c>
      <c r="Q143" s="884">
        <v>0.75</v>
      </c>
      <c r="R143" s="885"/>
      <c r="S143" s="843">
        <f t="shared" si="6"/>
        <v>2</v>
      </c>
      <c r="T143" s="843">
        <v>1</v>
      </c>
      <c r="U143" s="843">
        <v>0</v>
      </c>
      <c r="V143" s="843">
        <v>1</v>
      </c>
      <c r="W143" s="843">
        <v>0</v>
      </c>
      <c r="X143" s="843">
        <v>0</v>
      </c>
      <c r="Y143" s="843">
        <v>1</v>
      </c>
      <c r="Z143" s="843">
        <v>1</v>
      </c>
      <c r="AA143" s="256" t="str">
        <f t="shared" si="7"/>
        <v>00136.ផ្លែកាំបិត PL #DKS0136</v>
      </c>
      <c r="AB143" s="1145" t="str">
        <f t="shared" si="8"/>
        <v>00136.ផ្លែកាំបិត</v>
      </c>
    </row>
    <row r="144" spans="3:28" ht="24.95" customHeight="1">
      <c r="C144" s="843">
        <v>137</v>
      </c>
      <c r="D144" s="843"/>
      <c r="E144" s="843"/>
      <c r="F144" s="1116" t="s">
        <v>2590</v>
      </c>
      <c r="G144" s="1117" t="s">
        <v>2590</v>
      </c>
      <c r="H144" s="868" t="s">
        <v>2585</v>
      </c>
      <c r="I144" s="1118" t="s">
        <v>2585</v>
      </c>
      <c r="J144" s="870" t="s">
        <v>2939</v>
      </c>
      <c r="K144" s="1138" t="s">
        <v>2959</v>
      </c>
      <c r="L144" s="1138" t="s">
        <v>2976</v>
      </c>
      <c r="M144" s="870" t="s">
        <v>2307</v>
      </c>
      <c r="N144" s="868" t="s">
        <v>2174</v>
      </c>
      <c r="O144" s="1118"/>
      <c r="P144" s="1119">
        <v>2.9</v>
      </c>
      <c r="Q144" s="884">
        <v>3.25</v>
      </c>
      <c r="R144" s="885"/>
      <c r="S144" s="843">
        <f t="shared" si="6"/>
        <v>2</v>
      </c>
      <c r="T144" s="843">
        <v>1</v>
      </c>
      <c r="U144" s="843">
        <v>0</v>
      </c>
      <c r="V144" s="843">
        <v>1</v>
      </c>
      <c r="W144" s="843">
        <v>0</v>
      </c>
      <c r="X144" s="843">
        <v>0</v>
      </c>
      <c r="Y144" s="843">
        <v>1</v>
      </c>
      <c r="Z144" s="843">
        <v>1</v>
      </c>
      <c r="AA144" s="256" t="str">
        <f t="shared" si="7"/>
        <v>00137.ម៉ាឡេតដងក្រហម(10') PL #DKS0137</v>
      </c>
      <c r="AB144" s="1145" t="str">
        <f t="shared" si="8"/>
        <v>00137.ម៉ាឡេតដងក្រហម(10')</v>
      </c>
    </row>
    <row r="145" spans="3:28" ht="24.95" customHeight="1">
      <c r="C145" s="843">
        <v>138</v>
      </c>
      <c r="D145" s="843"/>
      <c r="E145" s="843"/>
      <c r="F145" s="1116" t="s">
        <v>2592</v>
      </c>
      <c r="G145" s="1117" t="s">
        <v>2592</v>
      </c>
      <c r="H145" s="868" t="s">
        <v>2587</v>
      </c>
      <c r="I145" s="1118" t="s">
        <v>2587</v>
      </c>
      <c r="J145" s="870" t="s">
        <v>2939</v>
      </c>
      <c r="K145" s="1138" t="s">
        <v>2959</v>
      </c>
      <c r="L145" s="1138" t="s">
        <v>2976</v>
      </c>
      <c r="M145" s="870" t="s">
        <v>2307</v>
      </c>
      <c r="N145" s="868" t="s">
        <v>2174</v>
      </c>
      <c r="O145" s="1118"/>
      <c r="P145" s="1119">
        <v>3.8</v>
      </c>
      <c r="Q145" s="884">
        <v>4.2</v>
      </c>
      <c r="R145" s="885"/>
      <c r="S145" s="843">
        <f t="shared" si="6"/>
        <v>2</v>
      </c>
      <c r="T145" s="843">
        <v>1</v>
      </c>
      <c r="U145" s="843">
        <v>0</v>
      </c>
      <c r="V145" s="843">
        <v>1</v>
      </c>
      <c r="W145" s="843">
        <v>0</v>
      </c>
      <c r="X145" s="843">
        <v>0</v>
      </c>
      <c r="Y145" s="843">
        <v>1</v>
      </c>
      <c r="Z145" s="843">
        <v>1</v>
      </c>
      <c r="AA145" s="256" t="str">
        <f t="shared" si="7"/>
        <v>00138.ម៉ាឡេតដងក្រហម12" PL #DKS0138</v>
      </c>
      <c r="AB145" s="1145" t="str">
        <f t="shared" si="8"/>
        <v>00138.ម៉ាឡេតដងក្រហម12"</v>
      </c>
    </row>
    <row r="146" spans="3:28" ht="24.95" customHeight="1">
      <c r="C146" s="843">
        <v>139</v>
      </c>
      <c r="D146" s="843"/>
      <c r="E146" s="843"/>
      <c r="F146" s="1116" t="s">
        <v>2593</v>
      </c>
      <c r="G146" s="1117" t="s">
        <v>2593</v>
      </c>
      <c r="H146" s="868" t="s">
        <v>2589</v>
      </c>
      <c r="I146" s="1118" t="s">
        <v>2589</v>
      </c>
      <c r="J146" s="870" t="s">
        <v>2939</v>
      </c>
      <c r="K146" s="1138" t="s">
        <v>2959</v>
      </c>
      <c r="L146" s="1138" t="s">
        <v>2976</v>
      </c>
      <c r="M146" s="870" t="s">
        <v>2307</v>
      </c>
      <c r="N146" s="868" t="s">
        <v>2174</v>
      </c>
      <c r="O146" s="1118"/>
      <c r="P146" s="1119">
        <v>3.4</v>
      </c>
      <c r="Q146" s="884">
        <v>4</v>
      </c>
      <c r="R146" s="885"/>
      <c r="S146" s="843">
        <f t="shared" si="6"/>
        <v>2</v>
      </c>
      <c r="T146" s="843">
        <v>1</v>
      </c>
      <c r="U146" s="843">
        <v>0</v>
      </c>
      <c r="V146" s="843">
        <v>1</v>
      </c>
      <c r="W146" s="843">
        <v>0</v>
      </c>
      <c r="X146" s="843">
        <v>0</v>
      </c>
      <c r="Y146" s="843">
        <v>1</v>
      </c>
      <c r="Z146" s="843">
        <v>1</v>
      </c>
      <c r="AA146" s="256" t="str">
        <f t="shared" si="7"/>
        <v>00139.ម៉ាឡេតធ្មេញ12'' PL #DKS0139</v>
      </c>
      <c r="AB146" s="1145" t="str">
        <f t="shared" si="8"/>
        <v>00139.ម៉ាឡេតធ្មេញ12''</v>
      </c>
    </row>
    <row r="147" spans="3:28" ht="24.95" customHeight="1">
      <c r="C147" s="843">
        <v>140</v>
      </c>
      <c r="D147" s="843"/>
      <c r="E147" s="843"/>
      <c r="F147" s="1116" t="s">
        <v>2595</v>
      </c>
      <c r="G147" s="1117" t="s">
        <v>2595</v>
      </c>
      <c r="H147" s="868" t="s">
        <v>2591</v>
      </c>
      <c r="I147" s="1118" t="s">
        <v>2591</v>
      </c>
      <c r="J147" s="870" t="s">
        <v>2939</v>
      </c>
      <c r="K147" s="1138" t="s">
        <v>2959</v>
      </c>
      <c r="L147" s="1138" t="s">
        <v>2976</v>
      </c>
      <c r="M147" s="870" t="s">
        <v>2307</v>
      </c>
      <c r="N147" s="868" t="s">
        <v>2174</v>
      </c>
      <c r="O147" s="1118"/>
      <c r="P147" s="1119">
        <v>7.5</v>
      </c>
      <c r="Q147" s="884">
        <v>8.5</v>
      </c>
      <c r="R147" s="885"/>
      <c r="S147" s="843">
        <f t="shared" si="6"/>
        <v>2</v>
      </c>
      <c r="T147" s="843">
        <v>1</v>
      </c>
      <c r="U147" s="843">
        <v>0</v>
      </c>
      <c r="V147" s="843">
        <v>1</v>
      </c>
      <c r="W147" s="843">
        <v>0</v>
      </c>
      <c r="X147" s="843">
        <v>0</v>
      </c>
      <c r="Y147" s="843">
        <v>1</v>
      </c>
      <c r="Z147" s="843">
        <v>1</v>
      </c>
      <c r="AA147" s="256" t="str">
        <f t="shared" si="7"/>
        <v>00140.ម៉ាឡេតធ្មេញ24" PL #DKS0140</v>
      </c>
      <c r="AB147" s="1145" t="str">
        <f t="shared" si="8"/>
        <v>00140.ម៉ាឡេតធ្មេញ24"</v>
      </c>
    </row>
    <row r="148" spans="3:28" ht="24.95" customHeight="1">
      <c r="C148" s="843">
        <v>141</v>
      </c>
      <c r="D148" s="843"/>
      <c r="E148" s="843"/>
      <c r="F148" s="1116" t="s">
        <v>2597</v>
      </c>
      <c r="G148" s="1117" t="s">
        <v>2597</v>
      </c>
      <c r="H148" s="868" t="s">
        <v>2946</v>
      </c>
      <c r="I148" s="1118" t="s">
        <v>2946</v>
      </c>
      <c r="J148" s="870" t="s">
        <v>2939</v>
      </c>
      <c r="K148" s="1138" t="s">
        <v>2962</v>
      </c>
      <c r="L148" s="1138" t="s">
        <v>2976</v>
      </c>
      <c r="M148" s="870" t="s">
        <v>2307</v>
      </c>
      <c r="N148" s="868" t="s">
        <v>2174</v>
      </c>
      <c r="O148" s="1118"/>
      <c r="P148" s="1119">
        <v>1.35</v>
      </c>
      <c r="Q148" s="884">
        <v>2</v>
      </c>
      <c r="R148" s="885"/>
      <c r="S148" s="843">
        <f t="shared" si="6"/>
        <v>2</v>
      </c>
      <c r="T148" s="843">
        <v>1</v>
      </c>
      <c r="U148" s="843">
        <v>0</v>
      </c>
      <c r="V148" s="843">
        <v>1</v>
      </c>
      <c r="W148" s="843">
        <v>0</v>
      </c>
      <c r="X148" s="843">
        <v>0</v>
      </c>
      <c r="Y148" s="843">
        <v>1</v>
      </c>
      <c r="Z148" s="843">
        <v>1</v>
      </c>
      <c r="AA148" s="256" t="str">
        <f t="shared" si="7"/>
        <v>00141.ស្កុតមុខពីរ 3m PL #DKS0141</v>
      </c>
      <c r="AB148" s="1145" t="str">
        <f t="shared" si="8"/>
        <v>00141.ស្កុតមុខពីរ 3m</v>
      </c>
    </row>
    <row r="149" spans="3:28" ht="24.95" customHeight="1">
      <c r="C149" s="843">
        <v>142</v>
      </c>
      <c r="D149" s="843"/>
      <c r="E149" s="843"/>
      <c r="F149" s="1116" t="s">
        <v>2599</v>
      </c>
      <c r="G149" s="1117" t="s">
        <v>2599</v>
      </c>
      <c r="H149" s="868" t="s">
        <v>2594</v>
      </c>
      <c r="I149" s="1118" t="s">
        <v>2594</v>
      </c>
      <c r="J149" s="870" t="s">
        <v>2778</v>
      </c>
      <c r="K149" s="1138" t="s">
        <v>2965</v>
      </c>
      <c r="L149" s="1138" t="s">
        <v>2976</v>
      </c>
      <c r="M149" s="870" t="s">
        <v>2264</v>
      </c>
      <c r="N149" s="868" t="s">
        <v>2174</v>
      </c>
      <c r="O149" s="1118"/>
      <c r="P149" s="1119">
        <v>4.08</v>
      </c>
      <c r="Q149" s="884">
        <v>0.75</v>
      </c>
      <c r="R149" s="885"/>
      <c r="S149" s="843">
        <f t="shared" si="6"/>
        <v>26</v>
      </c>
      <c r="T149" s="843" t="s">
        <v>36</v>
      </c>
      <c r="U149" s="843">
        <v>0</v>
      </c>
      <c r="V149" s="843">
        <v>1</v>
      </c>
      <c r="W149" s="843">
        <v>0</v>
      </c>
      <c r="X149" s="843">
        <v>0</v>
      </c>
      <c r="Y149" s="843">
        <v>1</v>
      </c>
      <c r="Z149" s="843">
        <v>1</v>
      </c>
      <c r="AA149" s="256" t="str">
        <f t="shared" si="7"/>
        <v>00142.ថ្មរឆាប តឹក PL #DKS0142</v>
      </c>
      <c r="AB149" s="1145" t="str">
        <f t="shared" si="8"/>
        <v>00142.ថ្មរឆាប តឹក</v>
      </c>
    </row>
    <row r="150" spans="3:28" ht="24.95" customHeight="1">
      <c r="C150" s="843">
        <v>143</v>
      </c>
      <c r="D150" s="843"/>
      <c r="E150" s="843"/>
      <c r="F150" s="1116" t="s">
        <v>2601</v>
      </c>
      <c r="G150" s="1117" t="s">
        <v>2601</v>
      </c>
      <c r="H150" s="868" t="s">
        <v>2596</v>
      </c>
      <c r="I150" s="1118" t="s">
        <v>2596</v>
      </c>
      <c r="J150" s="870" t="s">
        <v>2778</v>
      </c>
      <c r="K150" s="1138" t="s">
        <v>2965</v>
      </c>
      <c r="L150" s="1138" t="s">
        <v>2976</v>
      </c>
      <c r="M150" s="870" t="s">
        <v>2264</v>
      </c>
      <c r="N150" s="868" t="s">
        <v>2174</v>
      </c>
      <c r="O150" s="1118"/>
      <c r="P150" s="1119">
        <v>38.799999999999997</v>
      </c>
      <c r="Q150" s="884">
        <v>3.5</v>
      </c>
      <c r="R150" s="885"/>
      <c r="S150" s="843">
        <f t="shared" si="6"/>
        <v>26</v>
      </c>
      <c r="T150" s="843" t="s">
        <v>36</v>
      </c>
      <c r="U150" s="843">
        <v>0</v>
      </c>
      <c r="V150" s="843">
        <v>1</v>
      </c>
      <c r="W150" s="843">
        <v>0</v>
      </c>
      <c r="X150" s="843">
        <v>0</v>
      </c>
      <c r="Y150" s="843">
        <v>1</v>
      </c>
      <c r="Z150" s="843">
        <v>1</v>
      </c>
      <c r="AA150" s="256" t="str">
        <f t="shared" si="7"/>
        <v>00143.ផ្លែសំលាងថ្ម PL #DKS0143</v>
      </c>
      <c r="AB150" s="1145" t="str">
        <f t="shared" si="8"/>
        <v>00143.ផ្លែសំលាងថ្ម</v>
      </c>
    </row>
    <row r="151" spans="3:28" ht="24.95" customHeight="1">
      <c r="C151" s="843">
        <v>144</v>
      </c>
      <c r="D151" s="843"/>
      <c r="E151" s="843"/>
      <c r="F151" s="1116" t="s">
        <v>2603</v>
      </c>
      <c r="G151" s="1117" t="s">
        <v>2603</v>
      </c>
      <c r="H151" s="868" t="s">
        <v>2598</v>
      </c>
      <c r="I151" s="1118" t="s">
        <v>2598</v>
      </c>
      <c r="J151" s="870" t="s">
        <v>2926</v>
      </c>
      <c r="K151" s="1138" t="s">
        <v>2965</v>
      </c>
      <c r="L151" s="1138" t="s">
        <v>2976</v>
      </c>
      <c r="M151" s="870" t="s">
        <v>2850</v>
      </c>
      <c r="N151" s="868" t="s">
        <v>2174</v>
      </c>
      <c r="O151" s="1118"/>
      <c r="P151" s="1119">
        <v>15</v>
      </c>
      <c r="Q151" s="884">
        <v>0.65</v>
      </c>
      <c r="R151" s="885"/>
      <c r="S151" s="843">
        <f t="shared" si="6"/>
        <v>34</v>
      </c>
      <c r="T151" s="843" t="s">
        <v>2894</v>
      </c>
      <c r="U151" s="843">
        <v>0</v>
      </c>
      <c r="V151" s="843">
        <v>1</v>
      </c>
      <c r="W151" s="843">
        <v>0</v>
      </c>
      <c r="X151" s="843">
        <v>0</v>
      </c>
      <c r="Y151" s="843">
        <v>1</v>
      </c>
      <c r="Z151" s="843">
        <v>1</v>
      </c>
      <c r="AA151" s="256" t="str">
        <f t="shared" si="7"/>
        <v>00144.ប៉ុងខាត់ PL #DKS0144</v>
      </c>
      <c r="AB151" s="1145" t="str">
        <f t="shared" si="8"/>
        <v>00144.ប៉ុងខាត់</v>
      </c>
    </row>
    <row r="152" spans="3:28" ht="24.95" customHeight="1">
      <c r="C152" s="843">
        <v>145</v>
      </c>
      <c r="D152" s="843"/>
      <c r="E152" s="843"/>
      <c r="F152" s="1116" t="s">
        <v>2605</v>
      </c>
      <c r="G152" s="1117" t="s">
        <v>2605</v>
      </c>
      <c r="H152" s="868" t="s">
        <v>2600</v>
      </c>
      <c r="I152" s="1118" t="s">
        <v>2600</v>
      </c>
      <c r="J152" s="870" t="s">
        <v>2778</v>
      </c>
      <c r="K152" s="1138" t="s">
        <v>2965</v>
      </c>
      <c r="L152" s="1138" t="s">
        <v>2976</v>
      </c>
      <c r="M152" s="870" t="s">
        <v>2264</v>
      </c>
      <c r="N152" s="868" t="s">
        <v>2174</v>
      </c>
      <c r="O152" s="1118"/>
      <c r="P152" s="1119">
        <v>3.48</v>
      </c>
      <c r="Q152" s="884">
        <v>0.5</v>
      </c>
      <c r="R152" s="885"/>
      <c r="S152" s="843">
        <f t="shared" si="6"/>
        <v>26</v>
      </c>
      <c r="T152" s="843" t="s">
        <v>36</v>
      </c>
      <c r="U152" s="843">
        <v>0</v>
      </c>
      <c r="V152" s="843">
        <v>1</v>
      </c>
      <c r="W152" s="843">
        <v>0</v>
      </c>
      <c r="X152" s="843">
        <v>0</v>
      </c>
      <c r="Y152" s="843">
        <v>1</v>
      </c>
      <c r="Z152" s="843">
        <v>1</v>
      </c>
      <c r="AA152" s="256" t="str">
        <f t="shared" si="7"/>
        <v>00145.ផ្លែខាត់ល្អ PL #DKS0145</v>
      </c>
      <c r="AB152" s="1145" t="str">
        <f t="shared" si="8"/>
        <v>00145.ផ្លែខាត់ល្អ</v>
      </c>
    </row>
    <row r="153" spans="3:28" ht="24.95" customHeight="1">
      <c r="C153" s="843">
        <v>146</v>
      </c>
      <c r="D153" s="843"/>
      <c r="E153" s="843"/>
      <c r="F153" s="1116" t="s">
        <v>2607</v>
      </c>
      <c r="G153" s="1117" t="s">
        <v>2607</v>
      </c>
      <c r="H153" s="868" t="s">
        <v>2602</v>
      </c>
      <c r="I153" s="1118" t="s">
        <v>2602</v>
      </c>
      <c r="J153" s="870" t="s">
        <v>2939</v>
      </c>
      <c r="K153" s="1138" t="s">
        <v>2965</v>
      </c>
      <c r="L153" s="1138" t="s">
        <v>2976</v>
      </c>
      <c r="M153" s="870" t="s">
        <v>2307</v>
      </c>
      <c r="N153" s="868" t="s">
        <v>2174</v>
      </c>
      <c r="O153" s="1118"/>
      <c r="P153" s="1119">
        <v>0.04</v>
      </c>
      <c r="Q153" s="884">
        <v>0.125</v>
      </c>
      <c r="R153" s="885"/>
      <c r="S153" s="843">
        <f t="shared" si="6"/>
        <v>2</v>
      </c>
      <c r="T153" s="843">
        <v>1</v>
      </c>
      <c r="U153" s="843">
        <v>0</v>
      </c>
      <c r="V153" s="843">
        <v>1</v>
      </c>
      <c r="W153" s="843">
        <v>0</v>
      </c>
      <c r="X153" s="843">
        <v>0</v>
      </c>
      <c r="Y153" s="843">
        <v>1</v>
      </c>
      <c r="Z153" s="843">
        <v>1</v>
      </c>
      <c r="AA153" s="256" t="str">
        <f t="shared" si="7"/>
        <v>00146.ក្រដាស់ខាត់ p40,p60.. PL #DKS0146</v>
      </c>
      <c r="AB153" s="1145" t="str">
        <f t="shared" si="8"/>
        <v>00146.ក្រដាស់ខាត់ p40,p60..</v>
      </c>
    </row>
    <row r="154" spans="3:28" ht="24.95" customHeight="1">
      <c r="C154" s="843">
        <v>147</v>
      </c>
      <c r="D154" s="843"/>
      <c r="E154" s="843"/>
      <c r="F154" s="1116" t="s">
        <v>2609</v>
      </c>
      <c r="G154" s="1117" t="s">
        <v>2609</v>
      </c>
      <c r="H154" s="868" t="s">
        <v>2604</v>
      </c>
      <c r="I154" s="1118" t="s">
        <v>2604</v>
      </c>
      <c r="J154" s="870" t="s">
        <v>2927</v>
      </c>
      <c r="K154" s="1138" t="s">
        <v>2962</v>
      </c>
      <c r="L154" s="1138" t="s">
        <v>2976</v>
      </c>
      <c r="M154" s="870" t="s">
        <v>2269</v>
      </c>
      <c r="N154" s="868" t="s">
        <v>2174</v>
      </c>
      <c r="O154" s="1118"/>
      <c r="P154" s="1119">
        <v>6</v>
      </c>
      <c r="Q154" s="884">
        <v>1.5</v>
      </c>
      <c r="R154" s="885"/>
      <c r="S154" s="843">
        <f t="shared" si="6"/>
        <v>47</v>
      </c>
      <c r="T154" s="843" t="s">
        <v>58</v>
      </c>
      <c r="U154" s="843">
        <v>0</v>
      </c>
      <c r="V154" s="843">
        <v>1</v>
      </c>
      <c r="W154" s="843">
        <v>0</v>
      </c>
      <c r="X154" s="843">
        <v>0</v>
      </c>
      <c r="Y154" s="843">
        <v>1</v>
      </c>
      <c r="Z154" s="843">
        <v>1</v>
      </c>
      <c r="AA154" s="256" t="str">
        <f t="shared" si="7"/>
        <v>00147.ស្កុតថ្លា​ 500y PL #DKS0147</v>
      </c>
      <c r="AB154" s="1145" t="str">
        <f t="shared" si="8"/>
        <v>00147.ស្កុតថ្លា​ 500y</v>
      </c>
    </row>
    <row r="155" spans="3:28" ht="24.95" customHeight="1">
      <c r="C155" s="843">
        <v>148</v>
      </c>
      <c r="D155" s="843"/>
      <c r="E155" s="843"/>
      <c r="F155" s="1116" t="s">
        <v>2611</v>
      </c>
      <c r="G155" s="1117" t="s">
        <v>2611</v>
      </c>
      <c r="H155" s="868" t="s">
        <v>2606</v>
      </c>
      <c r="I155" s="1118" t="s">
        <v>2606</v>
      </c>
      <c r="J155" s="870" t="s">
        <v>2939</v>
      </c>
      <c r="K155" s="1138" t="s">
        <v>2965</v>
      </c>
      <c r="L155" s="1138" t="s">
        <v>2976</v>
      </c>
      <c r="M155" s="870" t="s">
        <v>2307</v>
      </c>
      <c r="N155" s="868" t="s">
        <v>2174</v>
      </c>
      <c r="O155" s="1118"/>
      <c r="P155" s="1119">
        <v>0.9</v>
      </c>
      <c r="Q155" s="884">
        <v>1.5</v>
      </c>
      <c r="R155" s="885"/>
      <c r="S155" s="843">
        <f t="shared" si="6"/>
        <v>2</v>
      </c>
      <c r="T155" s="843">
        <v>1</v>
      </c>
      <c r="U155" s="843">
        <v>0</v>
      </c>
      <c r="V155" s="843">
        <v>1</v>
      </c>
      <c r="W155" s="843">
        <v>0</v>
      </c>
      <c r="X155" s="843">
        <v>0</v>
      </c>
      <c r="Y155" s="843">
        <v>1</v>
      </c>
      <c r="Z155" s="843">
        <v>1</v>
      </c>
      <c r="AA155" s="256" t="str">
        <f t="shared" si="7"/>
        <v>00148.ដងកាត់ស្កុត PL #DKS0148</v>
      </c>
      <c r="AB155" s="1145" t="str">
        <f t="shared" si="8"/>
        <v>00148.ដងកាត់ស្កុត</v>
      </c>
    </row>
    <row r="156" spans="3:28" ht="24.95" customHeight="1">
      <c r="C156" s="843">
        <v>149</v>
      </c>
      <c r="D156" s="843"/>
      <c r="E156" s="843"/>
      <c r="F156" s="1116" t="s">
        <v>2614</v>
      </c>
      <c r="G156" s="1117" t="s">
        <v>2614</v>
      </c>
      <c r="H156" s="868" t="s">
        <v>2608</v>
      </c>
      <c r="I156" s="1118" t="s">
        <v>2608</v>
      </c>
      <c r="J156" s="870" t="s">
        <v>2928</v>
      </c>
      <c r="K156" s="1138" t="s">
        <v>2966</v>
      </c>
      <c r="L156" s="1138" t="s">
        <v>2976</v>
      </c>
      <c r="M156" s="870" t="s">
        <v>2729</v>
      </c>
      <c r="N156" s="868" t="s">
        <v>2174</v>
      </c>
      <c r="O156" s="1118"/>
      <c r="P156" s="1119">
        <v>4.8</v>
      </c>
      <c r="Q156" s="884">
        <v>0.5</v>
      </c>
      <c r="R156" s="885"/>
      <c r="S156" s="843">
        <f t="shared" si="6"/>
        <v>48</v>
      </c>
      <c r="T156" s="843" t="s">
        <v>36</v>
      </c>
      <c r="U156" s="843">
        <v>0</v>
      </c>
      <c r="V156" s="843">
        <v>1</v>
      </c>
      <c r="W156" s="843">
        <v>0</v>
      </c>
      <c r="X156" s="843">
        <v>0</v>
      </c>
      <c r="Y156" s="843">
        <v>1</v>
      </c>
      <c r="Z156" s="843">
        <v>1</v>
      </c>
      <c r="AA156" s="256" t="str">
        <f t="shared" si="7"/>
        <v>00149.ស្រោមដៃជ័រខ្លី PL #DKS0149</v>
      </c>
      <c r="AB156" s="1145" t="str">
        <f t="shared" si="8"/>
        <v>00149.ស្រោមដៃជ័រខ្លី</v>
      </c>
    </row>
    <row r="157" spans="3:28" ht="24.95" customHeight="1">
      <c r="C157" s="843">
        <v>150</v>
      </c>
      <c r="D157" s="843"/>
      <c r="E157" s="843"/>
      <c r="F157" s="1116" t="s">
        <v>2616</v>
      </c>
      <c r="G157" s="1117" t="s">
        <v>2616</v>
      </c>
      <c r="H157" s="868" t="s">
        <v>2610</v>
      </c>
      <c r="I157" s="1118" t="s">
        <v>2610</v>
      </c>
      <c r="J157" s="870" t="s">
        <v>2928</v>
      </c>
      <c r="K157" s="1138" t="s">
        <v>2966</v>
      </c>
      <c r="L157" s="1138" t="s">
        <v>2976</v>
      </c>
      <c r="M157" s="870" t="s">
        <v>2729</v>
      </c>
      <c r="N157" s="868" t="s">
        <v>2174</v>
      </c>
      <c r="O157" s="1118"/>
      <c r="P157" s="1119">
        <v>1.56</v>
      </c>
      <c r="Q157" s="884">
        <v>0.25</v>
      </c>
      <c r="R157" s="885"/>
      <c r="S157" s="843">
        <f t="shared" si="6"/>
        <v>48</v>
      </c>
      <c r="T157" s="843" t="s">
        <v>36</v>
      </c>
      <c r="U157" s="843">
        <v>0</v>
      </c>
      <c r="V157" s="843">
        <v>1</v>
      </c>
      <c r="W157" s="843">
        <v>0</v>
      </c>
      <c r="X157" s="843">
        <v>0</v>
      </c>
      <c r="Y157" s="843">
        <v>1</v>
      </c>
      <c r="Z157" s="843">
        <v>1</v>
      </c>
      <c r="AA157" s="256" t="str">
        <f t="shared" si="7"/>
        <v>00150.ស្រោមដៃអំបោះ PL #DKS0150</v>
      </c>
      <c r="AB157" s="1145" t="str">
        <f t="shared" si="8"/>
        <v>00150.ស្រោមដៃអំបោះ</v>
      </c>
    </row>
    <row r="158" spans="3:28" ht="24.95" customHeight="1">
      <c r="C158" s="843">
        <v>151</v>
      </c>
      <c r="D158" s="843"/>
      <c r="E158" s="843"/>
      <c r="F158" s="1116" t="s">
        <v>2948</v>
      </c>
      <c r="G158" s="1117" t="s">
        <v>2948</v>
      </c>
      <c r="H158" s="868" t="s">
        <v>2612</v>
      </c>
      <c r="I158" s="1118" t="s">
        <v>2612</v>
      </c>
      <c r="J158" s="870" t="s">
        <v>2929</v>
      </c>
      <c r="K158" s="1138" t="s">
        <v>2967</v>
      </c>
      <c r="L158" s="1138" t="s">
        <v>2977</v>
      </c>
      <c r="M158" s="870" t="s">
        <v>2840</v>
      </c>
      <c r="N158" s="868" t="s">
        <v>2309</v>
      </c>
      <c r="O158" s="1118"/>
      <c r="P158" s="1119">
        <v>49</v>
      </c>
      <c r="Q158" s="884">
        <v>52</v>
      </c>
      <c r="R158" s="885"/>
      <c r="S158" s="843">
        <f t="shared" si="6"/>
        <v>28</v>
      </c>
      <c r="T158" s="843">
        <v>1</v>
      </c>
      <c r="U158" s="843">
        <v>0</v>
      </c>
      <c r="V158" s="843">
        <v>1</v>
      </c>
      <c r="W158" s="843">
        <v>0</v>
      </c>
      <c r="X158" s="843">
        <v>0</v>
      </c>
      <c r="Y158" s="843">
        <v>1</v>
      </c>
      <c r="Z158" s="843">
        <v>1</v>
      </c>
      <c r="AA158" s="256" t="str">
        <f t="shared" si="7"/>
        <v>00151.ថ្នាំលាបគ្បឿង 18l U-91 #DKS0151</v>
      </c>
      <c r="AB158" s="1145" t="str">
        <f t="shared" si="8"/>
        <v>00151.ថ្នាំលាបគ្បឿង 18l</v>
      </c>
    </row>
    <row r="159" spans="3:28" ht="24.95" customHeight="1">
      <c r="C159" s="843">
        <v>152</v>
      </c>
      <c r="D159" s="843"/>
      <c r="E159" s="843"/>
      <c r="F159" s="1116" t="s">
        <v>2619</v>
      </c>
      <c r="G159" s="1117" t="s">
        <v>2619</v>
      </c>
      <c r="H159" s="868" t="s">
        <v>2615</v>
      </c>
      <c r="I159" s="1118" t="s">
        <v>2615</v>
      </c>
      <c r="J159" s="870" t="s">
        <v>2930</v>
      </c>
      <c r="K159" s="1138" t="s">
        <v>2967</v>
      </c>
      <c r="L159" s="1138" t="s">
        <v>2977</v>
      </c>
      <c r="M159" s="870" t="s">
        <v>2849</v>
      </c>
      <c r="N159" s="868" t="s">
        <v>2309</v>
      </c>
      <c r="O159" s="1118"/>
      <c r="P159" s="1119">
        <v>45</v>
      </c>
      <c r="Q159" s="884">
        <v>11.5</v>
      </c>
      <c r="R159" s="885"/>
      <c r="S159" s="843">
        <f t="shared" si="6"/>
        <v>29</v>
      </c>
      <c r="T159" s="843" t="s">
        <v>56</v>
      </c>
      <c r="U159" s="843">
        <v>0</v>
      </c>
      <c r="V159" s="843">
        <v>1</v>
      </c>
      <c r="W159" s="843">
        <v>0</v>
      </c>
      <c r="X159" s="843">
        <v>0</v>
      </c>
      <c r="Y159" s="843">
        <v>1</v>
      </c>
      <c r="Z159" s="843">
        <v>1</v>
      </c>
      <c r="AA159" s="256" t="str">
        <f t="shared" si="7"/>
        <v>00152.ថ្នាំលាបគ្បឿង 3.5l U-91 #DKS0152</v>
      </c>
      <c r="AB159" s="1145" t="str">
        <f t="shared" si="8"/>
        <v>00152.ថ្នាំលាបគ្បឿង 3.5l</v>
      </c>
    </row>
    <row r="160" spans="3:28" ht="24.95" customHeight="1">
      <c r="C160" s="843">
        <v>153</v>
      </c>
      <c r="D160" s="843"/>
      <c r="E160" s="843"/>
      <c r="F160" s="1116" t="s">
        <v>2621</v>
      </c>
      <c r="G160" s="1117" t="s">
        <v>2621</v>
      </c>
      <c r="H160" s="868" t="s">
        <v>2617</v>
      </c>
      <c r="I160" s="1118" t="s">
        <v>2617</v>
      </c>
      <c r="J160" s="870" t="s">
        <v>2931</v>
      </c>
      <c r="K160" s="1138" t="s">
        <v>2967</v>
      </c>
      <c r="L160" s="1138" t="s">
        <v>2977</v>
      </c>
      <c r="M160" s="870" t="s">
        <v>2841</v>
      </c>
      <c r="N160" s="868" t="s">
        <v>2309</v>
      </c>
      <c r="O160" s="1118"/>
      <c r="P160" s="1119">
        <v>39.6</v>
      </c>
      <c r="Q160" s="884">
        <v>3.75</v>
      </c>
      <c r="R160" s="885"/>
      <c r="S160" s="843">
        <f t="shared" si="6"/>
        <v>30</v>
      </c>
      <c r="T160" s="843" t="s">
        <v>36</v>
      </c>
      <c r="U160" s="843">
        <v>0</v>
      </c>
      <c r="V160" s="843">
        <v>1</v>
      </c>
      <c r="W160" s="843">
        <v>0</v>
      </c>
      <c r="X160" s="843">
        <v>0</v>
      </c>
      <c r="Y160" s="843">
        <v>1</v>
      </c>
      <c r="Z160" s="843">
        <v>1</v>
      </c>
      <c r="AA160" s="256" t="str">
        <f t="shared" si="7"/>
        <v>00153.ថ្នាំលាបគ្បឿង 0.9l U-91 #DKS0153</v>
      </c>
      <c r="AB160" s="1145" t="str">
        <f t="shared" si="8"/>
        <v>00153.ថ្នាំលាបគ្បឿង 0.9l</v>
      </c>
    </row>
    <row r="161" spans="3:28" ht="24.95" customHeight="1">
      <c r="C161" s="843">
        <v>154</v>
      </c>
      <c r="D161" s="843"/>
      <c r="E161" s="843"/>
      <c r="F161" s="1116" t="s">
        <v>2623</v>
      </c>
      <c r="G161" s="1117" t="s">
        <v>2623</v>
      </c>
      <c r="H161" s="868" t="s">
        <v>2618</v>
      </c>
      <c r="I161" s="1118" t="s">
        <v>2618</v>
      </c>
      <c r="J161" s="870" t="s">
        <v>2932</v>
      </c>
      <c r="K161" s="1138" t="s">
        <v>2967</v>
      </c>
      <c r="L161" s="1138" t="s">
        <v>2977</v>
      </c>
      <c r="M161" s="870" t="s">
        <v>2839</v>
      </c>
      <c r="N161" s="868" t="s">
        <v>2309</v>
      </c>
      <c r="O161" s="1118"/>
      <c r="P161" s="1119">
        <v>66</v>
      </c>
      <c r="Q161" s="884">
        <v>68</v>
      </c>
      <c r="R161" s="885"/>
      <c r="S161" s="843">
        <f t="shared" si="6"/>
        <v>27</v>
      </c>
      <c r="T161" s="843">
        <v>1</v>
      </c>
      <c r="U161" s="843">
        <v>0</v>
      </c>
      <c r="V161" s="843">
        <v>1</v>
      </c>
      <c r="W161" s="843">
        <v>0</v>
      </c>
      <c r="X161" s="843">
        <v>0</v>
      </c>
      <c r="Y161" s="843">
        <v>1</v>
      </c>
      <c r="Z161" s="843">
        <v>1</v>
      </c>
      <c r="AA161" s="256" t="str">
        <f t="shared" si="7"/>
        <v>00154.ថ្នាំប្រេងលាបដែក 17l U-91 #DKS0154</v>
      </c>
      <c r="AB161" s="1145" t="str">
        <f t="shared" si="8"/>
        <v>00154.ថ្នាំប្រេងលាបដែក 17l</v>
      </c>
    </row>
    <row r="162" spans="3:28" ht="24.95" customHeight="1">
      <c r="C162" s="843">
        <v>155</v>
      </c>
      <c r="D162" s="843"/>
      <c r="E162" s="843"/>
      <c r="F162" s="1116" t="s">
        <v>2625</v>
      </c>
      <c r="G162" s="1117" t="s">
        <v>2625</v>
      </c>
      <c r="H162" s="868" t="s">
        <v>2620</v>
      </c>
      <c r="I162" s="1118" t="s">
        <v>2620</v>
      </c>
      <c r="J162" s="870" t="s">
        <v>2933</v>
      </c>
      <c r="K162" s="1138" t="s">
        <v>2967</v>
      </c>
      <c r="L162" s="1138" t="s">
        <v>2977</v>
      </c>
      <c r="M162" s="870" t="s">
        <v>2849</v>
      </c>
      <c r="N162" s="868" t="s">
        <v>2309</v>
      </c>
      <c r="O162" s="1118"/>
      <c r="P162" s="1119">
        <v>58</v>
      </c>
      <c r="Q162" s="884">
        <v>15</v>
      </c>
      <c r="R162" s="885"/>
      <c r="S162" s="843">
        <f t="shared" si="6"/>
        <v>42</v>
      </c>
      <c r="T162" s="843" t="s">
        <v>56</v>
      </c>
      <c r="U162" s="843">
        <v>0</v>
      </c>
      <c r="V162" s="843">
        <v>1</v>
      </c>
      <c r="W162" s="843">
        <v>0</v>
      </c>
      <c r="X162" s="843">
        <v>0</v>
      </c>
      <c r="Y162" s="843">
        <v>1</v>
      </c>
      <c r="Z162" s="843">
        <v>1</v>
      </c>
      <c r="AA162" s="256" t="str">
        <f t="shared" si="7"/>
        <v>00155.ថ្នាំប្រេងលាបដែក 3.5l U-91 #DKS0155</v>
      </c>
      <c r="AB162" s="1145" t="str">
        <f t="shared" si="8"/>
        <v>00155.ថ្នាំប្រេងលាបដែក 3.5l</v>
      </c>
    </row>
    <row r="163" spans="3:28" ht="24.95" customHeight="1">
      <c r="C163" s="843">
        <v>156</v>
      </c>
      <c r="D163" s="843"/>
      <c r="E163" s="843"/>
      <c r="F163" s="1116" t="s">
        <v>2627</v>
      </c>
      <c r="G163" s="1117" t="s">
        <v>2627</v>
      </c>
      <c r="H163" s="868" t="s">
        <v>2624</v>
      </c>
      <c r="I163" s="1118" t="s">
        <v>2624</v>
      </c>
      <c r="J163" s="870" t="s">
        <v>2934</v>
      </c>
      <c r="K163" s="1138" t="s">
        <v>2967</v>
      </c>
      <c r="L163" s="1138" t="s">
        <v>2977</v>
      </c>
      <c r="M163" s="870" t="s">
        <v>2841</v>
      </c>
      <c r="N163" s="868" t="s">
        <v>2309</v>
      </c>
      <c r="O163" s="1118"/>
      <c r="P163" s="1119">
        <v>52.92</v>
      </c>
      <c r="Q163" s="884">
        <v>4.8</v>
      </c>
      <c r="R163" s="885"/>
      <c r="S163" s="843">
        <f t="shared" si="6"/>
        <v>43</v>
      </c>
      <c r="T163" s="843" t="s">
        <v>36</v>
      </c>
      <c r="U163" s="843">
        <v>0</v>
      </c>
      <c r="V163" s="843">
        <v>1</v>
      </c>
      <c r="W163" s="843">
        <v>0</v>
      </c>
      <c r="X163" s="843">
        <v>0</v>
      </c>
      <c r="Y163" s="843">
        <v>1</v>
      </c>
      <c r="Z163" s="843">
        <v>1</v>
      </c>
      <c r="AA163" s="256" t="str">
        <f t="shared" si="7"/>
        <v>00156.ថ្នាំប្រេងលាបដែក 250ml U-91 #DKS0156</v>
      </c>
      <c r="AB163" s="1145" t="str">
        <f t="shared" si="8"/>
        <v>00156.ថ្នាំប្រេងលាបដែក 250ml</v>
      </c>
    </row>
    <row r="164" spans="3:28" ht="24.95" customHeight="1">
      <c r="C164" s="843">
        <v>157</v>
      </c>
      <c r="D164" s="843"/>
      <c r="E164" s="843"/>
      <c r="F164" s="1116" t="s">
        <v>2629</v>
      </c>
      <c r="G164" s="1117" t="s">
        <v>2629</v>
      </c>
      <c r="H164" s="868" t="s">
        <v>2622</v>
      </c>
      <c r="I164" s="1118" t="s">
        <v>2622</v>
      </c>
      <c r="J164" s="870" t="s">
        <v>2934</v>
      </c>
      <c r="K164" s="1138" t="s">
        <v>2967</v>
      </c>
      <c r="L164" s="1138" t="s">
        <v>2977</v>
      </c>
      <c r="M164" s="870" t="s">
        <v>2841</v>
      </c>
      <c r="N164" s="868" t="s">
        <v>2309</v>
      </c>
      <c r="O164" s="1118"/>
      <c r="P164" s="1119">
        <v>21</v>
      </c>
      <c r="Q164" s="884">
        <v>2</v>
      </c>
      <c r="R164" s="885"/>
      <c r="S164" s="843">
        <f t="shared" si="6"/>
        <v>43</v>
      </c>
      <c r="T164" s="843" t="s">
        <v>36</v>
      </c>
      <c r="U164" s="843">
        <v>0</v>
      </c>
      <c r="V164" s="843">
        <v>1</v>
      </c>
      <c r="W164" s="843">
        <v>0</v>
      </c>
      <c r="X164" s="843">
        <v>0</v>
      </c>
      <c r="Y164" s="843">
        <v>1</v>
      </c>
      <c r="Z164" s="843">
        <v>1</v>
      </c>
      <c r="AA164" s="256" t="str">
        <f t="shared" si="7"/>
        <v>00157.ថ្នាំប្រេងលាបដែក 0.88l U-91 #DKS0157</v>
      </c>
      <c r="AB164" s="1145" t="str">
        <f t="shared" si="8"/>
        <v>00157.ថ្នាំប្រេងលាបដែក 0.88l</v>
      </c>
    </row>
    <row r="165" spans="3:28" ht="24.95" customHeight="1">
      <c r="C165" s="843">
        <v>158</v>
      </c>
      <c r="D165" s="843"/>
      <c r="E165" s="843"/>
      <c r="F165" s="1116" t="s">
        <v>2631</v>
      </c>
      <c r="G165" s="1117" t="s">
        <v>2631</v>
      </c>
      <c r="H165" s="868" t="s">
        <v>2626</v>
      </c>
      <c r="I165" s="1118" t="s">
        <v>2626</v>
      </c>
      <c r="J165" s="870" t="s">
        <v>2932</v>
      </c>
      <c r="K165" s="1138" t="s">
        <v>2967</v>
      </c>
      <c r="L165" s="1138" t="s">
        <v>2977</v>
      </c>
      <c r="M165" s="870" t="s">
        <v>2839</v>
      </c>
      <c r="N165" s="868" t="s">
        <v>2309</v>
      </c>
      <c r="O165" s="1118"/>
      <c r="P165" s="1119">
        <v>53</v>
      </c>
      <c r="Q165" s="884">
        <v>55</v>
      </c>
      <c r="R165" s="885"/>
      <c r="S165" s="843">
        <f t="shared" si="6"/>
        <v>27</v>
      </c>
      <c r="T165" s="843">
        <v>1</v>
      </c>
      <c r="U165" s="843">
        <v>0</v>
      </c>
      <c r="V165" s="843">
        <v>1</v>
      </c>
      <c r="W165" s="843">
        <v>0</v>
      </c>
      <c r="X165" s="843">
        <v>0</v>
      </c>
      <c r="Y165" s="843">
        <v>1</v>
      </c>
      <c r="Z165" s="843">
        <v>1</v>
      </c>
      <c r="AA165" s="256" t="str">
        <f t="shared" si="7"/>
        <v>00158.ថ្នាំទ្រនាប់លាបឈើ 17l U-91 #DKS0158</v>
      </c>
      <c r="AB165" s="1145" t="str">
        <f t="shared" si="8"/>
        <v>00158.ថ្នាំទ្រនាប់លាបឈើ 17l</v>
      </c>
    </row>
    <row r="166" spans="3:28" ht="24.95" customHeight="1">
      <c r="C166" s="843">
        <v>159</v>
      </c>
      <c r="D166" s="843"/>
      <c r="E166" s="843"/>
      <c r="F166" s="1116" t="s">
        <v>2633</v>
      </c>
      <c r="G166" s="1117" t="s">
        <v>2633</v>
      </c>
      <c r="H166" s="868" t="s">
        <v>2628</v>
      </c>
      <c r="I166" s="1118" t="s">
        <v>2628</v>
      </c>
      <c r="J166" s="870" t="s">
        <v>2932</v>
      </c>
      <c r="K166" s="1138" t="s">
        <v>2967</v>
      </c>
      <c r="L166" s="1138" t="s">
        <v>2977</v>
      </c>
      <c r="M166" s="870" t="s">
        <v>2839</v>
      </c>
      <c r="N166" s="868" t="s">
        <v>2309</v>
      </c>
      <c r="O166" s="1118"/>
      <c r="P166" s="1119">
        <v>49</v>
      </c>
      <c r="Q166" s="884">
        <v>52</v>
      </c>
      <c r="R166" s="885"/>
      <c r="S166" s="843">
        <f t="shared" si="6"/>
        <v>27</v>
      </c>
      <c r="T166" s="843">
        <v>1</v>
      </c>
      <c r="U166" s="843">
        <v>0</v>
      </c>
      <c r="V166" s="843">
        <v>1</v>
      </c>
      <c r="W166" s="843">
        <v>0</v>
      </c>
      <c r="X166" s="843">
        <v>0</v>
      </c>
      <c r="Y166" s="843">
        <v>1</v>
      </c>
      <c r="Z166" s="843">
        <v>1</v>
      </c>
      <c r="AA166" s="256" t="str">
        <f t="shared" si="7"/>
        <v>00159.ថ្នាំលាបច្រេះក្រហម 17l U-91 #DKS0159</v>
      </c>
      <c r="AB166" s="1145" t="str">
        <f t="shared" si="8"/>
        <v>00159.ថ្នាំលាបច្រេះក្រហម 17l</v>
      </c>
    </row>
    <row r="167" spans="3:28" ht="24.95" customHeight="1">
      <c r="C167" s="843">
        <v>160</v>
      </c>
      <c r="D167" s="843"/>
      <c r="E167" s="843"/>
      <c r="F167" s="1116" t="s">
        <v>2635</v>
      </c>
      <c r="G167" s="1117" t="s">
        <v>2635</v>
      </c>
      <c r="H167" s="868" t="s">
        <v>2630</v>
      </c>
      <c r="I167" s="1118" t="s">
        <v>2630</v>
      </c>
      <c r="J167" s="870" t="s">
        <v>2933</v>
      </c>
      <c r="K167" s="1138" t="s">
        <v>2967</v>
      </c>
      <c r="L167" s="1138" t="s">
        <v>2977</v>
      </c>
      <c r="M167" s="870" t="s">
        <v>2849</v>
      </c>
      <c r="N167" s="868" t="s">
        <v>2309</v>
      </c>
      <c r="O167" s="1118"/>
      <c r="P167" s="1119">
        <v>47</v>
      </c>
      <c r="Q167" s="884">
        <v>12</v>
      </c>
      <c r="R167" s="885"/>
      <c r="S167" s="843">
        <f t="shared" si="6"/>
        <v>42</v>
      </c>
      <c r="T167" s="843" t="s">
        <v>56</v>
      </c>
      <c r="U167" s="843">
        <v>0</v>
      </c>
      <c r="V167" s="843">
        <v>1</v>
      </c>
      <c r="W167" s="843">
        <v>0</v>
      </c>
      <c r="X167" s="843">
        <v>0</v>
      </c>
      <c r="Y167" s="843">
        <v>1</v>
      </c>
      <c r="Z167" s="843">
        <v>1</v>
      </c>
      <c r="AA167" s="256" t="str">
        <f t="shared" si="7"/>
        <v>00160.ថ្នាំលាបច្រេះក្រហម 3.5l U-91 #DKS0160</v>
      </c>
      <c r="AB167" s="1145" t="str">
        <f t="shared" si="8"/>
        <v>00160.ថ្នាំលាបច្រេះក្រហម 3.5l</v>
      </c>
    </row>
    <row r="168" spans="3:28" ht="24.95" customHeight="1">
      <c r="C168" s="843">
        <v>161</v>
      </c>
      <c r="D168" s="843"/>
      <c r="E168" s="843"/>
      <c r="F168" s="1116" t="s">
        <v>2637</v>
      </c>
      <c r="G168" s="1117" t="s">
        <v>2637</v>
      </c>
      <c r="H168" s="868" t="s">
        <v>2632</v>
      </c>
      <c r="I168" s="1118" t="s">
        <v>2632</v>
      </c>
      <c r="J168" s="870" t="s">
        <v>2934</v>
      </c>
      <c r="K168" s="1138" t="s">
        <v>2967</v>
      </c>
      <c r="L168" s="1138" t="s">
        <v>2977</v>
      </c>
      <c r="M168" s="870" t="s">
        <v>2841</v>
      </c>
      <c r="N168" s="868" t="s">
        <v>2309</v>
      </c>
      <c r="O168" s="1118"/>
      <c r="P168" s="1119">
        <v>43.2</v>
      </c>
      <c r="Q168" s="884">
        <v>4</v>
      </c>
      <c r="R168" s="885"/>
      <c r="S168" s="843">
        <f t="shared" si="6"/>
        <v>43</v>
      </c>
      <c r="T168" s="843" t="s">
        <v>36</v>
      </c>
      <c r="U168" s="843">
        <v>0</v>
      </c>
      <c r="V168" s="843">
        <v>1</v>
      </c>
      <c r="W168" s="843">
        <v>0</v>
      </c>
      <c r="X168" s="843">
        <v>0</v>
      </c>
      <c r="Y168" s="843">
        <v>1</v>
      </c>
      <c r="Z168" s="843">
        <v>1</v>
      </c>
      <c r="AA168" s="256" t="str">
        <f t="shared" si="7"/>
        <v>00161.ថ្នាំលាបច្រេះក្រហម 0.88l U-91 #DKS0161</v>
      </c>
      <c r="AB168" s="1145" t="str">
        <f t="shared" si="8"/>
        <v>00161.ថ្នាំលាបច្រេះក្រហម 0.88l</v>
      </c>
    </row>
    <row r="169" spans="3:28" ht="24.95" customHeight="1">
      <c r="C169" s="843">
        <v>162</v>
      </c>
      <c r="D169" s="843"/>
      <c r="E169" s="843"/>
      <c r="F169" s="1116" t="s">
        <v>2639</v>
      </c>
      <c r="G169" s="1117" t="s">
        <v>2639</v>
      </c>
      <c r="H169" s="868" t="s">
        <v>2634</v>
      </c>
      <c r="I169" s="1118" t="s">
        <v>2634</v>
      </c>
      <c r="J169" s="870" t="s">
        <v>2932</v>
      </c>
      <c r="K169" s="1138" t="s">
        <v>2967</v>
      </c>
      <c r="L169" s="1138" t="s">
        <v>2977</v>
      </c>
      <c r="M169" s="870" t="s">
        <v>2839</v>
      </c>
      <c r="N169" s="868" t="s">
        <v>2309</v>
      </c>
      <c r="O169" s="1118"/>
      <c r="P169" s="1119">
        <v>53</v>
      </c>
      <c r="Q169" s="884">
        <v>55</v>
      </c>
      <c r="R169" s="885"/>
      <c r="S169" s="843">
        <f t="shared" si="6"/>
        <v>27</v>
      </c>
      <c r="T169" s="843">
        <v>1</v>
      </c>
      <c r="U169" s="843">
        <v>0</v>
      </c>
      <c r="V169" s="843">
        <v>1</v>
      </c>
      <c r="W169" s="843">
        <v>0</v>
      </c>
      <c r="X169" s="843">
        <v>0</v>
      </c>
      <c r="Y169" s="843">
        <v>1</v>
      </c>
      <c r="Z169" s="843">
        <v>1</v>
      </c>
      <c r="AA169" s="256" t="str">
        <f t="shared" si="7"/>
        <v>00162.ថ្នាំលាបច្រេះប្រផះ 17l U-91 #DKS0162</v>
      </c>
      <c r="AB169" s="1145" t="str">
        <f t="shared" si="8"/>
        <v>00162.ថ្នាំលាបច្រេះប្រផះ 17l</v>
      </c>
    </row>
    <row r="170" spans="3:28" ht="24.95" customHeight="1">
      <c r="C170" s="843">
        <v>163</v>
      </c>
      <c r="D170" s="843"/>
      <c r="E170" s="843"/>
      <c r="F170" s="1116" t="s">
        <v>2641</v>
      </c>
      <c r="G170" s="1117" t="s">
        <v>2641</v>
      </c>
      <c r="H170" s="868" t="s">
        <v>2636</v>
      </c>
      <c r="I170" s="1118" t="s">
        <v>2636</v>
      </c>
      <c r="J170" s="870" t="s">
        <v>2933</v>
      </c>
      <c r="K170" s="1138" t="s">
        <v>2967</v>
      </c>
      <c r="L170" s="1138" t="s">
        <v>2977</v>
      </c>
      <c r="M170" s="870" t="s">
        <v>2849</v>
      </c>
      <c r="N170" s="868" t="s">
        <v>2309</v>
      </c>
      <c r="O170" s="1118"/>
      <c r="P170" s="1119">
        <v>51</v>
      </c>
      <c r="Q170" s="884">
        <v>13.25</v>
      </c>
      <c r="R170" s="885"/>
      <c r="S170" s="843">
        <f t="shared" si="6"/>
        <v>42</v>
      </c>
      <c r="T170" s="843" t="s">
        <v>56</v>
      </c>
      <c r="U170" s="843">
        <v>0</v>
      </c>
      <c r="V170" s="843">
        <v>1</v>
      </c>
      <c r="W170" s="843">
        <v>0</v>
      </c>
      <c r="X170" s="843">
        <v>0</v>
      </c>
      <c r="Y170" s="843">
        <v>1</v>
      </c>
      <c r="Z170" s="843">
        <v>1</v>
      </c>
      <c r="AA170" s="256" t="str">
        <f t="shared" si="7"/>
        <v>00163.ថ្នាំលាបច្រេះប្រផះ 3.5l U-91 #DKS0163</v>
      </c>
      <c r="AB170" s="1145" t="str">
        <f t="shared" si="8"/>
        <v>00163.ថ្នាំលាបច្រេះប្រផះ 3.5l</v>
      </c>
    </row>
    <row r="171" spans="3:28" ht="24.95" customHeight="1">
      <c r="C171" s="843">
        <v>164</v>
      </c>
      <c r="D171" s="843"/>
      <c r="E171" s="843"/>
      <c r="F171" s="1116" t="s">
        <v>2642</v>
      </c>
      <c r="G171" s="1117" t="s">
        <v>2642</v>
      </c>
      <c r="H171" s="868" t="s">
        <v>2638</v>
      </c>
      <c r="I171" s="1118" t="s">
        <v>2638</v>
      </c>
      <c r="J171" s="870" t="s">
        <v>2932</v>
      </c>
      <c r="K171" s="1138" t="s">
        <v>2967</v>
      </c>
      <c r="L171" s="1138" t="s">
        <v>2977</v>
      </c>
      <c r="M171" s="870" t="s">
        <v>2839</v>
      </c>
      <c r="N171" s="868" t="s">
        <v>2309</v>
      </c>
      <c r="O171" s="1118"/>
      <c r="P171" s="1119">
        <v>88</v>
      </c>
      <c r="Q171" s="884">
        <v>90</v>
      </c>
      <c r="R171" s="885"/>
      <c r="S171" s="843">
        <f t="shared" si="6"/>
        <v>27</v>
      </c>
      <c r="T171" s="843">
        <v>1</v>
      </c>
      <c r="U171" s="843">
        <v>0</v>
      </c>
      <c r="V171" s="843">
        <v>1</v>
      </c>
      <c r="W171" s="843">
        <v>0</v>
      </c>
      <c r="X171" s="843">
        <v>0</v>
      </c>
      <c r="Y171" s="843">
        <v>1</v>
      </c>
      <c r="Z171" s="843">
        <v>1</v>
      </c>
      <c r="AA171" s="256" t="str">
        <f t="shared" si="7"/>
        <v>00164.ថ្នាំទ្រនាប់បន្សីដែក 17l U-91 #DKS0164</v>
      </c>
      <c r="AB171" s="1145" t="str">
        <f t="shared" si="8"/>
        <v>00164.ថ្នាំទ្រនាប់បន្សីដែក 17l</v>
      </c>
    </row>
    <row r="172" spans="3:28" ht="24.95" customHeight="1">
      <c r="C172" s="843">
        <v>165</v>
      </c>
      <c r="D172" s="843"/>
      <c r="E172" s="843"/>
      <c r="F172" s="1116" t="s">
        <v>2643</v>
      </c>
      <c r="G172" s="1117" t="s">
        <v>2643</v>
      </c>
      <c r="H172" s="868" t="s">
        <v>2640</v>
      </c>
      <c r="I172" s="1118" t="s">
        <v>2640</v>
      </c>
      <c r="J172" s="870" t="s">
        <v>2933</v>
      </c>
      <c r="K172" s="1138" t="s">
        <v>2967</v>
      </c>
      <c r="L172" s="1138" t="s">
        <v>2977</v>
      </c>
      <c r="M172" s="870" t="s">
        <v>2849</v>
      </c>
      <c r="N172" s="868" t="s">
        <v>2309</v>
      </c>
      <c r="O172" s="1118"/>
      <c r="P172" s="1119">
        <v>81</v>
      </c>
      <c r="Q172" s="884">
        <v>21.25</v>
      </c>
      <c r="R172" s="885"/>
      <c r="S172" s="843">
        <f t="shared" si="6"/>
        <v>42</v>
      </c>
      <c r="T172" s="843" t="s">
        <v>56</v>
      </c>
      <c r="U172" s="843">
        <v>0</v>
      </c>
      <c r="V172" s="843">
        <v>1</v>
      </c>
      <c r="W172" s="843">
        <v>0</v>
      </c>
      <c r="X172" s="843">
        <v>0</v>
      </c>
      <c r="Y172" s="843">
        <v>1</v>
      </c>
      <c r="Z172" s="843">
        <v>1</v>
      </c>
      <c r="AA172" s="256" t="str">
        <f t="shared" si="7"/>
        <v>00165.ថ្នាំទឹកមាសលាយទឹក 3.5l U-91 #DKS0165</v>
      </c>
      <c r="AB172" s="1145" t="str">
        <f t="shared" si="8"/>
        <v>00165.ថ្នាំទឹកមាសលាយទឹក 3.5l</v>
      </c>
    </row>
    <row r="173" spans="3:28" ht="24.95" customHeight="1">
      <c r="C173" s="843">
        <v>166</v>
      </c>
      <c r="D173" s="843"/>
      <c r="E173" s="843"/>
      <c r="F173" s="1116" t="s">
        <v>2644</v>
      </c>
      <c r="G173" s="1117" t="s">
        <v>2644</v>
      </c>
      <c r="H173" s="868" t="s">
        <v>2941</v>
      </c>
      <c r="I173" s="1118" t="s">
        <v>2941</v>
      </c>
      <c r="J173" s="870" t="s">
        <v>2939</v>
      </c>
      <c r="K173" s="1138" t="s">
        <v>2968</v>
      </c>
      <c r="L173" s="1138" t="s">
        <v>2976</v>
      </c>
      <c r="M173" s="870" t="s">
        <v>2307</v>
      </c>
      <c r="N173" s="868" t="s">
        <v>2174</v>
      </c>
      <c r="O173" s="1118"/>
      <c r="P173" s="1119">
        <v>0.75</v>
      </c>
      <c r="Q173" s="884">
        <v>1</v>
      </c>
      <c r="R173" s="885"/>
      <c r="S173" s="843">
        <f t="shared" si="6"/>
        <v>2</v>
      </c>
      <c r="T173" s="843">
        <v>1</v>
      </c>
      <c r="U173" s="843">
        <v>0</v>
      </c>
      <c r="V173" s="843">
        <v>1</v>
      </c>
      <c r="W173" s="843">
        <v>0</v>
      </c>
      <c r="X173" s="843">
        <v>0</v>
      </c>
      <c r="Y173" s="843">
        <v>1</v>
      </c>
      <c r="Z173" s="843">
        <v>1</v>
      </c>
      <c r="AA173" s="256" t="str">
        <f t="shared" si="7"/>
        <v>00166.រឡូរុញថ្នាំ​ 11cm PL #DKS0166</v>
      </c>
      <c r="AB173" s="1145" t="str">
        <f t="shared" si="8"/>
        <v>00166.រឡូរុញថ្នាំ​ 11cm</v>
      </c>
    </row>
    <row r="174" spans="3:28" ht="24.95" customHeight="1">
      <c r="C174" s="843">
        <v>167</v>
      </c>
      <c r="D174" s="843"/>
      <c r="E174" s="843"/>
      <c r="F174" s="1116" t="s">
        <v>2645</v>
      </c>
      <c r="G174" s="1117" t="s">
        <v>2645</v>
      </c>
      <c r="H174" s="868" t="s">
        <v>2942</v>
      </c>
      <c r="I174" s="1118" t="s">
        <v>2942</v>
      </c>
      <c r="J174" s="870" t="s">
        <v>2939</v>
      </c>
      <c r="K174" s="1138" t="s">
        <v>2968</v>
      </c>
      <c r="L174" s="1138" t="s">
        <v>2976</v>
      </c>
      <c r="M174" s="870" t="s">
        <v>2307</v>
      </c>
      <c r="N174" s="868" t="s">
        <v>2174</v>
      </c>
      <c r="O174" s="1118"/>
      <c r="P174" s="1119">
        <v>0.85</v>
      </c>
      <c r="Q174" s="884">
        <v>1</v>
      </c>
      <c r="R174" s="885"/>
      <c r="S174" s="843">
        <f t="shared" si="6"/>
        <v>2</v>
      </c>
      <c r="T174" s="843">
        <v>1</v>
      </c>
      <c r="U174" s="843">
        <v>0</v>
      </c>
      <c r="V174" s="843">
        <v>1</v>
      </c>
      <c r="W174" s="843">
        <v>0</v>
      </c>
      <c r="X174" s="843">
        <v>0</v>
      </c>
      <c r="Y174" s="843">
        <v>1</v>
      </c>
      <c r="Z174" s="843">
        <v>1</v>
      </c>
      <c r="AA174" s="256" t="str">
        <f t="shared" si="7"/>
        <v>00167.រឡូរុញថ្នាំ​ 15cm PL #DKS0167</v>
      </c>
      <c r="AB174" s="1145" t="str">
        <f t="shared" si="8"/>
        <v>00167.រឡូរុញថ្នាំ​ 15cm</v>
      </c>
    </row>
    <row r="175" spans="3:28" ht="24.95" customHeight="1">
      <c r="C175" s="843">
        <v>168</v>
      </c>
      <c r="D175" s="843"/>
      <c r="E175" s="843"/>
      <c r="F175" s="1116" t="s">
        <v>2646</v>
      </c>
      <c r="G175" s="1117" t="s">
        <v>2646</v>
      </c>
      <c r="H175" s="868" t="s">
        <v>2943</v>
      </c>
      <c r="I175" s="1118" t="s">
        <v>2943</v>
      </c>
      <c r="J175" s="870" t="s">
        <v>2939</v>
      </c>
      <c r="K175" s="1138" t="s">
        <v>2968</v>
      </c>
      <c r="L175" s="1138" t="s">
        <v>2976</v>
      </c>
      <c r="M175" s="870" t="s">
        <v>2307</v>
      </c>
      <c r="N175" s="868" t="s">
        <v>2174</v>
      </c>
      <c r="O175" s="1118"/>
      <c r="P175" s="1119">
        <v>1.2</v>
      </c>
      <c r="Q175" s="884">
        <v>1.5</v>
      </c>
      <c r="R175" s="885"/>
      <c r="S175" s="843">
        <f t="shared" si="6"/>
        <v>2</v>
      </c>
      <c r="T175" s="843">
        <v>1</v>
      </c>
      <c r="U175" s="843">
        <v>0</v>
      </c>
      <c r="V175" s="843">
        <v>1</v>
      </c>
      <c r="W175" s="843">
        <v>0</v>
      </c>
      <c r="X175" s="843">
        <v>0</v>
      </c>
      <c r="Y175" s="843">
        <v>1</v>
      </c>
      <c r="Z175" s="843">
        <v>1</v>
      </c>
      <c r="AA175" s="256" t="str">
        <f t="shared" si="7"/>
        <v>00168.រឡូរុញថ្នាំ​ 23cm PL #DKS0168</v>
      </c>
      <c r="AB175" s="1145" t="str">
        <f t="shared" si="8"/>
        <v>00168.រឡូរុញថ្នាំ​ 23cm</v>
      </c>
    </row>
    <row r="176" spans="3:28" ht="24.95" customHeight="1">
      <c r="C176" s="843">
        <v>169</v>
      </c>
      <c r="D176" s="843"/>
      <c r="E176" s="843"/>
      <c r="F176" s="1116" t="s">
        <v>2648</v>
      </c>
      <c r="G176" s="1117" t="s">
        <v>2648</v>
      </c>
      <c r="H176" s="868" t="s">
        <v>2944</v>
      </c>
      <c r="I176" s="1118" t="s">
        <v>2944</v>
      </c>
      <c r="J176" s="870" t="s">
        <v>2939</v>
      </c>
      <c r="K176" s="1138" t="s">
        <v>2968</v>
      </c>
      <c r="L176" s="1138" t="s">
        <v>2976</v>
      </c>
      <c r="M176" s="870" t="s">
        <v>2307</v>
      </c>
      <c r="N176" s="868" t="s">
        <v>2174</v>
      </c>
      <c r="O176" s="1118"/>
      <c r="P176" s="1119">
        <v>0.5</v>
      </c>
      <c r="Q176" s="884">
        <v>0.65</v>
      </c>
      <c r="R176" s="885"/>
      <c r="S176" s="843">
        <f t="shared" si="6"/>
        <v>2</v>
      </c>
      <c r="T176" s="843">
        <v>1</v>
      </c>
      <c r="U176" s="843">
        <v>0</v>
      </c>
      <c r="V176" s="843">
        <v>1</v>
      </c>
      <c r="W176" s="843">
        <v>0</v>
      </c>
      <c r="X176" s="843">
        <v>0</v>
      </c>
      <c r="Y176" s="843">
        <v>1</v>
      </c>
      <c r="Z176" s="843">
        <v>1</v>
      </c>
      <c r="AA176" s="256" t="str">
        <f t="shared" si="7"/>
        <v>00169.រឡូរុញថ្នាំ​ 10cm PL #DKS0169</v>
      </c>
      <c r="AB176" s="1145" t="str">
        <f t="shared" si="8"/>
        <v>00169.រឡូរុញថ្នាំ​ 10cm</v>
      </c>
    </row>
    <row r="177" spans="3:28" ht="24.95" customHeight="1">
      <c r="C177" s="843">
        <v>170</v>
      </c>
      <c r="D177" s="843"/>
      <c r="E177" s="843"/>
      <c r="F177" s="1116" t="s">
        <v>2650</v>
      </c>
      <c r="G177" s="1117" t="s">
        <v>2650</v>
      </c>
      <c r="H177" s="868" t="s">
        <v>2945</v>
      </c>
      <c r="I177" s="1118" t="s">
        <v>2945</v>
      </c>
      <c r="J177" s="870" t="s">
        <v>2939</v>
      </c>
      <c r="K177" s="1138" t="s">
        <v>2968</v>
      </c>
      <c r="L177" s="1138" t="s">
        <v>2976</v>
      </c>
      <c r="M177" s="870" t="s">
        <v>2307</v>
      </c>
      <c r="N177" s="868" t="s">
        <v>2174</v>
      </c>
      <c r="O177" s="1118"/>
      <c r="P177" s="1119">
        <v>0.4</v>
      </c>
      <c r="Q177" s="884">
        <v>0.13</v>
      </c>
      <c r="R177" s="885"/>
      <c r="S177" s="843">
        <f t="shared" si="6"/>
        <v>2</v>
      </c>
      <c r="T177" s="843">
        <v>1</v>
      </c>
      <c r="U177" s="843">
        <v>0</v>
      </c>
      <c r="V177" s="843">
        <v>1</v>
      </c>
      <c r="W177" s="843">
        <v>0</v>
      </c>
      <c r="X177" s="843">
        <v>0</v>
      </c>
      <c r="Y177" s="843">
        <v>1</v>
      </c>
      <c r="Z177" s="843">
        <v>1</v>
      </c>
      <c r="AA177" s="256" t="str">
        <f t="shared" si="7"/>
        <v>00170.រឡូរុញថ្នាំ​ 6cm PL #DKS0170</v>
      </c>
      <c r="AB177" s="1145" t="str">
        <f t="shared" si="8"/>
        <v>00170.រឡូរុញថ្នាំ​ 6cm</v>
      </c>
    </row>
    <row r="178" spans="3:28" ht="24.95" customHeight="1">
      <c r="C178" s="843">
        <v>171</v>
      </c>
      <c r="D178" s="843"/>
      <c r="E178" s="843"/>
      <c r="F178" s="1116" t="s">
        <v>2652</v>
      </c>
      <c r="G178" s="1117" t="s">
        <v>2652</v>
      </c>
      <c r="H178" s="868" t="s">
        <v>2647</v>
      </c>
      <c r="I178" s="1118" t="s">
        <v>2647</v>
      </c>
      <c r="J178" s="870" t="s">
        <v>2935</v>
      </c>
      <c r="K178" s="1138" t="s">
        <v>2968</v>
      </c>
      <c r="L178" s="1138" t="s">
        <v>2976</v>
      </c>
      <c r="M178" s="870" t="s">
        <v>2266</v>
      </c>
      <c r="N178" s="868" t="s">
        <v>2174</v>
      </c>
      <c r="O178" s="1118"/>
      <c r="P178" s="1119">
        <v>0.96</v>
      </c>
      <c r="Q178" s="884">
        <v>1.5</v>
      </c>
      <c r="R178" s="885"/>
      <c r="S178" s="843">
        <f t="shared" si="6"/>
        <v>49</v>
      </c>
      <c r="T178" s="843">
        <v>12</v>
      </c>
      <c r="U178" s="843">
        <v>0</v>
      </c>
      <c r="V178" s="843">
        <v>1</v>
      </c>
      <c r="W178" s="843">
        <v>0</v>
      </c>
      <c r="X178" s="843">
        <v>0</v>
      </c>
      <c r="Y178" s="843">
        <v>1</v>
      </c>
      <c r="Z178" s="843">
        <v>1</v>
      </c>
      <c r="AA178" s="256" t="str">
        <f t="shared" si="7"/>
        <v>00171.ជក់លាបថ្នាំ 0.5'' PL #DKS0171</v>
      </c>
      <c r="AB178" s="1145" t="str">
        <f t="shared" si="8"/>
        <v>00171.ជក់លាបថ្នាំ 0.5''</v>
      </c>
    </row>
    <row r="179" spans="3:28" ht="24.95" customHeight="1">
      <c r="C179" s="843">
        <v>172</v>
      </c>
      <c r="D179" s="843"/>
      <c r="E179" s="843"/>
      <c r="F179" s="1116" t="s">
        <v>2654</v>
      </c>
      <c r="G179" s="1117" t="s">
        <v>2654</v>
      </c>
      <c r="H179" s="868" t="s">
        <v>2649</v>
      </c>
      <c r="I179" s="1118" t="s">
        <v>2649</v>
      </c>
      <c r="J179" s="870" t="s">
        <v>2935</v>
      </c>
      <c r="K179" s="1138" t="s">
        <v>2968</v>
      </c>
      <c r="L179" s="1138" t="s">
        <v>2976</v>
      </c>
      <c r="M179" s="870" t="s">
        <v>2266</v>
      </c>
      <c r="N179" s="868" t="s">
        <v>2174</v>
      </c>
      <c r="O179" s="1118"/>
      <c r="P179" s="1119">
        <v>1.2</v>
      </c>
      <c r="Q179" s="884">
        <v>3</v>
      </c>
      <c r="R179" s="885"/>
      <c r="S179" s="843">
        <f t="shared" si="6"/>
        <v>49</v>
      </c>
      <c r="T179" s="843">
        <v>12</v>
      </c>
      <c r="U179" s="843">
        <v>0</v>
      </c>
      <c r="V179" s="843">
        <v>1</v>
      </c>
      <c r="W179" s="843">
        <v>0</v>
      </c>
      <c r="X179" s="843">
        <v>0</v>
      </c>
      <c r="Y179" s="843">
        <v>1</v>
      </c>
      <c r="Z179" s="843">
        <v>1</v>
      </c>
      <c r="AA179" s="256" t="str">
        <f t="shared" si="7"/>
        <v>00172.ជក់លាបថ្នាំ 1" PL #DKS0172</v>
      </c>
      <c r="AB179" s="1145" t="str">
        <f t="shared" si="8"/>
        <v>00172.ជក់លាបថ្នាំ 1"</v>
      </c>
    </row>
    <row r="180" spans="3:28" ht="24.95" customHeight="1">
      <c r="C180" s="843">
        <v>173</v>
      </c>
      <c r="D180" s="843"/>
      <c r="E180" s="843"/>
      <c r="F180" s="1116" t="s">
        <v>2656</v>
      </c>
      <c r="G180" s="1117" t="s">
        <v>2656</v>
      </c>
      <c r="H180" s="868" t="s">
        <v>2651</v>
      </c>
      <c r="I180" s="1118" t="s">
        <v>2651</v>
      </c>
      <c r="J180" s="870" t="s">
        <v>2935</v>
      </c>
      <c r="K180" s="1138" t="s">
        <v>2968</v>
      </c>
      <c r="L180" s="1138" t="s">
        <v>2976</v>
      </c>
      <c r="M180" s="870" t="s">
        <v>2266</v>
      </c>
      <c r="N180" s="868" t="s">
        <v>2174</v>
      </c>
      <c r="O180" s="1118"/>
      <c r="P180" s="1119">
        <v>1.68</v>
      </c>
      <c r="Q180" s="884">
        <v>4.4399999999999995</v>
      </c>
      <c r="R180" s="885"/>
      <c r="S180" s="843">
        <f t="shared" si="6"/>
        <v>49</v>
      </c>
      <c r="T180" s="843">
        <v>12</v>
      </c>
      <c r="U180" s="843">
        <v>0</v>
      </c>
      <c r="V180" s="843">
        <v>1</v>
      </c>
      <c r="W180" s="843">
        <v>0</v>
      </c>
      <c r="X180" s="843">
        <v>0</v>
      </c>
      <c r="Y180" s="843">
        <v>1</v>
      </c>
      <c r="Z180" s="843">
        <v>1</v>
      </c>
      <c r="AA180" s="256" t="str">
        <f t="shared" si="7"/>
        <v>00173.ជក់លាបថ្នាំ 2" PL #DKS0173</v>
      </c>
      <c r="AB180" s="1145" t="str">
        <f t="shared" si="8"/>
        <v>00173.ជក់លាបថ្នាំ 2"</v>
      </c>
    </row>
    <row r="181" spans="3:28" ht="24.95" customHeight="1">
      <c r="C181" s="843">
        <v>174</v>
      </c>
      <c r="D181" s="843"/>
      <c r="E181" s="843"/>
      <c r="F181" s="1116" t="s">
        <v>2659</v>
      </c>
      <c r="G181" s="1117" t="s">
        <v>2659</v>
      </c>
      <c r="H181" s="868" t="s">
        <v>2653</v>
      </c>
      <c r="I181" s="1118" t="s">
        <v>2653</v>
      </c>
      <c r="J181" s="870" t="s">
        <v>2935</v>
      </c>
      <c r="K181" s="1138" t="s">
        <v>2968</v>
      </c>
      <c r="L181" s="1138" t="s">
        <v>2976</v>
      </c>
      <c r="M181" s="870" t="s">
        <v>2266</v>
      </c>
      <c r="N181" s="868" t="s">
        <v>2174</v>
      </c>
      <c r="O181" s="1118"/>
      <c r="P181" s="1119">
        <v>2.4</v>
      </c>
      <c r="Q181" s="884">
        <v>6</v>
      </c>
      <c r="R181" s="885"/>
      <c r="S181" s="843">
        <f t="shared" si="6"/>
        <v>49</v>
      </c>
      <c r="T181" s="843">
        <v>12</v>
      </c>
      <c r="U181" s="843">
        <v>0</v>
      </c>
      <c r="V181" s="843">
        <v>1</v>
      </c>
      <c r="W181" s="843">
        <v>0</v>
      </c>
      <c r="X181" s="843">
        <v>0</v>
      </c>
      <c r="Y181" s="843">
        <v>1</v>
      </c>
      <c r="Z181" s="843">
        <v>1</v>
      </c>
      <c r="AA181" s="256" t="str">
        <f t="shared" si="7"/>
        <v>00174.ជក់លាបថ្នាំ 3'' PL #DKS0174</v>
      </c>
      <c r="AB181" s="1145" t="str">
        <f t="shared" si="8"/>
        <v>00174.ជក់លាបថ្នាំ 3''</v>
      </c>
    </row>
    <row r="182" spans="3:28" ht="24.95" customHeight="1">
      <c r="C182" s="843">
        <v>175</v>
      </c>
      <c r="D182" s="843"/>
      <c r="E182" s="843"/>
      <c r="F182" s="1116" t="s">
        <v>2661</v>
      </c>
      <c r="G182" s="1117" t="s">
        <v>2661</v>
      </c>
      <c r="H182" s="868" t="s">
        <v>2655</v>
      </c>
      <c r="I182" s="1118" t="s">
        <v>2655</v>
      </c>
      <c r="J182" s="870" t="s">
        <v>2935</v>
      </c>
      <c r="K182" s="1138" t="s">
        <v>2968</v>
      </c>
      <c r="L182" s="1138" t="s">
        <v>2976</v>
      </c>
      <c r="M182" s="870" t="s">
        <v>2266</v>
      </c>
      <c r="N182" s="868" t="s">
        <v>2174</v>
      </c>
      <c r="O182" s="1118"/>
      <c r="P182" s="1119">
        <v>2.88</v>
      </c>
      <c r="Q182" s="884">
        <v>7.8</v>
      </c>
      <c r="R182" s="885"/>
      <c r="S182" s="843">
        <f t="shared" si="6"/>
        <v>49</v>
      </c>
      <c r="T182" s="843">
        <v>12</v>
      </c>
      <c r="U182" s="843">
        <v>0</v>
      </c>
      <c r="V182" s="843">
        <v>1</v>
      </c>
      <c r="W182" s="843">
        <v>0</v>
      </c>
      <c r="X182" s="843">
        <v>0</v>
      </c>
      <c r="Y182" s="843">
        <v>1</v>
      </c>
      <c r="Z182" s="843">
        <v>1</v>
      </c>
      <c r="AA182" s="256" t="str">
        <f t="shared" si="7"/>
        <v>00175.ជក់លាបថ្នាំ 4'' PL #DKS0175</v>
      </c>
      <c r="AB182" s="1145" t="str">
        <f t="shared" si="8"/>
        <v>00175.ជក់លាបថ្នាំ 4''</v>
      </c>
    </row>
    <row r="183" spans="3:28" ht="24.95" customHeight="1">
      <c r="C183" s="843">
        <v>176</v>
      </c>
      <c r="D183" s="843"/>
      <c r="E183" s="843"/>
      <c r="F183" s="1116" t="s">
        <v>2663</v>
      </c>
      <c r="G183" s="1117" t="s">
        <v>2663</v>
      </c>
      <c r="H183" s="868" t="s">
        <v>2657</v>
      </c>
      <c r="I183" s="1118" t="s">
        <v>2657</v>
      </c>
      <c r="J183" s="870" t="s">
        <v>2936</v>
      </c>
      <c r="K183" s="1138" t="s">
        <v>2969</v>
      </c>
      <c r="L183" s="1138" t="s">
        <v>2972</v>
      </c>
      <c r="M183" s="870" t="s">
        <v>2757</v>
      </c>
      <c r="N183" s="868" t="s">
        <v>2658</v>
      </c>
      <c r="O183" s="1118"/>
      <c r="P183" s="1119">
        <v>85</v>
      </c>
      <c r="Q183" s="884">
        <v>90</v>
      </c>
      <c r="R183" s="885"/>
      <c r="S183" s="843">
        <f t="shared" si="6"/>
        <v>51</v>
      </c>
      <c r="T183" s="843">
        <v>1000</v>
      </c>
      <c r="U183" s="843">
        <v>0</v>
      </c>
      <c r="V183" s="843">
        <v>1</v>
      </c>
      <c r="W183" s="843">
        <v>0</v>
      </c>
      <c r="X183" s="843">
        <v>0</v>
      </c>
      <c r="Y183" s="843">
        <v>1</v>
      </c>
      <c r="Z183" s="843">
        <v>1</v>
      </c>
      <c r="AA183" s="256" t="str">
        <f t="shared" si="7"/>
        <v>00176.ស៊ីម៉ង​ V CHIP MONG #DKS0176</v>
      </c>
      <c r="AB183" s="1145" t="str">
        <f t="shared" si="8"/>
        <v>00176.ស៊ីម៉ង​ V</v>
      </c>
    </row>
    <row r="184" spans="3:28" ht="24.95" customHeight="1">
      <c r="C184" s="843">
        <v>177</v>
      </c>
      <c r="D184" s="843"/>
      <c r="E184" s="843"/>
      <c r="F184" s="1116" t="s">
        <v>2665</v>
      </c>
      <c r="G184" s="1117" t="s">
        <v>2665</v>
      </c>
      <c r="H184" s="868" t="s">
        <v>2660</v>
      </c>
      <c r="I184" s="1118" t="s">
        <v>2660</v>
      </c>
      <c r="J184" s="870" t="s">
        <v>2936</v>
      </c>
      <c r="K184" s="1138" t="s">
        <v>2969</v>
      </c>
      <c r="L184" s="1138" t="s">
        <v>2972</v>
      </c>
      <c r="M184" s="870" t="s">
        <v>2757</v>
      </c>
      <c r="N184" s="868" t="s">
        <v>2658</v>
      </c>
      <c r="O184" s="1118"/>
      <c r="P184" s="1119">
        <v>83</v>
      </c>
      <c r="Q184" s="884">
        <v>88</v>
      </c>
      <c r="R184" s="885"/>
      <c r="S184" s="843">
        <f t="shared" si="6"/>
        <v>51</v>
      </c>
      <c r="T184" s="843">
        <v>1000</v>
      </c>
      <c r="U184" s="843">
        <v>0</v>
      </c>
      <c r="V184" s="843">
        <v>1</v>
      </c>
      <c r="W184" s="843">
        <v>0</v>
      </c>
      <c r="X184" s="843">
        <v>0</v>
      </c>
      <c r="Y184" s="843">
        <v>1</v>
      </c>
      <c r="Z184" s="843">
        <v>1</v>
      </c>
      <c r="AA184" s="256" t="str">
        <f t="shared" si="7"/>
        <v>00177.ស៊ីម៉ង ខន CHIP MONG #DKS0177</v>
      </c>
      <c r="AB184" s="1145" t="str">
        <f t="shared" si="8"/>
        <v>00177.ស៊ីម៉ង ខន</v>
      </c>
    </row>
    <row r="185" spans="3:28" ht="24.95" customHeight="1">
      <c r="C185" s="843">
        <v>178</v>
      </c>
      <c r="D185" s="843"/>
      <c r="E185" s="843"/>
      <c r="F185" s="1116" t="s">
        <v>2668</v>
      </c>
      <c r="G185" s="1117" t="s">
        <v>2668</v>
      </c>
      <c r="H185" s="868" t="s">
        <v>2662</v>
      </c>
      <c r="I185" s="1118" t="s">
        <v>2662</v>
      </c>
      <c r="J185" s="870" t="s">
        <v>2936</v>
      </c>
      <c r="K185" s="1138" t="s">
        <v>2969</v>
      </c>
      <c r="L185" s="1138" t="s">
        <v>2972</v>
      </c>
      <c r="M185" s="870" t="s">
        <v>2757</v>
      </c>
      <c r="N185" s="868" t="s">
        <v>2658</v>
      </c>
      <c r="O185" s="1118"/>
      <c r="P185" s="1119">
        <v>95</v>
      </c>
      <c r="Q185" s="884">
        <v>100</v>
      </c>
      <c r="R185" s="885"/>
      <c r="S185" s="843">
        <f t="shared" si="6"/>
        <v>51</v>
      </c>
      <c r="T185" s="843">
        <v>1000</v>
      </c>
      <c r="U185" s="843">
        <v>0</v>
      </c>
      <c r="V185" s="843">
        <v>1</v>
      </c>
      <c r="W185" s="843">
        <v>0</v>
      </c>
      <c r="X185" s="843">
        <v>0</v>
      </c>
      <c r="Y185" s="843">
        <v>1</v>
      </c>
      <c r="Z185" s="843">
        <v>1</v>
      </c>
      <c r="AA185" s="256" t="str">
        <f t="shared" si="7"/>
        <v>00178.ស៊ីម៉ង អូដ្ធ CHIP MONG #DKS0178</v>
      </c>
      <c r="AB185" s="1145" t="str">
        <f t="shared" si="8"/>
        <v>00178.ស៊ីម៉ង អូដ្ធ</v>
      </c>
    </row>
    <row r="186" spans="3:28" ht="24.95" customHeight="1">
      <c r="C186" s="843">
        <v>179</v>
      </c>
      <c r="D186" s="843"/>
      <c r="E186" s="843"/>
      <c r="F186" s="1116" t="s">
        <v>2670</v>
      </c>
      <c r="G186" s="1117" t="s">
        <v>2670</v>
      </c>
      <c r="H186" s="868" t="s">
        <v>2664</v>
      </c>
      <c r="I186" s="1118" t="s">
        <v>2664</v>
      </c>
      <c r="J186" s="870" t="s">
        <v>2936</v>
      </c>
      <c r="K186" s="1138" t="s">
        <v>2969</v>
      </c>
      <c r="L186" s="1138" t="s">
        <v>2972</v>
      </c>
      <c r="M186" s="870" t="s">
        <v>2757</v>
      </c>
      <c r="N186" s="868" t="s">
        <v>2658</v>
      </c>
      <c r="O186" s="1118"/>
      <c r="P186" s="1119">
        <v>95</v>
      </c>
      <c r="Q186" s="884">
        <v>100</v>
      </c>
      <c r="R186" s="885"/>
      <c r="S186" s="843">
        <f t="shared" si="6"/>
        <v>51</v>
      </c>
      <c r="T186" s="843">
        <v>1000</v>
      </c>
      <c r="U186" s="843">
        <v>0</v>
      </c>
      <c r="V186" s="843">
        <v>1</v>
      </c>
      <c r="W186" s="843">
        <v>0</v>
      </c>
      <c r="X186" s="843">
        <v>0</v>
      </c>
      <c r="Y186" s="843">
        <v>1</v>
      </c>
      <c r="Z186" s="843">
        <v>1</v>
      </c>
      <c r="AA186" s="256" t="str">
        <f t="shared" si="7"/>
        <v>00179.ស៊ីម៉ង K CHIP MONG #DKS0179</v>
      </c>
      <c r="AB186" s="1145" t="str">
        <f t="shared" si="8"/>
        <v>00179.ស៊ីម៉ង K</v>
      </c>
    </row>
    <row r="187" spans="3:28" ht="24.95" customHeight="1">
      <c r="C187" s="843">
        <v>180</v>
      </c>
      <c r="D187" s="843"/>
      <c r="E187" s="843"/>
      <c r="F187" s="1116" t="s">
        <v>2672</v>
      </c>
      <c r="G187" s="1117" t="s">
        <v>2672</v>
      </c>
      <c r="H187" s="868" t="s">
        <v>2666</v>
      </c>
      <c r="I187" s="1118" t="s">
        <v>2666</v>
      </c>
      <c r="J187" s="870" t="s">
        <v>2937</v>
      </c>
      <c r="K187" s="1138" t="s">
        <v>2970</v>
      </c>
      <c r="L187" s="1138" t="s">
        <v>2972</v>
      </c>
      <c r="M187" s="870" t="s">
        <v>2759</v>
      </c>
      <c r="N187" s="868" t="s">
        <v>2658</v>
      </c>
      <c r="O187" s="1118"/>
      <c r="P187" s="1119">
        <v>0.5</v>
      </c>
      <c r="Q187" s="884">
        <v>1</v>
      </c>
      <c r="R187" s="885"/>
      <c r="S187" s="843">
        <f t="shared" si="6"/>
        <v>54</v>
      </c>
      <c r="T187" s="843">
        <v>12</v>
      </c>
      <c r="U187" s="843">
        <v>0</v>
      </c>
      <c r="V187" s="843">
        <v>1</v>
      </c>
      <c r="W187" s="843">
        <v>0</v>
      </c>
      <c r="X187" s="843">
        <v>0</v>
      </c>
      <c r="Y187" s="843">
        <v>1</v>
      </c>
      <c r="Z187" s="843">
        <v>1</v>
      </c>
      <c r="AA187" s="256" t="str">
        <f t="shared" si="7"/>
        <v>00180.ដែកសរសៃ​ 4C CHIP MONG #DKS0180</v>
      </c>
      <c r="AB187" s="1145" t="str">
        <f t="shared" si="8"/>
        <v>00180.ដែកសរសៃ​ 4C</v>
      </c>
    </row>
    <row r="188" spans="3:28" ht="24.95" customHeight="1">
      <c r="C188" s="843">
        <v>181</v>
      </c>
      <c r="D188" s="843"/>
      <c r="E188" s="843"/>
      <c r="F188" s="1116" t="s">
        <v>2674</v>
      </c>
      <c r="G188" s="1117" t="s">
        <v>2674</v>
      </c>
      <c r="H188" s="868" t="s">
        <v>2669</v>
      </c>
      <c r="I188" s="1118" t="s">
        <v>2669</v>
      </c>
      <c r="J188" s="870" t="s">
        <v>2937</v>
      </c>
      <c r="K188" s="1138" t="s">
        <v>2970</v>
      </c>
      <c r="L188" s="1138" t="s">
        <v>2972</v>
      </c>
      <c r="M188" s="870" t="s">
        <v>2759</v>
      </c>
      <c r="N188" s="868" t="s">
        <v>2658</v>
      </c>
      <c r="O188" s="1118"/>
      <c r="P188" s="1119">
        <v>1</v>
      </c>
      <c r="Q188" s="884">
        <v>1.5</v>
      </c>
      <c r="R188" s="885"/>
      <c r="S188" s="843">
        <f t="shared" si="6"/>
        <v>54</v>
      </c>
      <c r="T188" s="843">
        <v>12</v>
      </c>
      <c r="U188" s="843">
        <v>0</v>
      </c>
      <c r="V188" s="843">
        <v>1</v>
      </c>
      <c r="W188" s="843">
        <v>0</v>
      </c>
      <c r="X188" s="843">
        <v>0</v>
      </c>
      <c r="Y188" s="843">
        <v>1</v>
      </c>
      <c r="Z188" s="843">
        <v>1</v>
      </c>
      <c r="AA188" s="256" t="str">
        <f t="shared" si="7"/>
        <v>00181.ដែកសរសៃ​ 6L CHIP MONG #DKS0181</v>
      </c>
      <c r="AB188" s="1145" t="str">
        <f t="shared" si="8"/>
        <v>00181.ដែកសរសៃ​ 6L</v>
      </c>
    </row>
    <row r="189" spans="3:28" ht="24.95" customHeight="1">
      <c r="C189" s="843">
        <v>182</v>
      </c>
      <c r="D189" s="843"/>
      <c r="E189" s="843"/>
      <c r="F189" s="1116" t="s">
        <v>2676</v>
      </c>
      <c r="G189" s="1117" t="s">
        <v>2676</v>
      </c>
      <c r="H189" s="868" t="s">
        <v>2671</v>
      </c>
      <c r="I189" s="1118" t="s">
        <v>2671</v>
      </c>
      <c r="J189" s="870" t="s">
        <v>2937</v>
      </c>
      <c r="K189" s="1138" t="s">
        <v>2970</v>
      </c>
      <c r="L189" s="1138" t="s">
        <v>2972</v>
      </c>
      <c r="M189" s="870" t="s">
        <v>2759</v>
      </c>
      <c r="N189" s="868" t="s">
        <v>2658</v>
      </c>
      <c r="O189" s="1118"/>
      <c r="P189" s="1119">
        <v>2</v>
      </c>
      <c r="Q189" s="884">
        <v>2.5</v>
      </c>
      <c r="R189" s="885"/>
      <c r="S189" s="843">
        <f t="shared" si="6"/>
        <v>54</v>
      </c>
      <c r="T189" s="843">
        <v>12</v>
      </c>
      <c r="U189" s="843">
        <v>0</v>
      </c>
      <c r="V189" s="843">
        <v>1</v>
      </c>
      <c r="W189" s="843">
        <v>0</v>
      </c>
      <c r="X189" s="843">
        <v>0</v>
      </c>
      <c r="Y189" s="843">
        <v>1</v>
      </c>
      <c r="Z189" s="843">
        <v>1</v>
      </c>
      <c r="AA189" s="256" t="str">
        <f t="shared" si="7"/>
        <v>00182.ដែកសរសៃ​ 8L CHIP MONG #DKS0182</v>
      </c>
      <c r="AB189" s="1145" t="str">
        <f t="shared" si="8"/>
        <v>00182.ដែកសរសៃ​ 8L</v>
      </c>
    </row>
    <row r="190" spans="3:28" ht="24.95" customHeight="1">
      <c r="C190" s="843">
        <v>183</v>
      </c>
      <c r="D190" s="843"/>
      <c r="E190" s="843"/>
      <c r="F190" s="1116" t="s">
        <v>2678</v>
      </c>
      <c r="G190" s="1117" t="s">
        <v>2678</v>
      </c>
      <c r="H190" s="868" t="s">
        <v>2673</v>
      </c>
      <c r="I190" s="1118" t="s">
        <v>2673</v>
      </c>
      <c r="J190" s="870" t="s">
        <v>2937</v>
      </c>
      <c r="K190" s="1138" t="s">
        <v>2970</v>
      </c>
      <c r="L190" s="1138" t="s">
        <v>2972</v>
      </c>
      <c r="M190" s="870" t="s">
        <v>2759</v>
      </c>
      <c r="N190" s="868" t="s">
        <v>2658</v>
      </c>
      <c r="O190" s="1118"/>
      <c r="P190" s="1119">
        <v>4</v>
      </c>
      <c r="Q190" s="884">
        <v>4.5</v>
      </c>
      <c r="R190" s="885"/>
      <c r="S190" s="843">
        <f t="shared" si="6"/>
        <v>54</v>
      </c>
      <c r="T190" s="843">
        <v>12</v>
      </c>
      <c r="U190" s="843">
        <v>0</v>
      </c>
      <c r="V190" s="843">
        <v>1</v>
      </c>
      <c r="W190" s="843">
        <v>0</v>
      </c>
      <c r="X190" s="843">
        <v>0</v>
      </c>
      <c r="Y190" s="843">
        <v>1</v>
      </c>
      <c r="Z190" s="843">
        <v>1</v>
      </c>
      <c r="AA190" s="256" t="str">
        <f t="shared" si="7"/>
        <v>00183.ដែកសរសៃ​ 10L CHIP MONG #DKS0183</v>
      </c>
      <c r="AB190" s="1145" t="str">
        <f t="shared" si="8"/>
        <v>00183.ដែកសរសៃ​ 10L</v>
      </c>
    </row>
    <row r="191" spans="3:28" ht="24.95" customHeight="1">
      <c r="C191" s="843">
        <v>184</v>
      </c>
      <c r="D191" s="843"/>
      <c r="E191" s="843"/>
      <c r="F191" s="1116" t="s">
        <v>2680</v>
      </c>
      <c r="G191" s="1117" t="s">
        <v>2680</v>
      </c>
      <c r="H191" s="868" t="s">
        <v>2675</v>
      </c>
      <c r="I191" s="1118" t="s">
        <v>2675</v>
      </c>
      <c r="J191" s="870" t="s">
        <v>2937</v>
      </c>
      <c r="K191" s="1138" t="s">
        <v>2970</v>
      </c>
      <c r="L191" s="1138" t="s">
        <v>2972</v>
      </c>
      <c r="M191" s="870" t="s">
        <v>2759</v>
      </c>
      <c r="N191" s="868" t="s">
        <v>2658</v>
      </c>
      <c r="O191" s="1118"/>
      <c r="P191" s="1119">
        <v>6</v>
      </c>
      <c r="Q191" s="884">
        <v>6.5</v>
      </c>
      <c r="R191" s="885"/>
      <c r="S191" s="843">
        <f t="shared" si="6"/>
        <v>54</v>
      </c>
      <c r="T191" s="843">
        <v>12</v>
      </c>
      <c r="U191" s="843">
        <v>0</v>
      </c>
      <c r="V191" s="843">
        <v>1</v>
      </c>
      <c r="W191" s="843">
        <v>0</v>
      </c>
      <c r="X191" s="843">
        <v>0</v>
      </c>
      <c r="Y191" s="843">
        <v>1</v>
      </c>
      <c r="Z191" s="843">
        <v>1</v>
      </c>
      <c r="AA191" s="256" t="str">
        <f t="shared" si="7"/>
        <v>00184.ដែកសរសៃ​ 12L CHIP MONG #DKS0184</v>
      </c>
      <c r="AB191" s="1145" t="str">
        <f t="shared" si="8"/>
        <v>00184.ដែកសរសៃ​ 12L</v>
      </c>
    </row>
    <row r="192" spans="3:28" ht="24.95" customHeight="1">
      <c r="C192" s="843">
        <v>185</v>
      </c>
      <c r="D192" s="843"/>
      <c r="E192" s="843"/>
      <c r="F192" s="1116" t="s">
        <v>2682</v>
      </c>
      <c r="G192" s="1117" t="s">
        <v>2682</v>
      </c>
      <c r="H192" s="868" t="s">
        <v>2677</v>
      </c>
      <c r="I192" s="1118" t="s">
        <v>2677</v>
      </c>
      <c r="J192" s="870" t="s">
        <v>2937</v>
      </c>
      <c r="K192" s="1138" t="s">
        <v>2970</v>
      </c>
      <c r="L192" s="1138" t="s">
        <v>2972</v>
      </c>
      <c r="M192" s="870" t="s">
        <v>2759</v>
      </c>
      <c r="N192" s="868" t="s">
        <v>2658</v>
      </c>
      <c r="O192" s="1118"/>
      <c r="P192" s="1119">
        <v>8</v>
      </c>
      <c r="Q192" s="884">
        <v>8.5</v>
      </c>
      <c r="R192" s="885"/>
      <c r="S192" s="843">
        <f t="shared" si="6"/>
        <v>54</v>
      </c>
      <c r="T192" s="843">
        <v>12</v>
      </c>
      <c r="U192" s="843">
        <v>0</v>
      </c>
      <c r="V192" s="843">
        <v>1</v>
      </c>
      <c r="W192" s="843">
        <v>0</v>
      </c>
      <c r="X192" s="843">
        <v>0</v>
      </c>
      <c r="Y192" s="843">
        <v>1</v>
      </c>
      <c r="Z192" s="843">
        <v>1</v>
      </c>
      <c r="AA192" s="256" t="str">
        <f t="shared" si="7"/>
        <v>00185.ដែកសរសៃ​ 14L CHIP MONG #DKS0185</v>
      </c>
      <c r="AB192" s="1145" t="str">
        <f t="shared" si="8"/>
        <v>00185.ដែកសរសៃ​ 14L</v>
      </c>
    </row>
    <row r="193" spans="3:28" ht="24.95" customHeight="1">
      <c r="C193" s="843">
        <v>186</v>
      </c>
      <c r="D193" s="843"/>
      <c r="E193" s="843"/>
      <c r="F193" s="1116" t="s">
        <v>2684</v>
      </c>
      <c r="G193" s="1117" t="s">
        <v>2684</v>
      </c>
      <c r="H193" s="868" t="s">
        <v>2679</v>
      </c>
      <c r="I193" s="1118" t="s">
        <v>2679</v>
      </c>
      <c r="J193" s="870" t="s">
        <v>2937</v>
      </c>
      <c r="K193" s="1138" t="s">
        <v>2970</v>
      </c>
      <c r="L193" s="1138" t="s">
        <v>2972</v>
      </c>
      <c r="M193" s="870" t="s">
        <v>2759</v>
      </c>
      <c r="N193" s="868" t="s">
        <v>2658</v>
      </c>
      <c r="O193" s="1118"/>
      <c r="P193" s="1119">
        <v>12</v>
      </c>
      <c r="Q193" s="884">
        <v>12.5</v>
      </c>
      <c r="R193" s="885"/>
      <c r="S193" s="843">
        <f t="shared" si="6"/>
        <v>54</v>
      </c>
      <c r="T193" s="843">
        <v>12</v>
      </c>
      <c r="U193" s="843">
        <v>0</v>
      </c>
      <c r="V193" s="843">
        <v>1</v>
      </c>
      <c r="W193" s="843">
        <v>0</v>
      </c>
      <c r="X193" s="843">
        <v>0</v>
      </c>
      <c r="Y193" s="843">
        <v>1</v>
      </c>
      <c r="Z193" s="843">
        <v>1</v>
      </c>
      <c r="AA193" s="256" t="str">
        <f t="shared" si="7"/>
        <v>00186.ដែកសរសៃ​ 16L CHIP MONG #DKS0186</v>
      </c>
      <c r="AB193" s="1145" t="str">
        <f t="shared" si="8"/>
        <v>00186.ដែកសរសៃ​ 16L</v>
      </c>
    </row>
    <row r="194" spans="3:28" ht="24.95" customHeight="1">
      <c r="C194" s="843">
        <v>187</v>
      </c>
      <c r="D194" s="843"/>
      <c r="E194" s="843"/>
      <c r="F194" s="1116" t="s">
        <v>2686</v>
      </c>
      <c r="G194" s="1117" t="s">
        <v>2686</v>
      </c>
      <c r="H194" s="868" t="s">
        <v>2681</v>
      </c>
      <c r="I194" s="1118" t="s">
        <v>2681</v>
      </c>
      <c r="J194" s="870" t="s">
        <v>2938</v>
      </c>
      <c r="K194" s="1138" t="s">
        <v>2971</v>
      </c>
      <c r="L194" s="1138" t="s">
        <v>2972</v>
      </c>
      <c r="M194" s="870" t="s">
        <v>2761</v>
      </c>
      <c r="N194" s="868" t="s">
        <v>2658</v>
      </c>
      <c r="O194" s="1118"/>
      <c r="P194" s="1119">
        <v>3.37</v>
      </c>
      <c r="Q194" s="884">
        <v>3.65</v>
      </c>
      <c r="R194" s="885"/>
      <c r="S194" s="843">
        <f t="shared" si="6"/>
        <v>53</v>
      </c>
      <c r="T194" s="843">
        <v>4</v>
      </c>
      <c r="U194" s="843">
        <v>0</v>
      </c>
      <c r="V194" s="843">
        <v>1</v>
      </c>
      <c r="W194" s="843">
        <v>0</v>
      </c>
      <c r="X194" s="843">
        <v>0</v>
      </c>
      <c r="Y194" s="843">
        <v>1</v>
      </c>
      <c r="Z194" s="843">
        <v>1</v>
      </c>
      <c r="AA194" s="256" t="str">
        <f t="shared" si="7"/>
        <v>00187.ដែកជ្រុង 25*25(1.2) CHIP MONG #DKS0187</v>
      </c>
      <c r="AB194" s="1145" t="str">
        <f t="shared" si="8"/>
        <v>00187.ដែកជ្រុង 25*25(1.2)</v>
      </c>
    </row>
    <row r="195" spans="3:28" ht="24.95" customHeight="1">
      <c r="C195" s="843">
        <v>188</v>
      </c>
      <c r="D195" s="843"/>
      <c r="E195" s="843"/>
      <c r="F195" s="1116" t="s">
        <v>2688</v>
      </c>
      <c r="G195" s="1117" t="s">
        <v>2688</v>
      </c>
      <c r="H195" s="868" t="s">
        <v>2683</v>
      </c>
      <c r="I195" s="1118" t="s">
        <v>2683</v>
      </c>
      <c r="J195" s="870" t="s">
        <v>2938</v>
      </c>
      <c r="K195" s="1138" t="s">
        <v>2971</v>
      </c>
      <c r="L195" s="1138" t="s">
        <v>2972</v>
      </c>
      <c r="M195" s="870" t="s">
        <v>2761</v>
      </c>
      <c r="N195" s="868" t="s">
        <v>2658</v>
      </c>
      <c r="O195" s="1118"/>
      <c r="P195" s="1119">
        <v>3.9</v>
      </c>
      <c r="Q195" s="884">
        <v>4.4000000000000004</v>
      </c>
      <c r="R195" s="885"/>
      <c r="S195" s="843">
        <f t="shared" si="6"/>
        <v>53</v>
      </c>
      <c r="T195" s="843">
        <v>4</v>
      </c>
      <c r="U195" s="843">
        <v>0</v>
      </c>
      <c r="V195" s="843">
        <v>1</v>
      </c>
      <c r="W195" s="843">
        <v>0</v>
      </c>
      <c r="X195" s="843">
        <v>0</v>
      </c>
      <c r="Y195" s="843">
        <v>1</v>
      </c>
      <c r="Z195" s="843">
        <v>1</v>
      </c>
      <c r="AA195" s="256" t="str">
        <f t="shared" si="7"/>
        <v>00188.ដែកជ្រុង25*25(1.5) CHIP MONG #DKS0188</v>
      </c>
      <c r="AB195" s="1145" t="str">
        <f t="shared" si="8"/>
        <v>00188.ដែកជ្រុង25*25(1.5)</v>
      </c>
    </row>
    <row r="196" spans="3:28" ht="24.95" customHeight="1">
      <c r="C196" s="843">
        <v>189</v>
      </c>
      <c r="D196" s="843"/>
      <c r="E196" s="843"/>
      <c r="F196" s="1116" t="s">
        <v>2690</v>
      </c>
      <c r="G196" s="1117" t="s">
        <v>2690</v>
      </c>
      <c r="H196" s="868" t="s">
        <v>2685</v>
      </c>
      <c r="I196" s="1118" t="s">
        <v>2685</v>
      </c>
      <c r="J196" s="870" t="s">
        <v>2938</v>
      </c>
      <c r="K196" s="1138" t="s">
        <v>2971</v>
      </c>
      <c r="L196" s="1138" t="s">
        <v>2972</v>
      </c>
      <c r="M196" s="870" t="s">
        <v>2761</v>
      </c>
      <c r="N196" s="868" t="s">
        <v>2658</v>
      </c>
      <c r="O196" s="1118"/>
      <c r="P196" s="1119">
        <v>4.09</v>
      </c>
      <c r="Q196" s="884">
        <v>4.59</v>
      </c>
      <c r="R196" s="885"/>
      <c r="S196" s="843">
        <f t="shared" si="6"/>
        <v>53</v>
      </c>
      <c r="T196" s="843">
        <v>4</v>
      </c>
      <c r="U196" s="843">
        <v>0</v>
      </c>
      <c r="V196" s="843">
        <v>1</v>
      </c>
      <c r="W196" s="843">
        <v>0</v>
      </c>
      <c r="X196" s="843">
        <v>0</v>
      </c>
      <c r="Y196" s="843">
        <v>1</v>
      </c>
      <c r="Z196" s="843">
        <v>1</v>
      </c>
      <c r="AA196" s="256" t="str">
        <f t="shared" si="7"/>
        <v>00189.ដែកជ្រុង 30*30(1.2) CHIP MONG #DKS0189</v>
      </c>
      <c r="AB196" s="1145" t="str">
        <f t="shared" si="8"/>
        <v>00189.ដែកជ្រុង 30*30(1.2)</v>
      </c>
    </row>
    <row r="197" spans="3:28" ht="24.95" customHeight="1">
      <c r="C197" s="843">
        <v>190</v>
      </c>
      <c r="D197" s="843"/>
      <c r="E197" s="843"/>
      <c r="F197" s="1116" t="s">
        <v>2692</v>
      </c>
      <c r="G197" s="1117" t="s">
        <v>2692</v>
      </c>
      <c r="H197" s="868" t="s">
        <v>2687</v>
      </c>
      <c r="I197" s="1118" t="s">
        <v>2687</v>
      </c>
      <c r="J197" s="870" t="s">
        <v>2938</v>
      </c>
      <c r="K197" s="1138" t="s">
        <v>2971</v>
      </c>
      <c r="L197" s="1138" t="s">
        <v>2972</v>
      </c>
      <c r="M197" s="870" t="s">
        <v>2761</v>
      </c>
      <c r="N197" s="868" t="s">
        <v>2658</v>
      </c>
      <c r="O197" s="1118"/>
      <c r="P197" s="1119">
        <v>4.7300000000000004</v>
      </c>
      <c r="Q197" s="884">
        <v>5.2</v>
      </c>
      <c r="R197" s="885"/>
      <c r="S197" s="843">
        <f t="shared" si="6"/>
        <v>53</v>
      </c>
      <c r="T197" s="843">
        <v>4</v>
      </c>
      <c r="U197" s="843">
        <v>0</v>
      </c>
      <c r="V197" s="843">
        <v>1</v>
      </c>
      <c r="W197" s="843">
        <v>0</v>
      </c>
      <c r="X197" s="843">
        <v>0</v>
      </c>
      <c r="Y197" s="843">
        <v>1</v>
      </c>
      <c r="Z197" s="843">
        <v>1</v>
      </c>
      <c r="AA197" s="256" t="str">
        <f t="shared" si="7"/>
        <v>00190.ដែកជ្រុង 30*30(1.5) CHIP MONG #DKS0190</v>
      </c>
      <c r="AB197" s="1145" t="str">
        <f t="shared" si="8"/>
        <v>00190.ដែកជ្រុង 30*30(1.5)</v>
      </c>
    </row>
    <row r="198" spans="3:28" ht="24.95" customHeight="1">
      <c r="C198" s="843">
        <v>191</v>
      </c>
      <c r="D198" s="843"/>
      <c r="E198" s="843"/>
      <c r="F198" s="1116" t="s">
        <v>2694</v>
      </c>
      <c r="G198" s="1117" t="s">
        <v>2694</v>
      </c>
      <c r="H198" s="868" t="s">
        <v>2689</v>
      </c>
      <c r="I198" s="1118" t="s">
        <v>2689</v>
      </c>
      <c r="J198" s="870" t="s">
        <v>2938</v>
      </c>
      <c r="K198" s="1138" t="s">
        <v>2971</v>
      </c>
      <c r="L198" s="1138" t="s">
        <v>2972</v>
      </c>
      <c r="M198" s="870" t="s">
        <v>2761</v>
      </c>
      <c r="N198" s="868" t="s">
        <v>2658</v>
      </c>
      <c r="O198" s="1118"/>
      <c r="P198" s="1119">
        <v>4.92</v>
      </c>
      <c r="Q198" s="884">
        <v>5.4</v>
      </c>
      <c r="R198" s="885"/>
      <c r="S198" s="843">
        <f t="shared" si="6"/>
        <v>53</v>
      </c>
      <c r="T198" s="843">
        <v>4</v>
      </c>
      <c r="U198" s="843">
        <v>0</v>
      </c>
      <c r="V198" s="843">
        <v>1</v>
      </c>
      <c r="W198" s="843">
        <v>0</v>
      </c>
      <c r="X198" s="843">
        <v>0</v>
      </c>
      <c r="Y198" s="843">
        <v>1</v>
      </c>
      <c r="Z198" s="843">
        <v>1</v>
      </c>
      <c r="AA198" s="256" t="str">
        <f t="shared" si="7"/>
        <v>00191.ដែកជ្រុង 40*40(1.2) CHIP MONG #DKS0191</v>
      </c>
      <c r="AB198" s="1145" t="str">
        <f t="shared" si="8"/>
        <v>00191.ដែកជ្រុង 40*40(1.2)</v>
      </c>
    </row>
    <row r="199" spans="3:28" ht="24.95" customHeight="1">
      <c r="C199" s="843">
        <v>192</v>
      </c>
      <c r="D199" s="843"/>
      <c r="E199" s="843"/>
      <c r="F199" s="1116" t="s">
        <v>2696</v>
      </c>
      <c r="G199" s="1117" t="s">
        <v>2696</v>
      </c>
      <c r="H199" s="868" t="s">
        <v>2691</v>
      </c>
      <c r="I199" s="1118" t="s">
        <v>2691</v>
      </c>
      <c r="J199" s="870" t="s">
        <v>2938</v>
      </c>
      <c r="K199" s="1138" t="s">
        <v>2971</v>
      </c>
      <c r="L199" s="1138" t="s">
        <v>2972</v>
      </c>
      <c r="M199" s="870" t="s">
        <v>2761</v>
      </c>
      <c r="N199" s="868" t="s">
        <v>2658</v>
      </c>
      <c r="O199" s="1118"/>
      <c r="P199" s="1119">
        <v>6.03</v>
      </c>
      <c r="Q199" s="884">
        <v>6.53</v>
      </c>
      <c r="R199" s="885"/>
      <c r="S199" s="843">
        <f t="shared" si="6"/>
        <v>53</v>
      </c>
      <c r="T199" s="843">
        <v>4</v>
      </c>
      <c r="U199" s="843">
        <v>0</v>
      </c>
      <c r="V199" s="843">
        <v>1</v>
      </c>
      <c r="W199" s="843">
        <v>0</v>
      </c>
      <c r="X199" s="843">
        <v>0</v>
      </c>
      <c r="Y199" s="843">
        <v>1</v>
      </c>
      <c r="Z199" s="843">
        <v>1</v>
      </c>
      <c r="AA199" s="256" t="str">
        <f t="shared" si="7"/>
        <v>00192.ដែកជ្រុង 40*40(1.5) CHIP MONG #DKS0192</v>
      </c>
      <c r="AB199" s="1145" t="str">
        <f t="shared" si="8"/>
        <v>00192.ដែកជ្រុង 40*40(1.5)</v>
      </c>
    </row>
    <row r="200" spans="3:28" ht="24.95" customHeight="1">
      <c r="C200" s="843">
        <v>193</v>
      </c>
      <c r="D200" s="843"/>
      <c r="E200" s="843"/>
      <c r="F200" s="1116" t="s">
        <v>2698</v>
      </c>
      <c r="G200" s="1117" t="s">
        <v>2698</v>
      </c>
      <c r="H200" s="868" t="s">
        <v>2693</v>
      </c>
      <c r="I200" s="1118" t="s">
        <v>2693</v>
      </c>
      <c r="J200" s="870" t="s">
        <v>2938</v>
      </c>
      <c r="K200" s="1138" t="s">
        <v>2971</v>
      </c>
      <c r="L200" s="1138" t="s">
        <v>2972</v>
      </c>
      <c r="M200" s="870" t="s">
        <v>2761</v>
      </c>
      <c r="N200" s="868" t="s">
        <v>2658</v>
      </c>
      <c r="O200" s="1118"/>
      <c r="P200" s="1119">
        <v>3.88</v>
      </c>
      <c r="Q200" s="884">
        <v>4.3</v>
      </c>
      <c r="R200" s="885"/>
      <c r="S200" s="843">
        <f t="shared" si="6"/>
        <v>53</v>
      </c>
      <c r="T200" s="843">
        <v>4</v>
      </c>
      <c r="U200" s="843">
        <v>0</v>
      </c>
      <c r="V200" s="843">
        <v>1</v>
      </c>
      <c r="W200" s="843">
        <v>0</v>
      </c>
      <c r="X200" s="843">
        <v>0</v>
      </c>
      <c r="Y200" s="843">
        <v>1</v>
      </c>
      <c r="Z200" s="843">
        <v>1</v>
      </c>
      <c r="AA200" s="256" t="str">
        <f t="shared" si="7"/>
        <v>00193.ដែកជ្រុង 20*40(1.2) CHIP MONG #DKS0193</v>
      </c>
      <c r="AB200" s="1145" t="str">
        <f t="shared" si="8"/>
        <v>00193.ដែកជ្រុង 20*40(1.2)</v>
      </c>
    </row>
    <row r="201" spans="3:28" ht="24.95" customHeight="1">
      <c r="C201" s="843">
        <v>194</v>
      </c>
      <c r="D201" s="843"/>
      <c r="E201" s="843"/>
      <c r="F201" s="1116" t="s">
        <v>2700</v>
      </c>
      <c r="G201" s="1117" t="s">
        <v>2700</v>
      </c>
      <c r="H201" s="868" t="s">
        <v>2695</v>
      </c>
      <c r="I201" s="1118" t="s">
        <v>2695</v>
      </c>
      <c r="J201" s="870" t="s">
        <v>2938</v>
      </c>
      <c r="K201" s="1138" t="s">
        <v>2971</v>
      </c>
      <c r="L201" s="1138" t="s">
        <v>2972</v>
      </c>
      <c r="M201" s="870" t="s">
        <v>2761</v>
      </c>
      <c r="N201" s="868" t="s">
        <v>2658</v>
      </c>
      <c r="O201" s="1118"/>
      <c r="P201" s="1119">
        <v>4.7</v>
      </c>
      <c r="Q201" s="884">
        <v>5.2</v>
      </c>
      <c r="R201" s="885"/>
      <c r="S201" s="843">
        <f t="shared" ref="S201:S207" si="9">IF(J201="","",MID(J201,1,3)*1)</f>
        <v>53</v>
      </c>
      <c r="T201" s="843">
        <v>4</v>
      </c>
      <c r="U201" s="843">
        <v>0</v>
      </c>
      <c r="V201" s="843">
        <v>1</v>
      </c>
      <c r="W201" s="843">
        <v>0</v>
      </c>
      <c r="X201" s="843">
        <v>0</v>
      </c>
      <c r="Y201" s="843">
        <v>1</v>
      </c>
      <c r="Z201" s="843">
        <v>1</v>
      </c>
      <c r="AA201" s="256" t="str">
        <f t="shared" ref="AA201:AA207" si="10">IF(AND(C201&lt;&gt;"",H201&lt;&gt;""),TEXT(C201,"00000")&amp;"."&amp;H201&amp;" "&amp;MID(L201,5,100)&amp;" #"&amp;F201,"")</f>
        <v>00194.ដែកជ្រុង 20*40(1.5) CHIP MONG #DKS0194</v>
      </c>
      <c r="AB201" s="1145" t="str">
        <f t="shared" ref="AB201:AB207" si="11">IF(AND(C201&lt;&gt;"",H201&lt;&gt;""),TEXT(C201,"00000")&amp;"."&amp;H201,"")</f>
        <v>00194.ដែកជ្រុង 20*40(1.5)</v>
      </c>
    </row>
    <row r="202" spans="3:28" ht="24.95" customHeight="1">
      <c r="C202" s="843">
        <v>195</v>
      </c>
      <c r="D202" s="843"/>
      <c r="E202" s="843"/>
      <c r="F202" s="1116" t="s">
        <v>2702</v>
      </c>
      <c r="G202" s="1117" t="s">
        <v>2702</v>
      </c>
      <c r="H202" s="868" t="s">
        <v>2697</v>
      </c>
      <c r="I202" s="1118" t="s">
        <v>2697</v>
      </c>
      <c r="J202" s="870" t="s">
        <v>2938</v>
      </c>
      <c r="K202" s="1138" t="s">
        <v>2971</v>
      </c>
      <c r="L202" s="1138" t="s">
        <v>2972</v>
      </c>
      <c r="M202" s="870" t="s">
        <v>2761</v>
      </c>
      <c r="N202" s="868" t="s">
        <v>2658</v>
      </c>
      <c r="O202" s="1118"/>
      <c r="P202" s="1119">
        <v>6.28</v>
      </c>
      <c r="Q202" s="884">
        <v>6.75</v>
      </c>
      <c r="R202" s="885"/>
      <c r="S202" s="843">
        <f t="shared" si="9"/>
        <v>53</v>
      </c>
      <c r="T202" s="843">
        <v>4</v>
      </c>
      <c r="U202" s="843">
        <v>0</v>
      </c>
      <c r="V202" s="843">
        <v>1</v>
      </c>
      <c r="W202" s="843">
        <v>0</v>
      </c>
      <c r="X202" s="843">
        <v>0</v>
      </c>
      <c r="Y202" s="843">
        <v>1</v>
      </c>
      <c r="Z202" s="843">
        <v>1</v>
      </c>
      <c r="AA202" s="256" t="str">
        <f t="shared" si="10"/>
        <v>00195.ដែកជ្រុង 30*60(1.2) CHIP MONG #DKS0195</v>
      </c>
      <c r="AB202" s="1145" t="str">
        <f t="shared" si="11"/>
        <v>00195.ដែកជ្រុង 30*60(1.2)</v>
      </c>
    </row>
    <row r="203" spans="3:28" ht="24.95" customHeight="1">
      <c r="C203" s="843">
        <v>196</v>
      </c>
      <c r="D203" s="843"/>
      <c r="E203" s="843"/>
      <c r="F203" s="1116" t="s">
        <v>2704</v>
      </c>
      <c r="G203" s="1117" t="s">
        <v>2704</v>
      </c>
      <c r="H203" s="868" t="s">
        <v>2699</v>
      </c>
      <c r="I203" s="1118" t="s">
        <v>2699</v>
      </c>
      <c r="J203" s="870" t="s">
        <v>2938</v>
      </c>
      <c r="K203" s="1138" t="s">
        <v>2971</v>
      </c>
      <c r="L203" s="1138" t="s">
        <v>2972</v>
      </c>
      <c r="M203" s="870" t="s">
        <v>2761</v>
      </c>
      <c r="N203" s="868" t="s">
        <v>2658</v>
      </c>
      <c r="O203" s="1118"/>
      <c r="P203" s="1119">
        <v>7.06</v>
      </c>
      <c r="Q203" s="884">
        <v>7.56</v>
      </c>
      <c r="R203" s="885"/>
      <c r="S203" s="843">
        <f t="shared" si="9"/>
        <v>53</v>
      </c>
      <c r="T203" s="843">
        <v>4</v>
      </c>
      <c r="U203" s="843">
        <v>0</v>
      </c>
      <c r="V203" s="843">
        <v>1</v>
      </c>
      <c r="W203" s="843">
        <v>0</v>
      </c>
      <c r="X203" s="843">
        <v>0</v>
      </c>
      <c r="Y203" s="843">
        <v>1</v>
      </c>
      <c r="Z203" s="843">
        <v>1</v>
      </c>
      <c r="AA203" s="256" t="str">
        <f t="shared" si="10"/>
        <v>00196.ដែកជ្រុង 30*60(1.5) CHIP MONG #DKS0196</v>
      </c>
      <c r="AB203" s="1145" t="str">
        <f t="shared" si="11"/>
        <v>00196.ដែកជ្រុង 30*60(1.5)</v>
      </c>
    </row>
    <row r="204" spans="3:28" ht="24.95" customHeight="1">
      <c r="C204" s="843">
        <v>197</v>
      </c>
      <c r="D204" s="843"/>
      <c r="E204" s="843"/>
      <c r="F204" s="1116" t="s">
        <v>2706</v>
      </c>
      <c r="G204" s="1117" t="s">
        <v>2706</v>
      </c>
      <c r="H204" s="868" t="s">
        <v>2701</v>
      </c>
      <c r="I204" s="1118" t="s">
        <v>2701</v>
      </c>
      <c r="J204" s="870" t="s">
        <v>2938</v>
      </c>
      <c r="K204" s="1138" t="s">
        <v>2971</v>
      </c>
      <c r="L204" s="1138" t="s">
        <v>2972</v>
      </c>
      <c r="M204" s="870" t="s">
        <v>2761</v>
      </c>
      <c r="N204" s="868" t="s">
        <v>2658</v>
      </c>
      <c r="O204" s="1118"/>
      <c r="P204" s="1119">
        <v>8.36</v>
      </c>
      <c r="Q204" s="884">
        <v>8.7799999999999994</v>
      </c>
      <c r="R204" s="885"/>
      <c r="S204" s="843">
        <f t="shared" si="9"/>
        <v>53</v>
      </c>
      <c r="T204" s="843">
        <v>4</v>
      </c>
      <c r="U204" s="843">
        <v>0</v>
      </c>
      <c r="V204" s="843">
        <v>1</v>
      </c>
      <c r="W204" s="843">
        <v>0</v>
      </c>
      <c r="X204" s="843">
        <v>0</v>
      </c>
      <c r="Y204" s="843">
        <v>1</v>
      </c>
      <c r="Z204" s="843">
        <v>1</v>
      </c>
      <c r="AA204" s="256" t="str">
        <f t="shared" si="10"/>
        <v>00197.ដែកជ្រុង 40*80(1.2) CHIP MONG #DKS0197</v>
      </c>
      <c r="AB204" s="1145" t="str">
        <f t="shared" si="11"/>
        <v>00197.ដែកជ្រុង 40*80(1.2)</v>
      </c>
    </row>
    <row r="205" spans="3:28" ht="24.95" customHeight="1">
      <c r="C205" s="843">
        <v>198</v>
      </c>
      <c r="D205" s="843"/>
      <c r="E205" s="843"/>
      <c r="F205" s="1116" t="s">
        <v>2717</v>
      </c>
      <c r="G205" s="1117" t="s">
        <v>2717</v>
      </c>
      <c r="H205" s="868" t="s">
        <v>2703</v>
      </c>
      <c r="I205" s="1118" t="s">
        <v>2703</v>
      </c>
      <c r="J205" s="870" t="s">
        <v>2938</v>
      </c>
      <c r="K205" s="1138" t="s">
        <v>2971</v>
      </c>
      <c r="L205" s="1138" t="s">
        <v>2972</v>
      </c>
      <c r="M205" s="870" t="s">
        <v>2761</v>
      </c>
      <c r="N205" s="868" t="s">
        <v>2658</v>
      </c>
      <c r="O205" s="1118"/>
      <c r="P205" s="1119">
        <v>9.48</v>
      </c>
      <c r="Q205" s="884">
        <v>10</v>
      </c>
      <c r="R205" s="885"/>
      <c r="S205" s="843">
        <f t="shared" si="9"/>
        <v>53</v>
      </c>
      <c r="T205" s="843">
        <v>4</v>
      </c>
      <c r="U205" s="843">
        <v>0</v>
      </c>
      <c r="V205" s="843">
        <v>1</v>
      </c>
      <c r="W205" s="843">
        <v>0</v>
      </c>
      <c r="X205" s="843">
        <v>0</v>
      </c>
      <c r="Y205" s="843">
        <v>1</v>
      </c>
      <c r="Z205" s="843">
        <v>1</v>
      </c>
      <c r="AA205" s="256" t="str">
        <f t="shared" si="10"/>
        <v>00198.ដែកជ្រុង 50*100(1.1) CHIP MONG #DKS0198</v>
      </c>
      <c r="AB205" s="1145" t="str">
        <f t="shared" si="11"/>
        <v>00198.ដែកជ្រុង 50*100(1.1)</v>
      </c>
    </row>
    <row r="206" spans="3:28" ht="24.95" customHeight="1">
      <c r="C206" s="843">
        <v>199</v>
      </c>
      <c r="D206" s="843"/>
      <c r="E206" s="843"/>
      <c r="F206" s="1116" t="s">
        <v>2718</v>
      </c>
      <c r="G206" s="1117" t="s">
        <v>2718</v>
      </c>
      <c r="H206" s="868" t="s">
        <v>2705</v>
      </c>
      <c r="I206" s="1118" t="s">
        <v>2705</v>
      </c>
      <c r="J206" s="870" t="s">
        <v>2938</v>
      </c>
      <c r="K206" s="1138" t="s">
        <v>2971</v>
      </c>
      <c r="L206" s="1138" t="s">
        <v>2972</v>
      </c>
      <c r="M206" s="870" t="s">
        <v>2761</v>
      </c>
      <c r="N206" s="868" t="s">
        <v>2658</v>
      </c>
      <c r="O206" s="1118"/>
      <c r="P206" s="1119">
        <v>10.58</v>
      </c>
      <c r="Q206" s="884">
        <v>11</v>
      </c>
      <c r="R206" s="885"/>
      <c r="S206" s="843">
        <f t="shared" si="9"/>
        <v>53</v>
      </c>
      <c r="T206" s="843">
        <v>4</v>
      </c>
      <c r="U206" s="843">
        <v>0</v>
      </c>
      <c r="V206" s="843">
        <v>1</v>
      </c>
      <c r="W206" s="843">
        <v>0</v>
      </c>
      <c r="X206" s="843">
        <v>0</v>
      </c>
      <c r="Y206" s="843">
        <v>1</v>
      </c>
      <c r="Z206" s="843">
        <v>1</v>
      </c>
      <c r="AA206" s="256" t="str">
        <f t="shared" si="10"/>
        <v>00199.ដែកជ្រុង 50*100(1.2) CHIP MONG #DKS0199</v>
      </c>
      <c r="AB206" s="1145" t="str">
        <f t="shared" si="11"/>
        <v>00199.ដែកជ្រុង 50*100(1.2)</v>
      </c>
    </row>
    <row r="207" spans="3:28" ht="24.95" customHeight="1">
      <c r="C207" s="843">
        <v>200</v>
      </c>
      <c r="D207" s="843"/>
      <c r="E207" s="843"/>
      <c r="F207" s="1116" t="s">
        <v>2719</v>
      </c>
      <c r="G207" s="1117" t="s">
        <v>2719</v>
      </c>
      <c r="H207" s="868" t="s">
        <v>2707</v>
      </c>
      <c r="I207" s="1118" t="s">
        <v>2707</v>
      </c>
      <c r="J207" s="870" t="s">
        <v>2938</v>
      </c>
      <c r="K207" s="1138" t="s">
        <v>2971</v>
      </c>
      <c r="L207" s="1138" t="s">
        <v>2972</v>
      </c>
      <c r="M207" s="870" t="s">
        <v>2761</v>
      </c>
      <c r="N207" s="868" t="s">
        <v>2658</v>
      </c>
      <c r="O207" s="1118"/>
      <c r="P207" s="1119">
        <v>11.94</v>
      </c>
      <c r="Q207" s="884">
        <v>12.5</v>
      </c>
      <c r="R207" s="885"/>
      <c r="S207" s="843">
        <f t="shared" si="9"/>
        <v>53</v>
      </c>
      <c r="T207" s="843">
        <v>4</v>
      </c>
      <c r="U207" s="843">
        <v>0</v>
      </c>
      <c r="V207" s="843">
        <v>1</v>
      </c>
      <c r="W207" s="843">
        <v>0</v>
      </c>
      <c r="X207" s="843">
        <v>0</v>
      </c>
      <c r="Y207" s="843">
        <v>1</v>
      </c>
      <c r="Z207" s="843">
        <v>1</v>
      </c>
      <c r="AA207" s="256" t="str">
        <f t="shared" si="10"/>
        <v>00200.ដែកជ្រុង 50*100(1.5) CHIP MONG #DKS0200</v>
      </c>
      <c r="AB207" s="1145" t="str">
        <f t="shared" si="11"/>
        <v>00200.ដែកជ្រុង 50*100(1.5)</v>
      </c>
    </row>
    <row r="208" spans="3:28" ht="24.95" customHeight="1">
      <c r="C208" s="843"/>
      <c r="D208" s="843"/>
      <c r="E208" s="843"/>
      <c r="F208" s="1116"/>
      <c r="G208" s="1117"/>
      <c r="H208" s="868"/>
      <c r="I208" s="1118"/>
      <c r="J208" s="870"/>
      <c r="K208" s="1138"/>
      <c r="L208" s="1138"/>
      <c r="M208" s="868"/>
      <c r="N208" s="868"/>
      <c r="O208" s="1118"/>
      <c r="P208" s="1119"/>
      <c r="Q208" s="884"/>
      <c r="R208" s="885"/>
      <c r="S208" s="843"/>
      <c r="T208" s="843"/>
      <c r="U208" s="843"/>
      <c r="V208" s="843"/>
      <c r="W208" s="843"/>
      <c r="X208" s="843"/>
      <c r="Y208" s="843"/>
      <c r="Z208" s="843"/>
    </row>
    <row r="209" spans="3:26" ht="24.95" customHeight="1">
      <c r="C209" s="843"/>
      <c r="D209" s="843"/>
      <c r="E209" s="843"/>
      <c r="F209" s="1116"/>
      <c r="G209" s="1117"/>
      <c r="H209" s="868"/>
      <c r="I209" s="1118"/>
      <c r="J209" s="870"/>
      <c r="K209" s="1138"/>
      <c r="L209" s="1138"/>
      <c r="M209" s="868"/>
      <c r="N209" s="868"/>
      <c r="O209" s="1118"/>
      <c r="P209" s="1119"/>
      <c r="Q209" s="884"/>
      <c r="R209" s="885"/>
      <c r="S209" s="843"/>
      <c r="T209" s="843"/>
      <c r="U209" s="843"/>
      <c r="V209" s="843"/>
      <c r="W209" s="843"/>
      <c r="X209" s="843"/>
      <c r="Y209" s="843"/>
      <c r="Z209" s="843"/>
    </row>
    <row r="210" spans="3:26" ht="24.95" customHeight="1">
      <c r="C210" s="843"/>
      <c r="D210" s="843"/>
      <c r="E210" s="843"/>
      <c r="F210" s="1116"/>
      <c r="G210" s="1117"/>
      <c r="H210" s="868"/>
      <c r="I210" s="1118"/>
      <c r="J210" s="870"/>
      <c r="K210" s="1138"/>
      <c r="L210" s="1138"/>
      <c r="M210" s="868"/>
      <c r="N210" s="868"/>
      <c r="O210" s="1118"/>
      <c r="P210" s="1119"/>
      <c r="Q210" s="884"/>
      <c r="R210" s="885"/>
      <c r="S210" s="843"/>
      <c r="T210" s="843"/>
      <c r="U210" s="843"/>
      <c r="V210" s="843"/>
      <c r="W210" s="843"/>
      <c r="X210" s="843"/>
      <c r="Y210" s="843"/>
      <c r="Z210" s="843"/>
    </row>
    <row r="211" spans="3:26" ht="24.95" customHeight="1">
      <c r="C211" s="843"/>
      <c r="D211" s="843"/>
      <c r="E211" s="843"/>
      <c r="F211" s="1116"/>
      <c r="G211" s="1117"/>
      <c r="H211" s="868"/>
      <c r="I211" s="1118"/>
      <c r="J211" s="870"/>
      <c r="K211" s="1138"/>
      <c r="L211" s="1138"/>
      <c r="M211" s="868"/>
      <c r="N211" s="868"/>
      <c r="O211" s="1118"/>
      <c r="P211" s="1119"/>
      <c r="Q211" s="884"/>
      <c r="R211" s="885"/>
      <c r="S211" s="843"/>
      <c r="T211" s="843"/>
      <c r="U211" s="843"/>
      <c r="V211" s="843"/>
      <c r="W211" s="843"/>
      <c r="X211" s="843"/>
      <c r="Y211" s="843"/>
      <c r="Z211" s="843"/>
    </row>
    <row r="212" spans="3:26" ht="24.95" customHeight="1">
      <c r="C212" s="843"/>
      <c r="D212" s="843"/>
      <c r="E212" s="843"/>
      <c r="F212" s="1116"/>
      <c r="G212" s="1117"/>
      <c r="H212" s="868"/>
      <c r="I212" s="1118"/>
      <c r="J212" s="870"/>
      <c r="K212" s="1138"/>
      <c r="L212" s="1138"/>
      <c r="M212" s="868"/>
      <c r="N212" s="868"/>
      <c r="O212" s="1118"/>
      <c r="P212" s="1119"/>
      <c r="Q212" s="884"/>
      <c r="R212" s="885"/>
      <c r="S212" s="843"/>
      <c r="T212" s="843"/>
      <c r="U212" s="843"/>
      <c r="V212" s="843"/>
      <c r="W212" s="843"/>
      <c r="X212" s="843"/>
      <c r="Y212" s="843"/>
      <c r="Z212" s="843"/>
    </row>
    <row r="213" spans="3:26" ht="24.95" customHeight="1">
      <c r="C213" s="843"/>
      <c r="D213" s="843"/>
      <c r="E213" s="843"/>
      <c r="F213" s="1116"/>
      <c r="G213" s="1117"/>
      <c r="H213" s="868"/>
      <c r="I213" s="1118"/>
      <c r="J213" s="870"/>
      <c r="K213" s="1138"/>
      <c r="L213" s="1138"/>
      <c r="M213" s="868"/>
      <c r="N213" s="868"/>
      <c r="O213" s="1118"/>
      <c r="P213" s="1119"/>
      <c r="Q213" s="884"/>
      <c r="R213" s="885"/>
      <c r="S213" s="843"/>
      <c r="T213" s="843"/>
      <c r="U213" s="843"/>
      <c r="V213" s="843"/>
      <c r="W213" s="843"/>
      <c r="X213" s="843"/>
      <c r="Y213" s="843"/>
      <c r="Z213" s="843"/>
    </row>
    <row r="214" spans="3:26" ht="24.95" customHeight="1">
      <c r="C214" s="843"/>
      <c r="D214" s="843"/>
      <c r="E214" s="843"/>
      <c r="F214" s="1116"/>
      <c r="G214" s="1117"/>
      <c r="H214" s="868"/>
      <c r="I214" s="1118"/>
      <c r="J214" s="870"/>
      <c r="K214" s="1138"/>
      <c r="L214" s="1138"/>
      <c r="M214" s="868"/>
      <c r="N214" s="868"/>
      <c r="O214" s="1118"/>
      <c r="P214" s="1119"/>
      <c r="Q214" s="884"/>
      <c r="R214" s="885"/>
      <c r="S214" s="843"/>
      <c r="T214" s="843"/>
      <c r="U214" s="843"/>
      <c r="V214" s="843"/>
      <c r="W214" s="843"/>
      <c r="X214" s="843"/>
      <c r="Y214" s="843"/>
      <c r="Z214" s="843"/>
    </row>
    <row r="215" spans="3:26" ht="24.95" customHeight="1">
      <c r="C215" s="843"/>
      <c r="D215" s="843"/>
      <c r="E215" s="843"/>
      <c r="F215" s="1116"/>
      <c r="G215" s="1117"/>
      <c r="H215" s="868"/>
      <c r="I215" s="1118"/>
      <c r="J215" s="870"/>
      <c r="K215" s="1138"/>
      <c r="L215" s="1138"/>
      <c r="M215" s="868"/>
      <c r="N215" s="868"/>
      <c r="O215" s="1118"/>
      <c r="P215" s="1119"/>
      <c r="Q215" s="884"/>
      <c r="R215" s="885"/>
      <c r="S215" s="843"/>
      <c r="T215" s="843"/>
      <c r="U215" s="843"/>
      <c r="V215" s="843"/>
      <c r="W215" s="843"/>
      <c r="X215" s="843"/>
      <c r="Y215" s="843"/>
      <c r="Z215" s="843"/>
    </row>
    <row r="216" spans="3:26" ht="24.95" customHeight="1">
      <c r="C216" s="843"/>
      <c r="D216" s="843"/>
      <c r="E216" s="843"/>
      <c r="F216" s="1116"/>
      <c r="G216" s="1117"/>
      <c r="H216" s="868"/>
      <c r="I216" s="1118"/>
      <c r="J216" s="870"/>
      <c r="K216" s="1138"/>
      <c r="L216" s="1138"/>
      <c r="M216" s="868"/>
      <c r="N216" s="868"/>
      <c r="O216" s="1118"/>
      <c r="P216" s="1119"/>
      <c r="Q216" s="884"/>
      <c r="R216" s="885"/>
      <c r="S216" s="843"/>
      <c r="T216" s="843"/>
      <c r="U216" s="843"/>
      <c r="V216" s="843"/>
      <c r="W216" s="843"/>
      <c r="X216" s="843"/>
      <c r="Y216" s="843"/>
      <c r="Z216" s="843"/>
    </row>
    <row r="217" spans="3:26" ht="24.95" customHeight="1">
      <c r="C217" s="843"/>
      <c r="D217" s="843"/>
      <c r="E217" s="843"/>
      <c r="F217" s="1116"/>
      <c r="G217" s="1117"/>
      <c r="H217" s="868"/>
      <c r="I217" s="1118"/>
      <c r="J217" s="870"/>
      <c r="K217" s="1138"/>
      <c r="L217" s="1138"/>
      <c r="M217" s="868"/>
      <c r="N217" s="868"/>
      <c r="O217" s="1118"/>
      <c r="P217" s="1119"/>
      <c r="Q217" s="884"/>
      <c r="R217" s="885"/>
      <c r="S217" s="843"/>
      <c r="T217" s="843"/>
      <c r="U217" s="843"/>
      <c r="V217" s="843"/>
      <c r="W217" s="843"/>
      <c r="X217" s="843"/>
      <c r="Y217" s="843"/>
      <c r="Z217" s="843"/>
    </row>
    <row r="218" spans="3:26" ht="24.95" customHeight="1">
      <c r="C218" s="843"/>
      <c r="D218" s="843"/>
      <c r="E218" s="843"/>
      <c r="F218" s="1116"/>
      <c r="G218" s="1117"/>
      <c r="H218" s="868"/>
      <c r="I218" s="1118"/>
      <c r="J218" s="870"/>
      <c r="K218" s="1138"/>
      <c r="L218" s="1138"/>
      <c r="M218" s="868"/>
      <c r="N218" s="868"/>
      <c r="O218" s="1118"/>
      <c r="P218" s="1119"/>
      <c r="Q218" s="884"/>
      <c r="R218" s="885"/>
      <c r="S218" s="843"/>
      <c r="T218" s="843"/>
      <c r="U218" s="843"/>
      <c r="V218" s="843"/>
      <c r="W218" s="843"/>
      <c r="X218" s="843"/>
      <c r="Y218" s="843"/>
      <c r="Z218" s="843"/>
    </row>
    <row r="219" spans="3:26" ht="24.95" customHeight="1">
      <c r="C219" s="843"/>
      <c r="D219" s="843"/>
      <c r="E219" s="843"/>
      <c r="F219" s="1116"/>
      <c r="G219" s="1117"/>
      <c r="H219" s="868"/>
      <c r="I219" s="1118"/>
      <c r="J219" s="870"/>
      <c r="K219" s="1138"/>
      <c r="L219" s="1138"/>
      <c r="M219" s="868"/>
      <c r="N219" s="868"/>
      <c r="O219" s="1118"/>
      <c r="P219" s="1119"/>
      <c r="Q219" s="884"/>
      <c r="R219" s="885"/>
      <c r="S219" s="843"/>
      <c r="T219" s="843"/>
      <c r="U219" s="843"/>
      <c r="V219" s="843"/>
      <c r="W219" s="843"/>
      <c r="X219" s="843"/>
      <c r="Y219" s="843"/>
      <c r="Z219" s="843"/>
    </row>
    <row r="220" spans="3:26" ht="24.95" customHeight="1">
      <c r="C220" s="843"/>
      <c r="D220" s="843"/>
      <c r="E220" s="843"/>
      <c r="F220" s="1116"/>
      <c r="G220" s="1117"/>
      <c r="H220" s="868"/>
      <c r="I220" s="1118"/>
      <c r="J220" s="870"/>
      <c r="K220" s="1138"/>
      <c r="L220" s="1138"/>
      <c r="M220" s="868"/>
      <c r="N220" s="868"/>
      <c r="O220" s="1118"/>
      <c r="P220" s="1119"/>
      <c r="Q220" s="884"/>
      <c r="R220" s="885"/>
      <c r="S220" s="843"/>
      <c r="T220" s="843"/>
      <c r="U220" s="843"/>
      <c r="V220" s="843"/>
      <c r="W220" s="843"/>
      <c r="X220" s="843"/>
      <c r="Y220" s="843"/>
      <c r="Z220" s="843"/>
    </row>
    <row r="221" spans="3:26" ht="24.95" customHeight="1">
      <c r="C221" s="843"/>
      <c r="D221" s="843"/>
      <c r="E221" s="843"/>
      <c r="F221" s="1116"/>
      <c r="G221" s="1117"/>
      <c r="H221" s="868"/>
      <c r="I221" s="1118"/>
      <c r="J221" s="870"/>
      <c r="K221" s="1138"/>
      <c r="L221" s="1138"/>
      <c r="M221" s="868"/>
      <c r="N221" s="868"/>
      <c r="O221" s="1118"/>
      <c r="P221" s="1119"/>
      <c r="Q221" s="884"/>
      <c r="R221" s="885"/>
      <c r="S221" s="843"/>
      <c r="T221" s="843"/>
      <c r="U221" s="843"/>
      <c r="V221" s="843"/>
      <c r="W221" s="843"/>
      <c r="X221" s="843"/>
      <c r="Y221" s="843"/>
      <c r="Z221" s="843"/>
    </row>
    <row r="222" spans="3:26" ht="24.95" customHeight="1">
      <c r="C222" s="843"/>
      <c r="D222" s="843"/>
      <c r="E222" s="843"/>
      <c r="F222" s="1116"/>
      <c r="G222" s="1117"/>
      <c r="H222" s="868"/>
      <c r="I222" s="1118"/>
      <c r="J222" s="870"/>
      <c r="K222" s="1138"/>
      <c r="L222" s="1138"/>
      <c r="M222" s="868"/>
      <c r="N222" s="868"/>
      <c r="O222" s="1118"/>
      <c r="P222" s="1119"/>
      <c r="Q222" s="884"/>
      <c r="R222" s="885"/>
      <c r="S222" s="843"/>
      <c r="T222" s="843"/>
      <c r="U222" s="843"/>
      <c r="V222" s="843"/>
      <c r="W222" s="843"/>
      <c r="X222" s="843"/>
      <c r="Y222" s="843"/>
      <c r="Z222" s="843"/>
    </row>
    <row r="223" spans="3:26" ht="24.95" customHeight="1">
      <c r="C223" s="843"/>
      <c r="D223" s="843"/>
      <c r="E223" s="843"/>
      <c r="F223" s="1116"/>
      <c r="G223" s="1117"/>
      <c r="H223" s="868"/>
      <c r="I223" s="1118"/>
      <c r="J223" s="870"/>
      <c r="K223" s="1138"/>
      <c r="L223" s="1138"/>
      <c r="M223" s="868"/>
      <c r="N223" s="868"/>
      <c r="O223" s="1118"/>
      <c r="P223" s="1119"/>
      <c r="Q223" s="884"/>
      <c r="R223" s="885"/>
      <c r="S223" s="843"/>
      <c r="T223" s="843"/>
      <c r="U223" s="843"/>
      <c r="V223" s="843"/>
      <c r="W223" s="843"/>
      <c r="X223" s="843"/>
      <c r="Y223" s="843"/>
      <c r="Z223" s="843"/>
    </row>
    <row r="224" spans="3:26" ht="24.95" customHeight="1">
      <c r="C224" s="843"/>
      <c r="D224" s="843"/>
      <c r="E224" s="843"/>
      <c r="F224" s="1116"/>
      <c r="G224" s="1117"/>
      <c r="H224" s="868"/>
      <c r="I224" s="1118"/>
      <c r="J224" s="870"/>
      <c r="K224" s="1138"/>
      <c r="L224" s="1138"/>
      <c r="M224" s="868"/>
      <c r="N224" s="868"/>
      <c r="O224" s="1118"/>
      <c r="P224" s="1119"/>
      <c r="Q224" s="884"/>
      <c r="R224" s="885"/>
      <c r="S224" s="843"/>
      <c r="T224" s="843"/>
      <c r="U224" s="843"/>
      <c r="V224" s="843"/>
      <c r="W224" s="843"/>
      <c r="X224" s="843"/>
      <c r="Y224" s="843"/>
      <c r="Z224" s="843"/>
    </row>
    <row r="225" spans="3:26" ht="24.95" customHeight="1">
      <c r="C225" s="843"/>
      <c r="D225" s="843"/>
      <c r="E225" s="843"/>
      <c r="F225" s="1116"/>
      <c r="G225" s="1117"/>
      <c r="H225" s="868"/>
      <c r="I225" s="1118"/>
      <c r="J225" s="870"/>
      <c r="K225" s="1138"/>
      <c r="L225" s="1138"/>
      <c r="M225" s="868"/>
      <c r="N225" s="868"/>
      <c r="O225" s="1118"/>
      <c r="P225" s="1119"/>
      <c r="Q225" s="884"/>
      <c r="R225" s="885"/>
      <c r="S225" s="843"/>
      <c r="T225" s="843"/>
      <c r="U225" s="843"/>
      <c r="V225" s="843"/>
      <c r="W225" s="843"/>
      <c r="X225" s="843"/>
      <c r="Y225" s="843"/>
      <c r="Z225" s="843"/>
    </row>
    <row r="226" spans="3:26" ht="24.95" customHeight="1">
      <c r="C226" s="843"/>
      <c r="D226" s="843"/>
      <c r="E226" s="843"/>
      <c r="F226" s="1116"/>
      <c r="G226" s="1117"/>
      <c r="H226" s="868"/>
      <c r="I226" s="1118"/>
      <c r="J226" s="870"/>
      <c r="K226" s="1138"/>
      <c r="L226" s="1138"/>
      <c r="M226" s="868"/>
      <c r="N226" s="868"/>
      <c r="O226" s="1118"/>
      <c r="P226" s="1119"/>
      <c r="Q226" s="884"/>
      <c r="R226" s="885"/>
      <c r="S226" s="843"/>
      <c r="T226" s="843"/>
      <c r="U226" s="843"/>
      <c r="V226" s="843"/>
      <c r="W226" s="843"/>
      <c r="X226" s="843"/>
      <c r="Y226" s="843"/>
      <c r="Z226" s="843"/>
    </row>
    <row r="227" spans="3:26" ht="24.95" customHeight="1">
      <c r="C227" s="843"/>
      <c r="D227" s="843"/>
      <c r="E227" s="843"/>
      <c r="F227" s="1116"/>
      <c r="G227" s="1117"/>
      <c r="H227" s="868"/>
      <c r="I227" s="1118"/>
      <c r="J227" s="870"/>
      <c r="K227" s="1138"/>
      <c r="L227" s="1138"/>
      <c r="M227" s="868"/>
      <c r="N227" s="868"/>
      <c r="O227" s="1118"/>
      <c r="P227" s="1119"/>
      <c r="Q227" s="884"/>
      <c r="R227" s="885"/>
      <c r="S227" s="843"/>
      <c r="T227" s="843"/>
      <c r="U227" s="843"/>
      <c r="V227" s="843"/>
      <c r="W227" s="843"/>
      <c r="X227" s="843"/>
      <c r="Y227" s="843"/>
      <c r="Z227" s="843"/>
    </row>
    <row r="228" spans="3:26" ht="24.95" customHeight="1">
      <c r="C228" s="843"/>
      <c r="D228" s="843"/>
      <c r="E228" s="843"/>
      <c r="F228" s="1116"/>
      <c r="G228" s="1117"/>
      <c r="H228" s="868"/>
      <c r="I228" s="1118"/>
      <c r="J228" s="870"/>
      <c r="K228" s="1138"/>
      <c r="L228" s="1138"/>
      <c r="M228" s="868"/>
      <c r="N228" s="868"/>
      <c r="O228" s="1118"/>
      <c r="P228" s="1119"/>
      <c r="Q228" s="884"/>
      <c r="R228" s="885"/>
      <c r="S228" s="843"/>
      <c r="T228" s="843"/>
      <c r="U228" s="843"/>
      <c r="V228" s="843"/>
      <c r="W228" s="843"/>
      <c r="X228" s="843"/>
      <c r="Y228" s="843"/>
      <c r="Z228" s="843"/>
    </row>
    <row r="229" spans="3:26" ht="24.95" customHeight="1">
      <c r="C229" s="843"/>
      <c r="D229" s="843"/>
      <c r="E229" s="843"/>
      <c r="F229" s="1116"/>
      <c r="G229" s="1117"/>
      <c r="H229" s="868"/>
      <c r="I229" s="1118"/>
      <c r="J229" s="870"/>
      <c r="K229" s="1138"/>
      <c r="L229" s="1138"/>
      <c r="M229" s="868"/>
      <c r="N229" s="868"/>
      <c r="O229" s="1118"/>
      <c r="P229" s="1119"/>
      <c r="Q229" s="884"/>
      <c r="R229" s="885"/>
      <c r="S229" s="843"/>
      <c r="T229" s="843"/>
      <c r="U229" s="843"/>
      <c r="V229" s="843"/>
      <c r="W229" s="843"/>
      <c r="X229" s="843"/>
      <c r="Y229" s="843"/>
      <c r="Z229" s="843"/>
    </row>
    <row r="230" spans="3:26" ht="24.95" customHeight="1">
      <c r="C230" s="843"/>
      <c r="D230" s="843"/>
      <c r="E230" s="843"/>
      <c r="F230" s="1116"/>
      <c r="G230" s="1117"/>
      <c r="H230" s="868"/>
      <c r="I230" s="1118"/>
      <c r="J230" s="870"/>
      <c r="K230" s="1138"/>
      <c r="L230" s="1138"/>
      <c r="M230" s="868"/>
      <c r="N230" s="868"/>
      <c r="O230" s="1118"/>
      <c r="P230" s="1119"/>
      <c r="Q230" s="884"/>
      <c r="R230" s="885"/>
      <c r="S230" s="843"/>
      <c r="T230" s="843"/>
      <c r="U230" s="843"/>
      <c r="V230" s="843"/>
      <c r="W230" s="843"/>
      <c r="X230" s="843"/>
      <c r="Y230" s="843"/>
      <c r="Z230" s="843"/>
    </row>
    <row r="231" spans="3:26" ht="24.95" customHeight="1">
      <c r="C231" s="843"/>
      <c r="D231" s="843"/>
      <c r="E231" s="843"/>
      <c r="F231" s="1116"/>
      <c r="G231" s="1117"/>
      <c r="H231" s="868"/>
      <c r="I231" s="1118"/>
      <c r="J231" s="870"/>
      <c r="K231" s="1138"/>
      <c r="L231" s="1138"/>
      <c r="M231" s="868"/>
      <c r="N231" s="868"/>
      <c r="O231" s="1118"/>
      <c r="P231" s="1119"/>
      <c r="Q231" s="884"/>
      <c r="R231" s="885"/>
      <c r="S231" s="843"/>
      <c r="T231" s="843"/>
      <c r="U231" s="843"/>
      <c r="V231" s="843"/>
      <c r="W231" s="843"/>
      <c r="X231" s="843"/>
      <c r="Y231" s="843"/>
      <c r="Z231" s="843"/>
    </row>
    <row r="232" spans="3:26" ht="24.95" customHeight="1">
      <c r="C232" s="843"/>
      <c r="D232" s="843"/>
      <c r="E232" s="843"/>
      <c r="F232" s="1116"/>
      <c r="G232" s="1117"/>
      <c r="H232" s="868"/>
      <c r="I232" s="1118"/>
      <c r="J232" s="870"/>
      <c r="K232" s="1138"/>
      <c r="L232" s="1138"/>
      <c r="M232" s="868"/>
      <c r="N232" s="868"/>
      <c r="O232" s="1118"/>
      <c r="P232" s="1119"/>
      <c r="Q232" s="884"/>
      <c r="R232" s="885"/>
      <c r="S232" s="843"/>
      <c r="T232" s="843"/>
      <c r="U232" s="843"/>
      <c r="V232" s="843"/>
      <c r="W232" s="843"/>
      <c r="X232" s="843"/>
      <c r="Y232" s="843"/>
      <c r="Z232" s="843"/>
    </row>
    <row r="233" spans="3:26" ht="24.95" customHeight="1">
      <c r="C233" s="843"/>
      <c r="D233" s="843"/>
      <c r="E233" s="843"/>
      <c r="F233" s="1116"/>
      <c r="G233" s="1117"/>
      <c r="H233" s="868"/>
      <c r="I233" s="1118"/>
      <c r="J233" s="870"/>
      <c r="K233" s="1138"/>
      <c r="L233" s="1138"/>
      <c r="M233" s="868"/>
      <c r="N233" s="868"/>
      <c r="O233" s="1118"/>
      <c r="P233" s="1119"/>
      <c r="Q233" s="884"/>
      <c r="R233" s="885"/>
      <c r="S233" s="843"/>
      <c r="T233" s="843"/>
      <c r="U233" s="843"/>
      <c r="V233" s="843"/>
      <c r="W233" s="843"/>
      <c r="X233" s="843"/>
      <c r="Y233" s="843"/>
      <c r="Z233" s="843"/>
    </row>
    <row r="234" spans="3:26" ht="24.95" customHeight="1">
      <c r="C234" s="843"/>
      <c r="D234" s="843"/>
      <c r="E234" s="843"/>
      <c r="F234" s="1116"/>
      <c r="G234" s="1117"/>
      <c r="H234" s="868"/>
      <c r="I234" s="1118"/>
      <c r="J234" s="870"/>
      <c r="K234" s="1138"/>
      <c r="L234" s="1138"/>
      <c r="M234" s="868"/>
      <c r="N234" s="868"/>
      <c r="O234" s="1118"/>
      <c r="P234" s="1119"/>
      <c r="Q234" s="884"/>
      <c r="R234" s="885"/>
      <c r="S234" s="843"/>
      <c r="T234" s="843"/>
      <c r="U234" s="843"/>
      <c r="V234" s="843"/>
      <c r="W234" s="843"/>
      <c r="X234" s="843"/>
      <c r="Y234" s="843"/>
      <c r="Z234" s="843"/>
    </row>
    <row r="235" spans="3:26" ht="24.95" customHeight="1">
      <c r="C235" s="843"/>
      <c r="D235" s="843"/>
      <c r="E235" s="843"/>
      <c r="F235" s="1116"/>
      <c r="G235" s="1117"/>
      <c r="H235" s="868"/>
      <c r="I235" s="1118"/>
      <c r="J235" s="870"/>
      <c r="K235" s="1138"/>
      <c r="L235" s="1138"/>
      <c r="M235" s="868"/>
      <c r="N235" s="868"/>
      <c r="O235" s="1118"/>
      <c r="P235" s="1119"/>
      <c r="Q235" s="884"/>
      <c r="R235" s="885"/>
      <c r="S235" s="843"/>
      <c r="T235" s="843"/>
      <c r="U235" s="843"/>
      <c r="V235" s="843"/>
      <c r="W235" s="843"/>
      <c r="X235" s="843"/>
      <c r="Y235" s="843"/>
      <c r="Z235" s="843"/>
    </row>
    <row r="236" spans="3:26" ht="24.95" customHeight="1">
      <c r="C236" s="843"/>
      <c r="D236" s="843"/>
      <c r="E236" s="843"/>
      <c r="F236" s="1116"/>
      <c r="G236" s="1117"/>
      <c r="H236" s="868"/>
      <c r="I236" s="1118"/>
      <c r="J236" s="870"/>
      <c r="K236" s="1138"/>
      <c r="L236" s="1138"/>
      <c r="M236" s="868"/>
      <c r="N236" s="868"/>
      <c r="O236" s="1118"/>
      <c r="P236" s="1119"/>
      <c r="Q236" s="884"/>
      <c r="R236" s="885"/>
      <c r="S236" s="843"/>
      <c r="T236" s="843"/>
      <c r="U236" s="843"/>
      <c r="V236" s="843"/>
      <c r="W236" s="843"/>
      <c r="X236" s="843"/>
      <c r="Y236" s="843"/>
      <c r="Z236" s="843"/>
    </row>
    <row r="237" spans="3:26" ht="24.95" customHeight="1">
      <c r="C237" s="843"/>
      <c r="D237" s="843"/>
      <c r="E237" s="843"/>
      <c r="F237" s="1116"/>
      <c r="G237" s="1117"/>
      <c r="H237" s="868"/>
      <c r="I237" s="1118"/>
      <c r="J237" s="870"/>
      <c r="K237" s="1138"/>
      <c r="L237" s="1138"/>
      <c r="M237" s="868"/>
      <c r="N237" s="868"/>
      <c r="O237" s="1118"/>
      <c r="P237" s="1119"/>
      <c r="Q237" s="884"/>
      <c r="R237" s="885"/>
      <c r="S237" s="843"/>
      <c r="T237" s="843"/>
      <c r="U237" s="843"/>
      <c r="V237" s="843"/>
      <c r="W237" s="843"/>
      <c r="X237" s="843"/>
      <c r="Y237" s="843"/>
      <c r="Z237" s="843"/>
    </row>
    <row r="238" spans="3:26" ht="24.95" customHeight="1">
      <c r="C238" s="843"/>
      <c r="D238" s="843"/>
      <c r="E238" s="843"/>
      <c r="F238" s="1116"/>
      <c r="G238" s="1117"/>
      <c r="H238" s="872"/>
      <c r="I238" s="1123"/>
      <c r="J238" s="868"/>
      <c r="K238" s="868"/>
      <c r="L238" s="868"/>
      <c r="M238" s="868"/>
      <c r="N238" s="868"/>
      <c r="O238" s="1123"/>
      <c r="P238" s="1119"/>
      <c r="Q238" s="884"/>
      <c r="R238" s="1122"/>
      <c r="S238" s="1124"/>
      <c r="T238" s="1124"/>
      <c r="U238" s="1124"/>
      <c r="V238" s="1124"/>
      <c r="W238" s="1124"/>
      <c r="X238" s="1124"/>
      <c r="Y238" s="1124"/>
      <c r="Z238" s="1124"/>
    </row>
    <row r="239" spans="3:26" ht="24.95" customHeight="1">
      <c r="C239" s="843"/>
      <c r="D239" s="843"/>
      <c r="E239" s="843"/>
      <c r="F239" s="1116"/>
      <c r="G239" s="1117"/>
      <c r="H239" s="872"/>
      <c r="I239" s="1123"/>
      <c r="J239" s="868"/>
      <c r="K239" s="868"/>
      <c r="L239" s="868"/>
      <c r="M239" s="868"/>
      <c r="N239" s="868"/>
      <c r="O239" s="1123"/>
      <c r="P239" s="1119"/>
      <c r="Q239" s="884"/>
      <c r="R239" s="1122"/>
      <c r="S239" s="1124"/>
      <c r="T239" s="1124"/>
      <c r="U239" s="1124"/>
      <c r="V239" s="1124"/>
      <c r="W239" s="1124"/>
      <c r="X239" s="1124"/>
      <c r="Y239" s="1124"/>
      <c r="Z239" s="1124"/>
    </row>
    <row r="240" spans="3:26" ht="24.95" customHeight="1">
      <c r="C240" s="843"/>
      <c r="D240" s="843"/>
      <c r="E240" s="843"/>
      <c r="F240" s="1116"/>
      <c r="G240" s="1117"/>
      <c r="H240" s="872"/>
      <c r="I240" s="1123"/>
      <c r="J240" s="868"/>
      <c r="K240" s="868"/>
      <c r="L240" s="868"/>
      <c r="M240" s="868"/>
      <c r="N240" s="868"/>
      <c r="O240" s="1123"/>
      <c r="P240" s="1119"/>
      <c r="Q240" s="884"/>
      <c r="R240" s="1122"/>
      <c r="S240" s="1124"/>
      <c r="T240" s="1124"/>
      <c r="U240" s="1124"/>
      <c r="V240" s="1124"/>
      <c r="W240" s="1124"/>
      <c r="X240" s="1124"/>
      <c r="Y240" s="1124"/>
      <c r="Z240" s="1124"/>
    </row>
    <row r="241" spans="3:26" ht="24.95" customHeight="1">
      <c r="C241" s="843"/>
      <c r="D241" s="843"/>
      <c r="E241" s="843"/>
      <c r="F241" s="1116"/>
      <c r="G241" s="1117"/>
      <c r="H241" s="872"/>
      <c r="I241" s="1123"/>
      <c r="J241" s="868"/>
      <c r="K241" s="868"/>
      <c r="L241" s="868"/>
      <c r="M241" s="868"/>
      <c r="N241" s="868"/>
      <c r="O241" s="1123"/>
      <c r="P241" s="1119"/>
      <c r="Q241" s="884"/>
      <c r="R241" s="1122"/>
      <c r="S241" s="1124"/>
      <c r="T241" s="1124"/>
      <c r="U241" s="1124"/>
      <c r="V241" s="1124"/>
      <c r="W241" s="1124"/>
      <c r="X241" s="1124"/>
      <c r="Y241" s="1124"/>
      <c r="Z241" s="1124"/>
    </row>
    <row r="242" spans="3:26" ht="24.95" customHeight="1">
      <c r="C242" s="843"/>
      <c r="D242" s="843"/>
      <c r="E242" s="843"/>
      <c r="F242" s="1116"/>
      <c r="G242" s="1117"/>
      <c r="H242" s="872"/>
      <c r="I242" s="1123"/>
      <c r="J242" s="868"/>
      <c r="K242" s="868"/>
      <c r="L242" s="868"/>
      <c r="M242" s="868"/>
      <c r="N242" s="868"/>
      <c r="O242" s="1123"/>
      <c r="P242" s="1119"/>
      <c r="Q242" s="884"/>
      <c r="R242" s="1122"/>
      <c r="S242" s="1124"/>
      <c r="T242" s="1124"/>
      <c r="U242" s="1124"/>
      <c r="V242" s="1124"/>
      <c r="W242" s="1124"/>
      <c r="X242" s="1124"/>
      <c r="Y242" s="1124"/>
      <c r="Z242" s="1124"/>
    </row>
    <row r="243" spans="3:26" ht="24.95" customHeight="1">
      <c r="C243" s="843"/>
      <c r="D243" s="843"/>
      <c r="E243" s="843"/>
      <c r="F243" s="1116"/>
      <c r="G243" s="1117"/>
      <c r="H243" s="872"/>
      <c r="I243" s="1123"/>
      <c r="J243" s="868"/>
      <c r="K243" s="868"/>
      <c r="L243" s="868"/>
      <c r="M243" s="868"/>
      <c r="N243" s="868"/>
      <c r="O243" s="1123"/>
      <c r="P243" s="1119"/>
      <c r="Q243" s="884"/>
      <c r="R243" s="1122"/>
      <c r="S243" s="1124"/>
      <c r="T243" s="1124"/>
      <c r="U243" s="1124"/>
      <c r="V243" s="1124"/>
      <c r="W243" s="1124"/>
      <c r="X243" s="1124"/>
      <c r="Y243" s="1124"/>
      <c r="Z243" s="1124"/>
    </row>
    <row r="244" spans="3:26" ht="24.95" customHeight="1">
      <c r="C244" s="843"/>
      <c r="D244" s="843"/>
      <c r="E244" s="843"/>
      <c r="F244" s="1116"/>
      <c r="G244" s="1117"/>
      <c r="H244" s="872"/>
      <c r="I244" s="1123"/>
      <c r="J244" s="868"/>
      <c r="K244" s="868"/>
      <c r="L244" s="868"/>
      <c r="M244" s="868"/>
      <c r="N244" s="868"/>
      <c r="O244" s="1123"/>
      <c r="P244" s="1119"/>
      <c r="Q244" s="884"/>
      <c r="R244" s="1122"/>
      <c r="S244" s="1124"/>
      <c r="T244" s="1124"/>
      <c r="U244" s="1124"/>
      <c r="V244" s="1124"/>
      <c r="W244" s="1124"/>
      <c r="X244" s="1124"/>
      <c r="Y244" s="1124"/>
      <c r="Z244" s="1124"/>
    </row>
    <row r="245" spans="3:26" ht="24.95" customHeight="1">
      <c r="C245" s="843"/>
      <c r="D245" s="843"/>
      <c r="E245" s="843"/>
      <c r="F245" s="1116"/>
      <c r="G245" s="1117"/>
      <c r="H245" s="872"/>
      <c r="I245" s="1123"/>
      <c r="J245" s="868"/>
      <c r="K245" s="868"/>
      <c r="L245" s="868"/>
      <c r="M245" s="868"/>
      <c r="N245" s="868"/>
      <c r="O245" s="1123"/>
      <c r="P245" s="1119"/>
      <c r="Q245" s="884"/>
      <c r="R245" s="1122"/>
      <c r="S245" s="1124"/>
      <c r="T245" s="1124"/>
      <c r="U245" s="1124"/>
      <c r="V245" s="1124"/>
      <c r="W245" s="1124"/>
      <c r="X245" s="1124"/>
      <c r="Y245" s="1124"/>
      <c r="Z245" s="1124"/>
    </row>
    <row r="246" spans="3:26" ht="24.95" customHeight="1">
      <c r="C246" s="843"/>
      <c r="D246" s="843"/>
      <c r="E246" s="843"/>
      <c r="F246" s="1116"/>
      <c r="G246" s="1117"/>
      <c r="H246" s="872"/>
      <c r="I246" s="1123"/>
      <c r="J246" s="868"/>
      <c r="K246" s="868"/>
      <c r="L246" s="868"/>
      <c r="M246" s="868"/>
      <c r="N246" s="868"/>
      <c r="O246" s="1123"/>
      <c r="P246" s="1119"/>
      <c r="Q246" s="884"/>
      <c r="R246" s="1122"/>
      <c r="S246" s="1124"/>
      <c r="T246" s="1124"/>
      <c r="U246" s="1124"/>
      <c r="V246" s="1124"/>
      <c r="W246" s="1124"/>
      <c r="X246" s="1124"/>
      <c r="Y246" s="1124"/>
      <c r="Z246" s="1124"/>
    </row>
    <row r="247" spans="3:26" ht="24.95" customHeight="1">
      <c r="C247" s="843"/>
      <c r="D247" s="843"/>
      <c r="E247" s="843"/>
      <c r="F247" s="1116"/>
      <c r="G247" s="1117"/>
      <c r="H247" s="872"/>
      <c r="I247" s="1123"/>
      <c r="J247" s="868"/>
      <c r="K247" s="868"/>
      <c r="L247" s="868"/>
      <c r="M247" s="868"/>
      <c r="N247" s="868"/>
      <c r="O247" s="1123"/>
      <c r="P247" s="1119"/>
      <c r="Q247" s="884"/>
      <c r="R247" s="1122"/>
      <c r="S247" s="1124"/>
      <c r="T247" s="1124"/>
      <c r="U247" s="1124"/>
      <c r="V247" s="1124"/>
      <c r="W247" s="1124"/>
      <c r="X247" s="1124"/>
      <c r="Y247" s="1124"/>
      <c r="Z247" s="1124"/>
    </row>
    <row r="248" spans="3:26" ht="24.95" customHeight="1">
      <c r="C248" s="843"/>
      <c r="D248" s="843"/>
      <c r="E248" s="843"/>
      <c r="F248" s="1116"/>
      <c r="G248" s="1117"/>
      <c r="H248" s="872"/>
      <c r="I248" s="1123"/>
      <c r="J248" s="868"/>
      <c r="K248" s="868"/>
      <c r="L248" s="868"/>
      <c r="M248" s="868"/>
      <c r="N248" s="868"/>
      <c r="O248" s="1123"/>
      <c r="P248" s="1119"/>
      <c r="Q248" s="884"/>
      <c r="R248" s="1122"/>
      <c r="S248" s="1124"/>
      <c r="T248" s="1124"/>
      <c r="U248" s="1124"/>
      <c r="V248" s="1124"/>
      <c r="W248" s="1124"/>
      <c r="X248" s="1124"/>
      <c r="Y248" s="1124"/>
      <c r="Z248" s="1124"/>
    </row>
    <row r="249" spans="3:26" ht="24.95" customHeight="1">
      <c r="C249" s="843"/>
      <c r="D249" s="843"/>
      <c r="E249" s="843"/>
      <c r="F249" s="1116"/>
      <c r="G249" s="1117"/>
      <c r="H249" s="872"/>
      <c r="I249" s="1123"/>
      <c r="J249" s="868"/>
      <c r="K249" s="868"/>
      <c r="L249" s="868"/>
      <c r="M249" s="868"/>
      <c r="N249" s="868"/>
      <c r="O249" s="1123"/>
      <c r="P249" s="1119"/>
      <c r="Q249" s="884"/>
      <c r="R249" s="1122"/>
      <c r="S249" s="1124"/>
      <c r="T249" s="1124"/>
      <c r="U249" s="1124"/>
      <c r="V249" s="1124"/>
      <c r="W249" s="1124"/>
      <c r="X249" s="1124"/>
      <c r="Y249" s="1124"/>
      <c r="Z249" s="1124"/>
    </row>
    <row r="250" spans="3:26" ht="24.95" customHeight="1"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868"/>
      <c r="O250" s="1123"/>
      <c r="P250" s="1119"/>
      <c r="Q250" s="884"/>
      <c r="R250" s="1122"/>
      <c r="S250" s="1124"/>
      <c r="T250" s="1124"/>
      <c r="U250" s="1124"/>
      <c r="V250" s="1124"/>
      <c r="W250" s="1124"/>
      <c r="X250" s="1124"/>
      <c r="Y250" s="1124"/>
      <c r="Z250" s="1124"/>
    </row>
    <row r="251" spans="3:26" ht="24.95" customHeight="1"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868"/>
      <c r="O251" s="1123"/>
      <c r="P251" s="1119"/>
      <c r="Q251" s="884"/>
      <c r="R251" s="1122"/>
      <c r="S251" s="1124"/>
      <c r="T251" s="1124"/>
      <c r="U251" s="1124"/>
      <c r="V251" s="1124"/>
      <c r="W251" s="1124"/>
      <c r="X251" s="1124"/>
      <c r="Y251" s="1124"/>
      <c r="Z251" s="1124"/>
    </row>
    <row r="252" spans="3:26" ht="24.95" customHeight="1"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868"/>
      <c r="O252" s="1123"/>
      <c r="P252" s="1119"/>
      <c r="Q252" s="884"/>
      <c r="R252" s="1122"/>
      <c r="S252" s="1124"/>
      <c r="T252" s="1124"/>
      <c r="U252" s="1124"/>
      <c r="V252" s="1124"/>
      <c r="W252" s="1124"/>
      <c r="X252" s="1124"/>
      <c r="Y252" s="1124"/>
      <c r="Z252" s="1124"/>
    </row>
    <row r="253" spans="3:26" ht="24.95" customHeight="1"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868"/>
      <c r="O253" s="1123"/>
      <c r="P253" s="1119"/>
      <c r="Q253" s="884"/>
      <c r="R253" s="1122"/>
      <c r="S253" s="1124"/>
      <c r="T253" s="1124"/>
      <c r="U253" s="1124"/>
      <c r="V253" s="1124"/>
      <c r="W253" s="1124"/>
      <c r="X253" s="1124"/>
      <c r="Y253" s="1124"/>
      <c r="Z253" s="1124"/>
    </row>
    <row r="254" spans="3:26" ht="24.95" customHeight="1"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868"/>
      <c r="O254" s="1123"/>
      <c r="P254" s="1119"/>
      <c r="Q254" s="884"/>
      <c r="R254" s="1122"/>
      <c r="S254" s="1124"/>
      <c r="T254" s="1124"/>
      <c r="U254" s="1124"/>
      <c r="V254" s="1124"/>
      <c r="W254" s="1124"/>
      <c r="X254" s="1124"/>
      <c r="Y254" s="1124"/>
      <c r="Z254" s="1124"/>
    </row>
    <row r="255" spans="3:26" ht="24.95" customHeight="1"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868"/>
      <c r="O255" s="1123"/>
      <c r="P255" s="1119"/>
      <c r="Q255" s="884"/>
      <c r="R255" s="1122"/>
      <c r="S255" s="1124"/>
      <c r="T255" s="1124"/>
      <c r="U255" s="1124"/>
      <c r="V255" s="1124"/>
      <c r="W255" s="1124"/>
      <c r="X255" s="1124"/>
      <c r="Y255" s="1124"/>
      <c r="Z255" s="1124"/>
    </row>
    <row r="256" spans="3:26" ht="24.95" customHeight="1"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868"/>
      <c r="O256" s="1123"/>
      <c r="P256" s="1119"/>
      <c r="Q256" s="884"/>
      <c r="R256" s="1122"/>
      <c r="S256" s="1124"/>
      <c r="T256" s="1124"/>
      <c r="U256" s="1124"/>
      <c r="V256" s="1124"/>
      <c r="W256" s="1124"/>
      <c r="X256" s="1124"/>
      <c r="Y256" s="1124"/>
      <c r="Z256" s="1124"/>
    </row>
    <row r="257" spans="3:26" ht="24.95" customHeight="1"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868"/>
      <c r="O257" s="1123"/>
      <c r="P257" s="1119"/>
      <c r="Q257" s="884"/>
      <c r="R257" s="1122"/>
      <c r="S257" s="1124"/>
      <c r="T257" s="1124"/>
      <c r="U257" s="1124"/>
      <c r="V257" s="1124"/>
      <c r="W257" s="1124"/>
      <c r="X257" s="1124"/>
      <c r="Y257" s="1124"/>
      <c r="Z257" s="1124"/>
    </row>
    <row r="258" spans="3:26" ht="24.95" customHeight="1"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868"/>
      <c r="O258" s="1123"/>
      <c r="P258" s="1119"/>
      <c r="Q258" s="884"/>
      <c r="R258" s="1122"/>
      <c r="S258" s="1124"/>
      <c r="T258" s="1124"/>
      <c r="U258" s="1124"/>
      <c r="V258" s="1124"/>
      <c r="W258" s="1124"/>
      <c r="X258" s="1124"/>
      <c r="Y258" s="1124"/>
      <c r="Z258" s="1124"/>
    </row>
    <row r="259" spans="3:26" ht="24.95" customHeight="1"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868"/>
      <c r="O259" s="1123"/>
      <c r="P259" s="1119"/>
      <c r="Q259" s="884"/>
      <c r="R259" s="1122"/>
      <c r="S259" s="1124"/>
      <c r="T259" s="1124"/>
      <c r="U259" s="1124"/>
      <c r="V259" s="1124"/>
      <c r="W259" s="1124"/>
      <c r="X259" s="1124"/>
      <c r="Y259" s="1124"/>
      <c r="Z259" s="1124"/>
    </row>
    <row r="260" spans="3:26" ht="24.95" customHeight="1"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868"/>
      <c r="O260" s="1123"/>
      <c r="P260" s="1119"/>
      <c r="Q260" s="884"/>
      <c r="R260" s="1122"/>
      <c r="S260" s="1124"/>
      <c r="T260" s="1124"/>
      <c r="U260" s="1124"/>
      <c r="V260" s="1124"/>
      <c r="W260" s="1124"/>
      <c r="X260" s="1124"/>
      <c r="Y260" s="1124"/>
      <c r="Z260" s="1124"/>
    </row>
    <row r="261" spans="3:26" ht="24.95" customHeight="1"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868"/>
      <c r="O261" s="1123"/>
      <c r="P261" s="1119"/>
      <c r="Q261" s="884"/>
      <c r="R261" s="1122"/>
      <c r="S261" s="1124"/>
      <c r="T261" s="1124"/>
      <c r="U261" s="1124"/>
      <c r="V261" s="1124"/>
      <c r="W261" s="1124"/>
      <c r="X261" s="1124"/>
      <c r="Y261" s="1124"/>
      <c r="Z261" s="1124"/>
    </row>
    <row r="262" spans="3:26" ht="24.95" customHeight="1"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868"/>
      <c r="O262" s="1123"/>
      <c r="P262" s="1119"/>
      <c r="Q262" s="884"/>
      <c r="R262" s="1122"/>
      <c r="S262" s="1124"/>
      <c r="T262" s="1124"/>
      <c r="U262" s="1124"/>
      <c r="V262" s="1124"/>
      <c r="W262" s="1124"/>
      <c r="X262" s="1124"/>
      <c r="Y262" s="1124"/>
      <c r="Z262" s="1124"/>
    </row>
    <row r="263" spans="3:26" ht="24.95" customHeight="1"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868"/>
      <c r="O263" s="1123"/>
      <c r="P263" s="1119"/>
      <c r="Q263" s="884"/>
      <c r="R263" s="1122"/>
      <c r="S263" s="1124"/>
      <c r="T263" s="1124"/>
      <c r="U263" s="1124"/>
      <c r="V263" s="1124"/>
      <c r="W263" s="1124"/>
      <c r="X263" s="1124"/>
      <c r="Y263" s="1124"/>
      <c r="Z263" s="1124"/>
    </row>
    <row r="264" spans="3:26" ht="24.95" customHeight="1"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868"/>
      <c r="O264" s="1123"/>
      <c r="P264" s="1119"/>
      <c r="Q264" s="884"/>
      <c r="R264" s="1122"/>
      <c r="S264" s="1124"/>
      <c r="T264" s="1124"/>
      <c r="U264" s="1124"/>
      <c r="V264" s="1124"/>
      <c r="W264" s="1124"/>
      <c r="X264" s="1124"/>
      <c r="Y264" s="1124"/>
      <c r="Z264" s="1124"/>
    </row>
    <row r="265" spans="3:26" ht="24.95" customHeight="1"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868"/>
      <c r="O265" s="1123"/>
      <c r="P265" s="1119"/>
      <c r="Q265" s="884"/>
      <c r="R265" s="1122"/>
      <c r="S265" s="1124"/>
      <c r="T265" s="1124"/>
      <c r="U265" s="1124"/>
      <c r="V265" s="1124"/>
      <c r="W265" s="1124"/>
      <c r="X265" s="1124"/>
      <c r="Y265" s="1124"/>
      <c r="Z265" s="1124"/>
    </row>
    <row r="266" spans="3:26" ht="24.95" customHeight="1"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868"/>
      <c r="O266" s="1123"/>
      <c r="P266" s="1119"/>
      <c r="Q266" s="884"/>
      <c r="R266" s="1122"/>
      <c r="S266" s="1124"/>
      <c r="T266" s="1124"/>
      <c r="U266" s="1124"/>
      <c r="V266" s="1124"/>
      <c r="W266" s="1124"/>
      <c r="X266" s="1124"/>
      <c r="Y266" s="1124"/>
      <c r="Z266" s="1124"/>
    </row>
    <row r="267" spans="3:26" ht="24.95" customHeight="1"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868"/>
      <c r="O267" s="1123"/>
      <c r="P267" s="1119"/>
      <c r="Q267" s="884"/>
      <c r="R267" s="1122"/>
      <c r="S267" s="1124"/>
      <c r="T267" s="1124"/>
      <c r="U267" s="1124"/>
      <c r="V267" s="1124"/>
      <c r="W267" s="1124"/>
      <c r="X267" s="1124"/>
      <c r="Y267" s="1124"/>
      <c r="Z267" s="1124"/>
    </row>
    <row r="268" spans="3:26" ht="24.95" customHeight="1"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868"/>
      <c r="O268" s="1123"/>
      <c r="P268" s="1119"/>
      <c r="Q268" s="884"/>
      <c r="R268" s="1122"/>
      <c r="S268" s="1124"/>
      <c r="T268" s="1124"/>
      <c r="U268" s="1124"/>
      <c r="V268" s="1124"/>
      <c r="W268" s="1124"/>
      <c r="X268" s="1124"/>
      <c r="Y268" s="1124"/>
      <c r="Z268" s="1124"/>
    </row>
    <row r="269" spans="3:26" ht="24.95" customHeight="1"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868"/>
      <c r="O269" s="1123"/>
      <c r="P269" s="1119"/>
      <c r="Q269" s="884"/>
      <c r="R269" s="1122"/>
      <c r="S269" s="1124"/>
      <c r="T269" s="1124"/>
      <c r="U269" s="1124"/>
      <c r="V269" s="1124"/>
      <c r="W269" s="1124"/>
      <c r="X269" s="1124"/>
      <c r="Y269" s="1124"/>
      <c r="Z269" s="1124"/>
    </row>
    <row r="270" spans="3:26" ht="24.95" customHeight="1"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868"/>
      <c r="O270" s="1123"/>
      <c r="P270" s="1119"/>
      <c r="Q270" s="884"/>
      <c r="R270" s="1122"/>
      <c r="S270" s="1124"/>
      <c r="T270" s="1124"/>
      <c r="U270" s="1124"/>
      <c r="V270" s="1124"/>
      <c r="W270" s="1124"/>
      <c r="X270" s="1124"/>
      <c r="Y270" s="1124"/>
      <c r="Z270" s="1124"/>
    </row>
    <row r="271" spans="3:26" ht="24.95" customHeight="1"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868"/>
      <c r="O271" s="1123"/>
      <c r="P271" s="1119"/>
      <c r="Q271" s="884"/>
      <c r="R271" s="1122"/>
      <c r="S271" s="1124"/>
      <c r="T271" s="1124"/>
      <c r="U271" s="1124"/>
      <c r="V271" s="1124"/>
      <c r="W271" s="1124"/>
      <c r="X271" s="1124"/>
      <c r="Y271" s="1124"/>
      <c r="Z271" s="1124"/>
    </row>
    <row r="272" spans="3:26" ht="24.95" customHeight="1"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868"/>
      <c r="O272" s="1123"/>
      <c r="P272" s="1119"/>
      <c r="Q272" s="884"/>
      <c r="R272" s="1122"/>
      <c r="S272" s="1124"/>
      <c r="T272" s="1124"/>
      <c r="U272" s="1124"/>
      <c r="V272" s="1124"/>
      <c r="W272" s="1124"/>
      <c r="X272" s="1124"/>
      <c r="Y272" s="1124"/>
      <c r="Z272" s="1124"/>
    </row>
    <row r="273" spans="3:26" ht="24.95" customHeight="1"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868"/>
      <c r="O273" s="1123"/>
      <c r="P273" s="1119"/>
      <c r="Q273" s="884"/>
      <c r="R273" s="1122"/>
      <c r="S273" s="1124"/>
      <c r="T273" s="1124"/>
      <c r="U273" s="1124"/>
      <c r="V273" s="1124"/>
      <c r="W273" s="1124"/>
      <c r="X273" s="1124"/>
      <c r="Y273" s="1124"/>
      <c r="Z273" s="1124"/>
    </row>
    <row r="274" spans="3:26" ht="24.95" customHeight="1"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868"/>
      <c r="O274" s="1123"/>
      <c r="P274" s="1119"/>
      <c r="Q274" s="884"/>
      <c r="R274" s="1122"/>
      <c r="S274" s="1124"/>
      <c r="T274" s="1124"/>
      <c r="U274" s="1124"/>
      <c r="V274" s="1124"/>
      <c r="W274" s="1124"/>
      <c r="X274" s="1124"/>
      <c r="Y274" s="1124"/>
      <c r="Z274" s="1124"/>
    </row>
    <row r="275" spans="3:26" ht="24.95" customHeight="1"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868"/>
      <c r="O275" s="1123"/>
      <c r="P275" s="1119"/>
      <c r="Q275" s="884"/>
      <c r="R275" s="1122"/>
      <c r="S275" s="1124"/>
      <c r="T275" s="1124"/>
      <c r="U275" s="1124"/>
      <c r="V275" s="1124"/>
      <c r="W275" s="1124"/>
      <c r="X275" s="1124"/>
      <c r="Y275" s="1124"/>
      <c r="Z275" s="1124"/>
    </row>
    <row r="276" spans="3:26" ht="24.95" customHeight="1"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868"/>
      <c r="O276" s="1123"/>
      <c r="P276" s="1119"/>
      <c r="Q276" s="884"/>
      <c r="R276" s="1122"/>
      <c r="S276" s="1124"/>
      <c r="T276" s="1124"/>
      <c r="U276" s="1124"/>
      <c r="V276" s="1124"/>
      <c r="W276" s="1124"/>
      <c r="X276" s="1124"/>
      <c r="Y276" s="1124"/>
      <c r="Z276" s="1124"/>
    </row>
    <row r="277" spans="3:26" ht="24.95" customHeight="1"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868"/>
      <c r="O277" s="1123"/>
      <c r="P277" s="1119"/>
      <c r="Q277" s="884"/>
      <c r="R277" s="1122"/>
      <c r="S277" s="1124"/>
      <c r="T277" s="1124"/>
      <c r="U277" s="1124"/>
      <c r="V277" s="1124"/>
      <c r="W277" s="1124"/>
      <c r="X277" s="1124"/>
      <c r="Y277" s="1124"/>
      <c r="Z277" s="1124"/>
    </row>
    <row r="278" spans="3:26" ht="24.95" customHeight="1"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868"/>
      <c r="O278" s="1123"/>
      <c r="P278" s="1119"/>
      <c r="Q278" s="884"/>
      <c r="R278" s="1122"/>
      <c r="S278" s="1124"/>
      <c r="T278" s="1124"/>
      <c r="U278" s="1124"/>
      <c r="V278" s="1124"/>
      <c r="W278" s="1124"/>
      <c r="X278" s="1124"/>
      <c r="Y278" s="1124"/>
      <c r="Z278" s="1124"/>
    </row>
    <row r="279" spans="3:26" ht="24.95" customHeight="1"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868"/>
      <c r="O279" s="1123"/>
      <c r="P279" s="1119"/>
      <c r="Q279" s="884"/>
      <c r="R279" s="1122"/>
      <c r="S279" s="1124"/>
      <c r="T279" s="1124"/>
      <c r="U279" s="1124"/>
      <c r="V279" s="1124"/>
      <c r="W279" s="1124"/>
      <c r="X279" s="1124"/>
      <c r="Y279" s="1124"/>
      <c r="Z279" s="1124"/>
    </row>
    <row r="280" spans="3:26" ht="24.95" customHeight="1"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868"/>
      <c r="O280" s="1123"/>
      <c r="P280" s="1119"/>
      <c r="Q280" s="884"/>
      <c r="R280" s="1122"/>
      <c r="S280" s="1124"/>
      <c r="T280" s="1124"/>
      <c r="U280" s="1124"/>
      <c r="V280" s="1124"/>
      <c r="W280" s="1124"/>
      <c r="X280" s="1124"/>
      <c r="Y280" s="1124"/>
      <c r="Z280" s="1124"/>
    </row>
    <row r="281" spans="3:26" ht="24.95" customHeight="1"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868"/>
      <c r="O281" s="1123"/>
      <c r="P281" s="1119"/>
      <c r="Q281" s="884"/>
      <c r="R281" s="1122"/>
      <c r="S281" s="1124"/>
      <c r="T281" s="1124"/>
      <c r="U281" s="1124"/>
      <c r="V281" s="1124"/>
      <c r="W281" s="1124"/>
      <c r="X281" s="1124"/>
      <c r="Y281" s="1124"/>
      <c r="Z281" s="1124"/>
    </row>
    <row r="282" spans="3:26" ht="24.95" customHeight="1"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868"/>
      <c r="O282" s="1123"/>
      <c r="P282" s="1119"/>
      <c r="Q282" s="884"/>
      <c r="R282" s="1122"/>
      <c r="S282" s="1124"/>
      <c r="T282" s="1124"/>
      <c r="U282" s="1124"/>
      <c r="V282" s="1124"/>
      <c r="W282" s="1124"/>
      <c r="X282" s="1124"/>
      <c r="Y282" s="1124"/>
      <c r="Z282" s="1124"/>
    </row>
    <row r="283" spans="3:26" ht="24.95" customHeight="1"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868"/>
      <c r="O283" s="1123"/>
      <c r="P283" s="1119"/>
      <c r="Q283" s="884"/>
      <c r="R283" s="1122"/>
      <c r="S283" s="1124"/>
      <c r="T283" s="1124"/>
      <c r="U283" s="1124"/>
      <c r="V283" s="1124"/>
      <c r="W283" s="1124"/>
      <c r="X283" s="1124"/>
      <c r="Y283" s="1124"/>
      <c r="Z283" s="1124"/>
    </row>
    <row r="284" spans="3:26" ht="24.95" customHeight="1"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868"/>
      <c r="O284" s="1123"/>
      <c r="P284" s="1119"/>
      <c r="Q284" s="884"/>
      <c r="R284" s="1122"/>
      <c r="S284" s="1124"/>
      <c r="T284" s="1124"/>
      <c r="U284" s="1124"/>
      <c r="V284" s="1124"/>
      <c r="W284" s="1124"/>
      <c r="X284" s="1124"/>
      <c r="Y284" s="1124"/>
      <c r="Z284" s="1124"/>
    </row>
    <row r="285" spans="3:26" ht="24.95" customHeight="1"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868"/>
      <c r="O285" s="1123"/>
      <c r="P285" s="1119"/>
      <c r="Q285" s="884"/>
      <c r="R285" s="1122"/>
      <c r="S285" s="1124"/>
      <c r="T285" s="1124"/>
      <c r="U285" s="1124"/>
      <c r="V285" s="1124"/>
      <c r="W285" s="1124"/>
      <c r="X285" s="1124"/>
      <c r="Y285" s="1124"/>
      <c r="Z285" s="1124"/>
    </row>
    <row r="286" spans="3:26" ht="24.95" customHeight="1"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868"/>
      <c r="O286" s="1123"/>
      <c r="P286" s="1119"/>
      <c r="Q286" s="884"/>
      <c r="R286" s="1122"/>
      <c r="S286" s="1124"/>
      <c r="T286" s="1124"/>
      <c r="U286" s="1124"/>
      <c r="V286" s="1124"/>
      <c r="W286" s="1124"/>
      <c r="X286" s="1124"/>
      <c r="Y286" s="1124"/>
      <c r="Z286" s="1124"/>
    </row>
    <row r="287" spans="3:26" ht="24.95" customHeight="1"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868"/>
      <c r="O287" s="1123"/>
      <c r="P287" s="1119"/>
      <c r="Q287" s="884"/>
      <c r="R287" s="1122"/>
      <c r="S287" s="1124"/>
      <c r="T287" s="1124"/>
      <c r="U287" s="1124"/>
      <c r="V287" s="1124"/>
      <c r="W287" s="1124"/>
      <c r="X287" s="1124"/>
      <c r="Y287" s="1124"/>
      <c r="Z287" s="1124"/>
    </row>
    <row r="288" spans="3:26" ht="24.95" customHeight="1"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868"/>
      <c r="O288" s="1123"/>
      <c r="P288" s="1119"/>
      <c r="Q288" s="884"/>
      <c r="R288" s="1122"/>
      <c r="S288" s="1124"/>
      <c r="T288" s="1124"/>
      <c r="U288" s="1124"/>
      <c r="V288" s="1124"/>
      <c r="W288" s="1124"/>
      <c r="X288" s="1124"/>
      <c r="Y288" s="1124"/>
      <c r="Z288" s="1124"/>
    </row>
    <row r="289" spans="3:26" ht="24.95" customHeight="1"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868"/>
      <c r="O289" s="1123"/>
      <c r="P289" s="1119"/>
      <c r="Q289" s="884"/>
      <c r="R289" s="1122"/>
      <c r="S289" s="1124"/>
      <c r="T289" s="1124"/>
      <c r="U289" s="1124"/>
      <c r="V289" s="1124"/>
      <c r="W289" s="1124"/>
      <c r="X289" s="1124"/>
      <c r="Y289" s="1124"/>
      <c r="Z289" s="1124"/>
    </row>
    <row r="290" spans="3:26" ht="24.95" customHeight="1"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868"/>
      <c r="O290" s="1123"/>
      <c r="P290" s="1119"/>
      <c r="Q290" s="884"/>
      <c r="R290" s="1122"/>
      <c r="S290" s="1124"/>
      <c r="T290" s="1124"/>
      <c r="U290" s="1124"/>
      <c r="V290" s="1124"/>
      <c r="W290" s="1124"/>
      <c r="X290" s="1124"/>
      <c r="Y290" s="1124"/>
      <c r="Z290" s="1124"/>
    </row>
    <row r="291" spans="3:26" ht="24.95" customHeight="1"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868"/>
      <c r="O291" s="1123"/>
      <c r="P291" s="1119"/>
      <c r="Q291" s="884"/>
      <c r="R291" s="1122"/>
      <c r="S291" s="1124"/>
      <c r="T291" s="1124"/>
      <c r="U291" s="1124"/>
      <c r="V291" s="1124"/>
      <c r="W291" s="1124"/>
      <c r="X291" s="1124"/>
      <c r="Y291" s="1124"/>
      <c r="Z291" s="1124"/>
    </row>
    <row r="292" spans="3:26" ht="24.95" customHeight="1"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868"/>
      <c r="O292" s="1123"/>
      <c r="P292" s="1119"/>
      <c r="Q292" s="884"/>
      <c r="R292" s="1122"/>
      <c r="S292" s="1124"/>
      <c r="T292" s="1124"/>
      <c r="U292" s="1124"/>
      <c r="V292" s="1124"/>
      <c r="W292" s="1124"/>
      <c r="X292" s="1124"/>
      <c r="Y292" s="1124"/>
      <c r="Z292" s="1124"/>
    </row>
    <row r="293" spans="3:26" ht="24.95" customHeight="1"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868"/>
      <c r="O293" s="1123"/>
      <c r="P293" s="1119"/>
      <c r="Q293" s="884"/>
      <c r="R293" s="1122"/>
      <c r="S293" s="1124"/>
      <c r="T293" s="1124"/>
      <c r="U293" s="1124"/>
      <c r="V293" s="1124"/>
      <c r="W293" s="1124"/>
      <c r="X293" s="1124"/>
      <c r="Y293" s="1124"/>
      <c r="Z293" s="1124"/>
    </row>
    <row r="294" spans="3:26" ht="24.95" customHeight="1"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868"/>
      <c r="O294" s="1123"/>
      <c r="P294" s="1119"/>
      <c r="Q294" s="884"/>
      <c r="R294" s="1122"/>
      <c r="S294" s="1124"/>
      <c r="T294" s="1124"/>
      <c r="U294" s="1124"/>
      <c r="V294" s="1124"/>
      <c r="W294" s="1124"/>
      <c r="X294" s="1124"/>
      <c r="Y294" s="1124"/>
      <c r="Z294" s="1124"/>
    </row>
    <row r="295" spans="3:26" ht="24.95" customHeight="1"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868"/>
      <c r="O295" s="1123"/>
      <c r="P295" s="1119"/>
      <c r="Q295" s="884"/>
      <c r="R295" s="1122"/>
      <c r="S295" s="1124"/>
      <c r="T295" s="1124"/>
      <c r="U295" s="1124"/>
      <c r="V295" s="1124"/>
      <c r="W295" s="1124"/>
      <c r="X295" s="1124"/>
      <c r="Y295" s="1124"/>
      <c r="Z295" s="1124"/>
    </row>
    <row r="296" spans="3:26" ht="24.95" customHeight="1"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868"/>
      <c r="O296" s="1123"/>
      <c r="P296" s="1119"/>
      <c r="Q296" s="884"/>
      <c r="R296" s="1122"/>
      <c r="S296" s="1124"/>
      <c r="T296" s="1124"/>
      <c r="U296" s="1124"/>
      <c r="V296" s="1124"/>
      <c r="W296" s="1124"/>
      <c r="X296" s="1124"/>
      <c r="Y296" s="1124"/>
      <c r="Z296" s="1124"/>
    </row>
    <row r="297" spans="3:26" ht="24.95" customHeight="1"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868"/>
      <c r="O297" s="1123"/>
      <c r="P297" s="1119"/>
      <c r="Q297" s="884"/>
      <c r="R297" s="1122"/>
      <c r="S297" s="1124"/>
      <c r="T297" s="1124"/>
      <c r="U297" s="1124"/>
      <c r="V297" s="1124"/>
      <c r="W297" s="1124"/>
      <c r="X297" s="1124"/>
      <c r="Y297" s="1124"/>
      <c r="Z297" s="1124"/>
    </row>
    <row r="298" spans="3:26" ht="24.95" customHeight="1"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868"/>
      <c r="O298" s="1123"/>
      <c r="P298" s="1119"/>
      <c r="Q298" s="884"/>
      <c r="R298" s="1122"/>
      <c r="S298" s="1124"/>
      <c r="T298" s="1124"/>
      <c r="U298" s="1124"/>
      <c r="V298" s="1124"/>
      <c r="W298" s="1124"/>
      <c r="X298" s="1124"/>
      <c r="Y298" s="1124"/>
      <c r="Z298" s="1124"/>
    </row>
    <row r="299" spans="3:26" ht="24.95" customHeight="1"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868"/>
      <c r="O299" s="1123"/>
      <c r="P299" s="1119"/>
      <c r="Q299" s="884"/>
      <c r="R299" s="1122"/>
      <c r="S299" s="1124"/>
      <c r="T299" s="1124"/>
      <c r="U299" s="1124"/>
      <c r="V299" s="1124"/>
      <c r="W299" s="1124"/>
      <c r="X299" s="1124"/>
      <c r="Y299" s="1124"/>
      <c r="Z299" s="1124"/>
    </row>
    <row r="300" spans="3:26" ht="24.95" customHeight="1">
      <c r="C300" s="1125"/>
      <c r="D300" s="1125"/>
      <c r="E300" s="1125"/>
      <c r="F300" s="1126"/>
      <c r="G300" s="1127"/>
      <c r="H300" s="1128"/>
      <c r="I300" s="1129"/>
      <c r="J300" s="1115"/>
      <c r="K300" s="1115"/>
      <c r="L300" s="1115"/>
      <c r="M300" s="1115"/>
      <c r="N300" s="1115"/>
      <c r="O300" s="1129"/>
      <c r="P300" s="1130"/>
      <c r="Q300" s="1131"/>
      <c r="R300" s="1132"/>
      <c r="S300" s="1133"/>
      <c r="T300" s="1133"/>
      <c r="U300" s="1133"/>
      <c r="V300" s="1133"/>
      <c r="W300" s="1133"/>
      <c r="X300" s="1133"/>
      <c r="Y300" s="1133"/>
      <c r="Z300" s="1133"/>
    </row>
    <row r="301" spans="3:26" ht="24.95" customHeight="1">
      <c r="J301" s="256"/>
    </row>
    <row r="302" spans="3:26" ht="24.95" customHeight="1">
      <c r="J302" s="256"/>
    </row>
    <row r="303" spans="3:26" ht="24.95" customHeight="1">
      <c r="J303" s="256"/>
    </row>
    <row r="304" spans="3:26" ht="24.95" customHeight="1">
      <c r="J304" s="256"/>
    </row>
    <row r="305" spans="10:10" ht="24.95" customHeight="1">
      <c r="J305" s="256"/>
    </row>
    <row r="306" spans="10:10" ht="24.95" customHeight="1">
      <c r="J306" s="256"/>
    </row>
    <row r="307" spans="10:10" ht="24.95" customHeight="1">
      <c r="J307" s="256"/>
    </row>
    <row r="308" spans="10:10" ht="24.95" customHeight="1">
      <c r="J308" s="256"/>
    </row>
    <row r="309" spans="10:10" ht="24.95" customHeight="1">
      <c r="J309" s="256"/>
    </row>
    <row r="310" spans="10:10" ht="24.95" customHeight="1">
      <c r="J310" s="256"/>
    </row>
    <row r="311" spans="10:10" ht="24.95" customHeight="1">
      <c r="J311" s="256"/>
    </row>
    <row r="312" spans="10:10" ht="24.95" customHeight="1">
      <c r="J312" s="256"/>
    </row>
    <row r="313" spans="10:10" ht="24.95" customHeight="1">
      <c r="J313" s="256"/>
    </row>
    <row r="314" spans="10:10" ht="24.95" customHeight="1">
      <c r="J314" s="256"/>
    </row>
    <row r="315" spans="10:10" ht="24.95" customHeight="1">
      <c r="J315" s="256"/>
    </row>
    <row r="316" spans="10:10" ht="24.95" customHeight="1">
      <c r="J316" s="256"/>
    </row>
    <row r="317" spans="10:10" ht="24.95" customHeight="1">
      <c r="J317" s="256"/>
    </row>
    <row r="318" spans="10:10" ht="24.95" customHeight="1">
      <c r="J318" s="256"/>
    </row>
    <row r="319" spans="10:10" ht="24.95" customHeight="1">
      <c r="J319" s="256"/>
    </row>
    <row r="320" spans="10:10" ht="24.95" customHeight="1">
      <c r="J320" s="256"/>
    </row>
    <row r="321" spans="10:10" ht="24.95" customHeight="1">
      <c r="J321" s="256"/>
    </row>
    <row r="322" spans="10:10" ht="24.95" customHeight="1">
      <c r="J322" s="256"/>
    </row>
    <row r="323" spans="10:10" ht="24.95" customHeight="1">
      <c r="J323" s="256"/>
    </row>
    <row r="324" spans="10:10" ht="24.95" customHeight="1">
      <c r="J324" s="256"/>
    </row>
    <row r="325" spans="10:10" ht="24.95" customHeight="1">
      <c r="J325" s="256"/>
    </row>
    <row r="326" spans="10:10" ht="24.95" customHeight="1">
      <c r="J326" s="256"/>
    </row>
    <row r="327" spans="10:10" ht="24.95" customHeight="1">
      <c r="J327" s="256"/>
    </row>
    <row r="328" spans="10:10" ht="24.95" customHeight="1">
      <c r="J328" s="256"/>
    </row>
    <row r="329" spans="10:10" ht="24.95" customHeight="1">
      <c r="J329" s="256"/>
    </row>
    <row r="330" spans="10:10" ht="24.95" customHeight="1">
      <c r="J330" s="256"/>
    </row>
    <row r="331" spans="10:10" ht="24.95" customHeight="1">
      <c r="J331" s="256"/>
    </row>
    <row r="332" spans="10:10" ht="24.95" customHeight="1">
      <c r="J332" s="256"/>
    </row>
    <row r="333" spans="10:10" ht="24.95" customHeight="1">
      <c r="J333" s="256"/>
    </row>
    <row r="334" spans="10:10" ht="24.95" customHeight="1">
      <c r="J334" s="256"/>
    </row>
    <row r="335" spans="10:10" ht="24.95" customHeight="1">
      <c r="J335" s="256"/>
    </row>
    <row r="336" spans="10:10" ht="24.95" customHeight="1">
      <c r="J336" s="256"/>
    </row>
    <row r="337" spans="10:10" ht="24.95" customHeight="1">
      <c r="J337" s="256"/>
    </row>
    <row r="338" spans="10:10" ht="24.95" customHeight="1">
      <c r="J338" s="256"/>
    </row>
    <row r="339" spans="10:10" ht="24.95" customHeight="1">
      <c r="J339" s="256"/>
    </row>
    <row r="340" spans="10:10" ht="24.95" customHeight="1">
      <c r="J340" s="256"/>
    </row>
    <row r="341" spans="10:10" ht="24.95" customHeight="1">
      <c r="J341" s="256"/>
    </row>
    <row r="342" spans="10:10" ht="24.95" customHeight="1">
      <c r="J342" s="256"/>
    </row>
    <row r="343" spans="10:10" ht="24.95" customHeight="1">
      <c r="J343" s="256"/>
    </row>
    <row r="344" spans="10:10" ht="24.95" customHeight="1">
      <c r="J344" s="256"/>
    </row>
    <row r="345" spans="10:10" ht="24.95" customHeight="1">
      <c r="J345" s="256"/>
    </row>
    <row r="346" spans="10:10" ht="24.95" customHeight="1">
      <c r="J346" s="256"/>
    </row>
    <row r="347" spans="10:10" ht="24.95" customHeight="1">
      <c r="J347" s="256"/>
    </row>
    <row r="348" spans="10:10" ht="24.95" customHeight="1">
      <c r="J348" s="256"/>
    </row>
    <row r="349" spans="10:10" ht="24.95" customHeight="1">
      <c r="J349" s="256"/>
    </row>
    <row r="350" spans="10:10" ht="24.95" customHeight="1">
      <c r="J350" s="256"/>
    </row>
    <row r="351" spans="10:10" ht="24.95" customHeight="1">
      <c r="J351" s="256"/>
    </row>
    <row r="352" spans="10:10" ht="24.95" customHeight="1">
      <c r="J352" s="256"/>
    </row>
    <row r="353" spans="10:10" ht="24.95" customHeight="1">
      <c r="J353" s="256"/>
    </row>
    <row r="354" spans="10:10" ht="24.95" customHeight="1">
      <c r="J354" s="256"/>
    </row>
    <row r="355" spans="10:10" ht="24.95" customHeight="1">
      <c r="J355" s="256"/>
    </row>
    <row r="356" spans="10:10" ht="24.95" customHeight="1">
      <c r="J356" s="256"/>
    </row>
    <row r="357" spans="10:10" ht="24.95" customHeight="1">
      <c r="J357" s="256"/>
    </row>
    <row r="358" spans="10:10" ht="24.95" customHeight="1">
      <c r="J358" s="256"/>
    </row>
    <row r="359" spans="10:10" ht="24.95" customHeight="1">
      <c r="J359" s="256"/>
    </row>
    <row r="360" spans="10:10" ht="24.95" customHeight="1">
      <c r="J360" s="256"/>
    </row>
    <row r="361" spans="10:10" ht="24.95" customHeight="1">
      <c r="J361" s="256"/>
    </row>
    <row r="362" spans="10:10" ht="24.95" customHeight="1">
      <c r="J362" s="256"/>
    </row>
    <row r="363" spans="10:10" ht="24.95" customHeight="1">
      <c r="J363" s="256"/>
    </row>
    <row r="364" spans="10:10" ht="24.95" customHeight="1">
      <c r="J364" s="256"/>
    </row>
    <row r="365" spans="10:10" ht="24.95" customHeight="1">
      <c r="J365" s="256"/>
    </row>
    <row r="366" spans="10:10" ht="24.95" customHeight="1">
      <c r="J366" s="256"/>
    </row>
    <row r="367" spans="10:10" ht="24.95" customHeight="1">
      <c r="J367" s="256"/>
    </row>
    <row r="368" spans="10:10" ht="24.95" customHeight="1">
      <c r="J368" s="256"/>
    </row>
    <row r="369" spans="10:10" ht="24.95" customHeight="1">
      <c r="J369" s="256"/>
    </row>
    <row r="370" spans="10:10" ht="24.95" customHeight="1">
      <c r="J370" s="256"/>
    </row>
    <row r="371" spans="10:10" ht="24.95" customHeight="1">
      <c r="J371" s="256"/>
    </row>
    <row r="372" spans="10:10" ht="24.95" customHeight="1">
      <c r="J372" s="256"/>
    </row>
    <row r="373" spans="10:10" ht="24.95" customHeight="1">
      <c r="J373" s="256"/>
    </row>
    <row r="374" spans="10:10" ht="24.95" customHeight="1">
      <c r="J374" s="256"/>
    </row>
    <row r="375" spans="10:10" ht="24.95" customHeight="1">
      <c r="J375" s="256"/>
    </row>
    <row r="376" spans="10:10" ht="24.95" customHeight="1">
      <c r="J376" s="256"/>
    </row>
    <row r="377" spans="10:10" ht="24.95" customHeight="1">
      <c r="J377" s="256"/>
    </row>
    <row r="378" spans="10:10" ht="24.95" customHeight="1">
      <c r="J378" s="256"/>
    </row>
    <row r="379" spans="10:10" ht="24.95" customHeight="1">
      <c r="J379" s="256"/>
    </row>
    <row r="380" spans="10:10" ht="24.95" customHeight="1">
      <c r="J380" s="256"/>
    </row>
    <row r="381" spans="10:10" ht="24.95" customHeight="1">
      <c r="J381" s="256"/>
    </row>
    <row r="382" spans="10:10" ht="24.95" customHeight="1">
      <c r="J382" s="256"/>
    </row>
    <row r="383" spans="10:10" ht="24.95" customHeight="1">
      <c r="J383" s="256"/>
    </row>
    <row r="384" spans="10:10" ht="24.95" customHeight="1">
      <c r="J384" s="256"/>
    </row>
    <row r="385" spans="10:10" ht="24.95" customHeight="1">
      <c r="J385" s="256"/>
    </row>
    <row r="386" spans="10:10" ht="24.95" customHeight="1">
      <c r="J386" s="256"/>
    </row>
    <row r="387" spans="10:10" ht="24.95" customHeight="1">
      <c r="J387" s="256"/>
    </row>
    <row r="388" spans="10:10" ht="24.95" customHeight="1">
      <c r="J388" s="256"/>
    </row>
    <row r="389" spans="10:10" ht="24.95" customHeight="1">
      <c r="J389" s="256"/>
    </row>
    <row r="390" spans="10:10" ht="24.95" customHeight="1">
      <c r="J390" s="256"/>
    </row>
    <row r="391" spans="10:10" ht="24.95" customHeight="1">
      <c r="J391" s="256"/>
    </row>
    <row r="392" spans="10:10" ht="24.95" customHeight="1">
      <c r="J392" s="256"/>
    </row>
    <row r="393" spans="10:10" ht="24.95" customHeight="1">
      <c r="J393" s="256"/>
    </row>
    <row r="394" spans="10:10" ht="24.95" customHeight="1">
      <c r="J394" s="256"/>
    </row>
    <row r="395" spans="10:10" ht="24.95" customHeight="1">
      <c r="J395" s="256"/>
    </row>
    <row r="396" spans="10:10" ht="24.95" customHeight="1">
      <c r="J396" s="256"/>
    </row>
    <row r="397" spans="10:10" ht="24.95" customHeight="1">
      <c r="J397" s="256"/>
    </row>
    <row r="398" spans="10:10" ht="24.95" customHeight="1">
      <c r="J398" s="256"/>
    </row>
    <row r="399" spans="10:10" ht="24.95" customHeight="1">
      <c r="J399" s="256"/>
    </row>
    <row r="400" spans="10:10" ht="24.95" customHeight="1">
      <c r="J400" s="256"/>
    </row>
    <row r="401" spans="10:10" ht="24.95" customHeight="1">
      <c r="J401" s="256"/>
    </row>
    <row r="402" spans="10:10" ht="24.95" customHeight="1">
      <c r="J402" s="256"/>
    </row>
    <row r="403" spans="10:10" ht="24.95" customHeight="1">
      <c r="J403" s="256"/>
    </row>
    <row r="404" spans="10:10" ht="24.95" customHeight="1">
      <c r="J404" s="256"/>
    </row>
    <row r="405" spans="10:10" ht="24.95" customHeight="1">
      <c r="J405" s="256"/>
    </row>
    <row r="406" spans="10:10" ht="24.95" customHeight="1">
      <c r="J406" s="256"/>
    </row>
    <row r="407" spans="10:10" ht="24.95" customHeight="1">
      <c r="J407" s="256"/>
    </row>
    <row r="408" spans="10:10" ht="24.95" customHeight="1">
      <c r="J408" s="256"/>
    </row>
    <row r="409" spans="10:10" ht="24.95" customHeight="1">
      <c r="J409" s="256"/>
    </row>
    <row r="410" spans="10:10" ht="24.95" customHeight="1">
      <c r="J410" s="256"/>
    </row>
    <row r="411" spans="10:10" ht="24.95" customHeight="1">
      <c r="J411" s="256"/>
    </row>
    <row r="412" spans="10:10" ht="24.95" customHeight="1">
      <c r="J412" s="256"/>
    </row>
    <row r="413" spans="10:10" ht="24.95" customHeight="1">
      <c r="J413" s="256"/>
    </row>
    <row r="414" spans="10:10" ht="24.95" customHeight="1">
      <c r="J414" s="256"/>
    </row>
    <row r="415" spans="10:10" ht="24.95" customHeight="1">
      <c r="J415" s="256"/>
    </row>
    <row r="416" spans="10:10" ht="24.95" customHeight="1">
      <c r="J416" s="256"/>
    </row>
    <row r="417" spans="10:10" ht="24.95" customHeight="1">
      <c r="J417" s="256"/>
    </row>
    <row r="418" spans="10:10" ht="24.95" customHeight="1">
      <c r="J418" s="256"/>
    </row>
    <row r="419" spans="10:10" ht="24.95" customHeight="1">
      <c r="J419" s="256"/>
    </row>
    <row r="420" spans="10:10" ht="24.95" customHeight="1">
      <c r="J420" s="256"/>
    </row>
    <row r="421" spans="10:10" ht="24.95" customHeight="1">
      <c r="J421" s="256"/>
    </row>
    <row r="422" spans="10:10" ht="24.95" customHeight="1">
      <c r="J422" s="256"/>
    </row>
    <row r="423" spans="10:10" ht="24.95" customHeight="1">
      <c r="J423" s="256"/>
    </row>
    <row r="424" spans="10:10" ht="24.95" customHeight="1">
      <c r="J424" s="256"/>
    </row>
    <row r="425" spans="10:10" ht="24.95" customHeight="1">
      <c r="J425" s="256"/>
    </row>
    <row r="426" spans="10:10" ht="24.95" customHeight="1">
      <c r="J426" s="256"/>
    </row>
    <row r="427" spans="10:10" ht="24.95" customHeight="1">
      <c r="J427" s="256"/>
    </row>
    <row r="428" spans="10:10" ht="24.95" customHeight="1">
      <c r="J428" s="256"/>
    </row>
    <row r="429" spans="10:10" ht="24.95" customHeight="1">
      <c r="J429" s="256"/>
    </row>
    <row r="430" spans="10:10" ht="24.95" customHeight="1">
      <c r="J430" s="256"/>
    </row>
    <row r="431" spans="10:10" ht="24.95" customHeight="1">
      <c r="J431" s="256"/>
    </row>
    <row r="432" spans="10:10" ht="24.95" customHeight="1">
      <c r="J432" s="256"/>
    </row>
    <row r="433" spans="10:10" ht="24.95" customHeight="1">
      <c r="J433" s="256"/>
    </row>
    <row r="434" spans="10:10" ht="24.95" customHeight="1">
      <c r="J434" s="256"/>
    </row>
    <row r="435" spans="10:10" ht="24.95" customHeight="1">
      <c r="J435" s="256"/>
    </row>
    <row r="436" spans="10:10" ht="24.95" customHeight="1">
      <c r="J436" s="256"/>
    </row>
    <row r="437" spans="10:10" ht="24.95" customHeight="1">
      <c r="J437" s="256"/>
    </row>
    <row r="438" spans="10:10" ht="24.95" customHeight="1">
      <c r="J438" s="256"/>
    </row>
    <row r="439" spans="10:10" ht="24.95" customHeight="1">
      <c r="J439" s="256"/>
    </row>
    <row r="440" spans="10:10" ht="24.95" customHeight="1">
      <c r="J440" s="256"/>
    </row>
    <row r="441" spans="10:10" ht="24.95" customHeight="1">
      <c r="J441" s="256"/>
    </row>
    <row r="442" spans="10:10" ht="24.95" customHeight="1">
      <c r="J442" s="256"/>
    </row>
    <row r="443" spans="10:10" ht="24.95" customHeight="1">
      <c r="J443" s="256"/>
    </row>
    <row r="444" spans="10:10" ht="24.95" customHeight="1">
      <c r="J444" s="256"/>
    </row>
    <row r="445" spans="10:10" ht="24.95" customHeight="1">
      <c r="J445" s="256"/>
    </row>
    <row r="446" spans="10:10" ht="24.95" customHeight="1">
      <c r="J446" s="256"/>
    </row>
    <row r="447" spans="10:10" ht="24.95" customHeight="1">
      <c r="J447" s="256"/>
    </row>
    <row r="448" spans="10:10" ht="24.95" customHeight="1">
      <c r="J448" s="256"/>
    </row>
    <row r="449" spans="10:10" ht="24.95" customHeight="1">
      <c r="J449" s="256"/>
    </row>
    <row r="450" spans="10:10" ht="24.95" customHeight="1">
      <c r="J450" s="256"/>
    </row>
    <row r="451" spans="10:10" ht="24.95" customHeight="1">
      <c r="J451" s="256"/>
    </row>
    <row r="452" spans="10:10" ht="24.95" customHeight="1">
      <c r="J452" s="256"/>
    </row>
    <row r="453" spans="10:10" ht="24.95" customHeight="1">
      <c r="J453" s="256"/>
    </row>
    <row r="454" spans="10:10" ht="24.95" customHeight="1">
      <c r="J454" s="256"/>
    </row>
    <row r="455" spans="10:10" ht="24.95" customHeight="1">
      <c r="J455" s="256"/>
    </row>
    <row r="456" spans="10:10" ht="24.95" customHeight="1">
      <c r="J456" s="256"/>
    </row>
    <row r="457" spans="10:10" ht="24.95" customHeight="1">
      <c r="J457" s="256"/>
    </row>
    <row r="458" spans="10:10" ht="24.95" customHeight="1">
      <c r="J458" s="256"/>
    </row>
    <row r="459" spans="10:10" ht="24.95" customHeight="1">
      <c r="J459" s="256"/>
    </row>
    <row r="460" spans="10:10" ht="24.95" customHeight="1">
      <c r="J460" s="256"/>
    </row>
    <row r="461" spans="10:10" ht="24.95" customHeight="1">
      <c r="J461" s="256"/>
    </row>
    <row r="462" spans="10:10" ht="24.95" customHeight="1">
      <c r="J462" s="256"/>
    </row>
    <row r="463" spans="10:10" ht="24.95" customHeight="1">
      <c r="J463" s="256"/>
    </row>
    <row r="464" spans="10:10" ht="24.95" customHeight="1">
      <c r="J464" s="256"/>
    </row>
    <row r="465" spans="10:10" ht="24.95" customHeight="1">
      <c r="J465" s="256"/>
    </row>
    <row r="466" spans="10:10" ht="24.95" customHeight="1">
      <c r="J466" s="256"/>
    </row>
    <row r="467" spans="10:10" ht="24.95" customHeight="1">
      <c r="J467" s="256"/>
    </row>
    <row r="468" spans="10:10" ht="24.95" customHeight="1">
      <c r="J468" s="256"/>
    </row>
    <row r="469" spans="10:10" ht="24.95" customHeight="1">
      <c r="J469" s="256"/>
    </row>
    <row r="470" spans="10:10" ht="24.95" customHeight="1">
      <c r="J470" s="256"/>
    </row>
    <row r="471" spans="10:10" ht="24.95" customHeight="1">
      <c r="J471" s="256"/>
    </row>
    <row r="472" spans="10:10" ht="24.95" customHeight="1">
      <c r="J472" s="256"/>
    </row>
    <row r="473" spans="10:10" ht="24.95" customHeight="1">
      <c r="J473" s="256"/>
    </row>
    <row r="474" spans="10:10" ht="24.95" customHeight="1">
      <c r="J474" s="256"/>
    </row>
    <row r="475" spans="10:10" ht="24.95" customHeight="1">
      <c r="J475" s="256"/>
    </row>
    <row r="476" spans="10:10" ht="24.95" customHeight="1">
      <c r="J476" s="256"/>
    </row>
    <row r="477" spans="10:10" ht="24.95" customHeight="1">
      <c r="J477" s="256"/>
    </row>
    <row r="478" spans="10:10" ht="24.95" customHeight="1">
      <c r="J478" s="256"/>
    </row>
    <row r="479" spans="10:10" ht="24.95" customHeight="1">
      <c r="J479" s="256"/>
    </row>
    <row r="480" spans="10:10" ht="24.95" customHeight="1">
      <c r="J480" s="256"/>
    </row>
    <row r="481" spans="10:10" ht="24.95" customHeight="1">
      <c r="J481" s="256"/>
    </row>
    <row r="482" spans="10:10" ht="24.95" customHeight="1">
      <c r="J482" s="256"/>
    </row>
    <row r="483" spans="10:10" ht="24.95" customHeight="1">
      <c r="J483" s="256"/>
    </row>
    <row r="484" spans="10:10" ht="24.95" customHeight="1">
      <c r="J484" s="256"/>
    </row>
    <row r="485" spans="10:10" ht="24.95" customHeight="1">
      <c r="J485" s="256"/>
    </row>
    <row r="486" spans="10:10" ht="24.95" customHeight="1">
      <c r="J486" s="256"/>
    </row>
    <row r="487" spans="10:10" ht="24.95" customHeight="1">
      <c r="J487" s="256"/>
    </row>
    <row r="488" spans="10:10" ht="24.95" customHeight="1">
      <c r="J488" s="256"/>
    </row>
    <row r="489" spans="10:10" ht="24.95" customHeight="1">
      <c r="J489" s="256"/>
    </row>
    <row r="490" spans="10:10" ht="24.95" customHeight="1">
      <c r="J490" s="256"/>
    </row>
    <row r="491" spans="10:10" ht="24.95" customHeight="1">
      <c r="J491" s="256"/>
    </row>
    <row r="492" spans="10:10" ht="24.95" customHeight="1">
      <c r="J492" s="256"/>
    </row>
    <row r="493" spans="10:10" ht="24.95" customHeight="1">
      <c r="J493" s="256"/>
    </row>
    <row r="494" spans="10:10" ht="24.95" customHeight="1">
      <c r="J494" s="256"/>
    </row>
    <row r="495" spans="10:10" ht="24.95" customHeight="1">
      <c r="J495" s="256"/>
    </row>
    <row r="496" spans="10:10" ht="24.95" customHeight="1">
      <c r="J496" s="256"/>
    </row>
    <row r="497" spans="10:10" ht="24.95" customHeight="1">
      <c r="J497" s="256"/>
    </row>
    <row r="498" spans="10:10" ht="24.95" customHeight="1">
      <c r="J498" s="256"/>
    </row>
    <row r="499" spans="10:10" ht="24.95" customHeight="1">
      <c r="J499" s="256"/>
    </row>
    <row r="500" spans="10:10" ht="24.95" customHeight="1">
      <c r="J500" s="256"/>
    </row>
    <row r="501" spans="10:10" ht="24.95" customHeight="1">
      <c r="J501" s="256"/>
    </row>
    <row r="502" spans="10:10" ht="24.95" customHeight="1">
      <c r="J502" s="256"/>
    </row>
    <row r="503" spans="10:10" ht="24.95" customHeight="1">
      <c r="J503" s="256"/>
    </row>
    <row r="504" spans="10:10" ht="24.95" customHeight="1">
      <c r="J504" s="256"/>
    </row>
    <row r="505" spans="10:10" ht="24.95" customHeight="1">
      <c r="J505" s="256"/>
    </row>
    <row r="506" spans="10:10" ht="24.95" customHeight="1">
      <c r="J506" s="256"/>
    </row>
    <row r="507" spans="10:10" ht="24.95" customHeight="1">
      <c r="J507" s="256"/>
    </row>
    <row r="508" spans="10:10" ht="24.95" customHeight="1">
      <c r="J508" s="256"/>
    </row>
    <row r="509" spans="10:10" ht="24.95" customHeight="1">
      <c r="J509" s="256"/>
    </row>
    <row r="510" spans="10:10" ht="24.95" customHeight="1">
      <c r="J510" s="256"/>
    </row>
    <row r="511" spans="10:10" ht="24.95" customHeight="1">
      <c r="J511" s="256"/>
    </row>
    <row r="512" spans="10:10" ht="24.95" customHeight="1">
      <c r="J512" s="256"/>
    </row>
    <row r="513" spans="10:10" ht="24.95" customHeight="1">
      <c r="J513" s="256"/>
    </row>
    <row r="514" spans="10:10" ht="24.95" customHeight="1">
      <c r="J514" s="256"/>
    </row>
    <row r="515" spans="10:10" ht="24.95" customHeight="1">
      <c r="J515" s="256"/>
    </row>
    <row r="516" spans="10:10" ht="24.95" customHeight="1">
      <c r="J516" s="256"/>
    </row>
    <row r="517" spans="10:10" ht="24.95" customHeight="1">
      <c r="J517" s="256"/>
    </row>
    <row r="518" spans="10:10" ht="24.95" customHeight="1">
      <c r="J518" s="256"/>
    </row>
    <row r="519" spans="10:10" ht="24.95" customHeight="1">
      <c r="J519" s="256"/>
    </row>
    <row r="520" spans="10:10" ht="24.95" customHeight="1">
      <c r="J520" s="256"/>
    </row>
    <row r="521" spans="10:10" ht="24.95" customHeight="1">
      <c r="J521" s="256"/>
    </row>
    <row r="522" spans="10:10" ht="24.95" customHeight="1">
      <c r="J522" s="256"/>
    </row>
    <row r="523" spans="10:10" ht="24.95" customHeight="1">
      <c r="J523" s="256"/>
    </row>
    <row r="524" spans="10:10" ht="24.95" customHeight="1">
      <c r="J524" s="256"/>
    </row>
    <row r="525" spans="10:10" ht="24.95" customHeight="1">
      <c r="J525" s="256"/>
    </row>
    <row r="526" spans="10:10" ht="24.95" customHeight="1">
      <c r="J526" s="256"/>
    </row>
    <row r="527" spans="10:10" ht="24.95" customHeight="1">
      <c r="J527" s="256"/>
    </row>
    <row r="528" spans="10:10" ht="24.95" customHeight="1">
      <c r="J528" s="256"/>
    </row>
    <row r="529" spans="10:10" ht="24.95" customHeight="1">
      <c r="J529" s="256"/>
    </row>
    <row r="530" spans="10:10" ht="24.95" customHeight="1">
      <c r="J530" s="256"/>
    </row>
    <row r="531" spans="10:10" ht="24.95" customHeight="1">
      <c r="J531" s="256"/>
    </row>
    <row r="532" spans="10:10" ht="24.95" customHeight="1">
      <c r="J532" s="256"/>
    </row>
    <row r="533" spans="10:10" ht="24.95" customHeight="1">
      <c r="J533" s="256"/>
    </row>
    <row r="534" spans="10:10" ht="24.95" customHeight="1">
      <c r="J534" s="256"/>
    </row>
    <row r="535" spans="10:10" ht="24.95" customHeight="1">
      <c r="J535" s="256"/>
    </row>
    <row r="536" spans="10:10" ht="24.95" customHeight="1">
      <c r="J536" s="256"/>
    </row>
    <row r="537" spans="10:10" ht="24.95" customHeight="1">
      <c r="J537" s="256"/>
    </row>
    <row r="538" spans="10:10" ht="24.95" customHeight="1">
      <c r="J538" s="256"/>
    </row>
    <row r="539" spans="10:10" ht="24.95" customHeight="1">
      <c r="J539" s="256"/>
    </row>
    <row r="540" spans="10:10" ht="24.95" customHeight="1">
      <c r="J540" s="256"/>
    </row>
    <row r="541" spans="10:10" ht="24.95" customHeight="1">
      <c r="J541" s="256"/>
    </row>
    <row r="542" spans="10:10" ht="24.95" customHeight="1">
      <c r="J542" s="256"/>
    </row>
    <row r="543" spans="10:10" ht="24.95" customHeight="1">
      <c r="J543" s="256"/>
    </row>
    <row r="544" spans="10:10" ht="24.95" customHeight="1">
      <c r="J544" s="256"/>
    </row>
    <row r="545" spans="10:10" ht="24.95" customHeight="1">
      <c r="J545" s="256"/>
    </row>
    <row r="546" spans="10:10" ht="24.95" customHeight="1">
      <c r="J546" s="256"/>
    </row>
    <row r="547" spans="10:10" ht="24.95" customHeight="1">
      <c r="J547" s="256"/>
    </row>
    <row r="548" spans="10:10" ht="24.95" customHeight="1">
      <c r="J548" s="256"/>
    </row>
    <row r="549" spans="10:10" ht="24.95" customHeight="1">
      <c r="J549" s="256"/>
    </row>
    <row r="550" spans="10:10" ht="24.95" customHeight="1">
      <c r="J550" s="256"/>
    </row>
    <row r="551" spans="10:10" ht="24.95" customHeight="1">
      <c r="J551" s="256"/>
    </row>
    <row r="552" spans="10:10" ht="24.95" customHeight="1">
      <c r="J552" s="256"/>
    </row>
    <row r="553" spans="10:10" ht="24.95" customHeight="1">
      <c r="J553" s="256"/>
    </row>
    <row r="554" spans="10:10" ht="24.95" customHeight="1">
      <c r="J554" s="256"/>
    </row>
    <row r="555" spans="10:10" ht="24.95" customHeight="1">
      <c r="J555" s="256"/>
    </row>
    <row r="556" spans="10:10" ht="24.95" customHeight="1">
      <c r="J556" s="256"/>
    </row>
    <row r="557" spans="10:10" ht="24.95" customHeight="1">
      <c r="J557" s="256"/>
    </row>
    <row r="558" spans="10:10" ht="24.95" customHeight="1">
      <c r="J558" s="256"/>
    </row>
    <row r="559" spans="10:10" ht="24.95" customHeight="1">
      <c r="J559" s="256"/>
    </row>
    <row r="560" spans="10:10" ht="24.95" customHeight="1">
      <c r="J560" s="256"/>
    </row>
    <row r="561" spans="10:10" ht="24.95" customHeight="1">
      <c r="J561" s="256"/>
    </row>
    <row r="562" spans="10:10" ht="24.95" customHeight="1">
      <c r="J562" s="256"/>
    </row>
    <row r="563" spans="10:10" ht="24.95" customHeight="1">
      <c r="J563" s="256"/>
    </row>
    <row r="564" spans="10:10" ht="24.95" customHeight="1">
      <c r="J564" s="256"/>
    </row>
    <row r="565" spans="10:10" ht="24.95" customHeight="1">
      <c r="J565" s="256"/>
    </row>
    <row r="566" spans="10:10" ht="24.95" customHeight="1">
      <c r="J566" s="256"/>
    </row>
    <row r="567" spans="10:10" ht="24.95" customHeight="1">
      <c r="J567" s="256"/>
    </row>
    <row r="568" spans="10:10" ht="24.95" customHeight="1">
      <c r="J568" s="256"/>
    </row>
    <row r="569" spans="10:10" ht="24.95" customHeight="1">
      <c r="J569" s="256"/>
    </row>
    <row r="570" spans="10:10" ht="24.95" customHeight="1">
      <c r="J570" s="256"/>
    </row>
    <row r="571" spans="10:10" ht="24.95" customHeight="1">
      <c r="J571" s="256"/>
    </row>
    <row r="572" spans="10:10" ht="24.95" customHeight="1">
      <c r="J572" s="256"/>
    </row>
    <row r="573" spans="10:10" ht="24.95" customHeight="1">
      <c r="J573" s="256"/>
    </row>
    <row r="574" spans="10:10" ht="24.95" customHeight="1">
      <c r="J574" s="256"/>
    </row>
    <row r="575" spans="10:10" ht="24.95" customHeight="1">
      <c r="J575" s="256"/>
    </row>
    <row r="576" spans="10:10" ht="24.95" customHeight="1">
      <c r="J576" s="256"/>
    </row>
    <row r="577" spans="10:10" ht="24.95" customHeight="1">
      <c r="J577" s="256"/>
    </row>
    <row r="578" spans="10:10" ht="24.95" customHeight="1">
      <c r="J578" s="256"/>
    </row>
    <row r="579" spans="10:10" ht="24.95" customHeight="1">
      <c r="J579" s="256"/>
    </row>
    <row r="580" spans="10:10" ht="24.95" customHeight="1">
      <c r="J580" s="256"/>
    </row>
    <row r="581" spans="10:10" ht="24.95" customHeight="1">
      <c r="J581" s="256"/>
    </row>
    <row r="582" spans="10:10" ht="24.95" customHeight="1">
      <c r="J582" s="256"/>
    </row>
    <row r="583" spans="10:10" ht="24.95" customHeight="1">
      <c r="J583" s="256"/>
    </row>
    <row r="584" spans="10:10" ht="24.95" customHeight="1">
      <c r="J584" s="256"/>
    </row>
    <row r="585" spans="10:10" ht="24.95" customHeight="1">
      <c r="J585" s="256"/>
    </row>
    <row r="586" spans="10:10" ht="24.95" customHeight="1">
      <c r="J586" s="256"/>
    </row>
    <row r="587" spans="10:10" ht="24.95" customHeight="1">
      <c r="J587" s="256"/>
    </row>
    <row r="588" spans="10:10" ht="24.95" customHeight="1">
      <c r="J588" s="256"/>
    </row>
    <row r="589" spans="10:10" ht="24.95" customHeight="1">
      <c r="J589" s="256"/>
    </row>
    <row r="590" spans="10:10" ht="24.95" customHeight="1">
      <c r="J590" s="256"/>
    </row>
    <row r="591" spans="10:10" ht="24.95" customHeight="1">
      <c r="J591" s="256"/>
    </row>
    <row r="592" spans="10:10" ht="24.95" customHeight="1">
      <c r="J592" s="256"/>
    </row>
    <row r="593" spans="10:10" ht="24.95" customHeight="1">
      <c r="J593" s="256"/>
    </row>
    <row r="594" spans="10:10" ht="24.95" customHeight="1">
      <c r="J594" s="256"/>
    </row>
    <row r="595" spans="10:10" ht="24.95" customHeight="1">
      <c r="J595" s="256"/>
    </row>
    <row r="596" spans="10:10" ht="24.95" customHeight="1">
      <c r="J596" s="256"/>
    </row>
    <row r="597" spans="10:10" ht="24.95" customHeight="1">
      <c r="J597" s="256"/>
    </row>
    <row r="598" spans="10:10" ht="24.95" customHeight="1">
      <c r="J598" s="256"/>
    </row>
    <row r="599" spans="10:10" ht="24.95" customHeight="1">
      <c r="J599" s="256"/>
    </row>
    <row r="600" spans="10:10" ht="24.95" customHeight="1">
      <c r="J600" s="256"/>
    </row>
    <row r="601" spans="10:10" ht="24.95" customHeight="1">
      <c r="J601" s="256"/>
    </row>
    <row r="602" spans="10:10" ht="24.95" customHeight="1">
      <c r="J602" s="256"/>
    </row>
    <row r="603" spans="10:10" ht="24.95" customHeight="1">
      <c r="J603" s="256"/>
    </row>
    <row r="604" spans="10:10" ht="24.95" customHeight="1">
      <c r="J604" s="256"/>
    </row>
    <row r="605" spans="10:10" ht="24.95" customHeight="1">
      <c r="J605" s="256"/>
    </row>
    <row r="606" spans="10:10" ht="24.95" customHeight="1">
      <c r="J606" s="256"/>
    </row>
    <row r="607" spans="10:10" ht="24.95" customHeight="1">
      <c r="J607" s="256"/>
    </row>
    <row r="608" spans="10:10" ht="24.95" customHeight="1">
      <c r="J608" s="256"/>
    </row>
    <row r="609" spans="10:10" ht="24.95" customHeight="1">
      <c r="J609" s="256"/>
    </row>
    <row r="610" spans="10:10" ht="24.95" customHeight="1">
      <c r="J610" s="256"/>
    </row>
    <row r="611" spans="10:10" ht="24.95" customHeight="1">
      <c r="J611" s="256"/>
    </row>
    <row r="612" spans="10:10" ht="24.95" customHeight="1">
      <c r="J612" s="256"/>
    </row>
    <row r="613" spans="10:10" ht="24.95" customHeight="1">
      <c r="J613" s="256"/>
    </row>
    <row r="614" spans="10:10" ht="24.95" customHeight="1">
      <c r="J614" s="256"/>
    </row>
    <row r="615" spans="10:10" ht="24.95" customHeight="1">
      <c r="J615" s="256"/>
    </row>
    <row r="616" spans="10:10" ht="24.95" customHeight="1">
      <c r="J616" s="256"/>
    </row>
    <row r="617" spans="10:10" ht="24.95" customHeight="1">
      <c r="J617" s="256"/>
    </row>
    <row r="618" spans="10:10" ht="24.95" customHeight="1">
      <c r="J618" s="256"/>
    </row>
    <row r="619" spans="10:10" ht="24.95" customHeight="1">
      <c r="J619" s="256"/>
    </row>
    <row r="620" spans="10:10" ht="24.95" customHeight="1">
      <c r="J620" s="256"/>
    </row>
    <row r="621" spans="10:10" ht="24.95" customHeight="1">
      <c r="J621" s="256"/>
    </row>
    <row r="622" spans="10:10" ht="24.95" customHeight="1">
      <c r="J622" s="256"/>
    </row>
    <row r="623" spans="10:10" ht="24.95" customHeight="1">
      <c r="J623" s="256"/>
    </row>
    <row r="624" spans="10:10" ht="24.95" customHeight="1">
      <c r="J624" s="256"/>
    </row>
    <row r="625" spans="10:10" ht="24.95" customHeight="1">
      <c r="J625" s="256"/>
    </row>
    <row r="626" spans="10:10" ht="24.95" customHeight="1">
      <c r="J626" s="256"/>
    </row>
    <row r="627" spans="10:10" ht="24.95" customHeight="1">
      <c r="J627" s="256"/>
    </row>
    <row r="628" spans="10:10" ht="24.95" customHeight="1">
      <c r="J628" s="256"/>
    </row>
    <row r="629" spans="10:10" ht="24.95" customHeight="1">
      <c r="J629" s="256"/>
    </row>
    <row r="630" spans="10:10" ht="24.95" customHeight="1">
      <c r="J630" s="256"/>
    </row>
    <row r="631" spans="10:10" ht="24.95" customHeight="1">
      <c r="J631" s="256"/>
    </row>
    <row r="632" spans="10:10" ht="24.95" customHeight="1">
      <c r="J632" s="256"/>
    </row>
    <row r="633" spans="10:10" ht="24.95" customHeight="1">
      <c r="J633" s="256"/>
    </row>
    <row r="634" spans="10:10" ht="24.95" customHeight="1">
      <c r="J634" s="256"/>
    </row>
    <row r="635" spans="10:10" ht="24.95" customHeight="1">
      <c r="J635" s="256"/>
    </row>
    <row r="636" spans="10:10" ht="24.95" customHeight="1">
      <c r="J636" s="256"/>
    </row>
    <row r="637" spans="10:10" ht="24.95" customHeight="1">
      <c r="J637" s="256"/>
    </row>
    <row r="638" spans="10:10" ht="24.95" customHeight="1">
      <c r="J638" s="256"/>
    </row>
    <row r="639" spans="10:10" ht="24.95" customHeight="1">
      <c r="J639" s="256"/>
    </row>
    <row r="640" spans="10:10" ht="24.95" customHeight="1">
      <c r="J640" s="256"/>
    </row>
    <row r="641" spans="10:10" ht="24.95" customHeight="1">
      <c r="J641" s="256"/>
    </row>
    <row r="642" spans="10:10" ht="24.95" customHeight="1">
      <c r="J642" s="256"/>
    </row>
    <row r="643" spans="10:10" ht="24.95" customHeight="1">
      <c r="J643" s="256"/>
    </row>
    <row r="644" spans="10:10" ht="24.95" customHeight="1">
      <c r="J644" s="256"/>
    </row>
    <row r="645" spans="10:10" ht="24.95" customHeight="1">
      <c r="J645" s="256"/>
    </row>
    <row r="646" spans="10:10" ht="24.95" customHeight="1">
      <c r="J646" s="256"/>
    </row>
    <row r="647" spans="10:10" ht="24.95" customHeight="1">
      <c r="J647" s="256"/>
    </row>
    <row r="648" spans="10:10" ht="24.95" customHeight="1">
      <c r="J648" s="256"/>
    </row>
    <row r="649" spans="10:10" ht="24.95" customHeight="1">
      <c r="J649" s="256"/>
    </row>
    <row r="650" spans="10:10" ht="24.95" customHeight="1">
      <c r="J650" s="256"/>
    </row>
    <row r="651" spans="10:10" ht="24.95" customHeight="1">
      <c r="J651" s="256"/>
    </row>
    <row r="652" spans="10:10" ht="24.95" customHeight="1">
      <c r="J652" s="256"/>
    </row>
    <row r="653" spans="10:10" ht="24.95" customHeight="1">
      <c r="J653" s="256"/>
    </row>
    <row r="654" spans="10:10" ht="24.95" customHeight="1">
      <c r="J654" s="256"/>
    </row>
    <row r="655" spans="10:10" ht="24.95" customHeight="1">
      <c r="J655" s="256"/>
    </row>
    <row r="656" spans="10:10" ht="24.95" customHeight="1">
      <c r="J656" s="256"/>
    </row>
    <row r="657" spans="10:10" ht="24.95" customHeight="1">
      <c r="J657" s="256"/>
    </row>
    <row r="658" spans="10:10" ht="24.95" customHeight="1">
      <c r="J658" s="256"/>
    </row>
    <row r="659" spans="10:10" ht="24.95" customHeight="1">
      <c r="J659" s="256"/>
    </row>
    <row r="660" spans="10:10" ht="24.95" customHeight="1">
      <c r="J660" s="256"/>
    </row>
    <row r="661" spans="10:10" ht="24.95" customHeight="1">
      <c r="J661" s="256"/>
    </row>
    <row r="662" spans="10:10" ht="24.95" customHeight="1">
      <c r="J662" s="256"/>
    </row>
    <row r="663" spans="10:10" ht="24.95" customHeight="1">
      <c r="J663" s="256"/>
    </row>
    <row r="664" spans="10:10" ht="24.95" customHeight="1">
      <c r="J664" s="256"/>
    </row>
    <row r="665" spans="10:10" ht="24.95" customHeight="1">
      <c r="J665" s="256"/>
    </row>
    <row r="666" spans="10:10" ht="24.95" customHeight="1">
      <c r="J666" s="256"/>
    </row>
    <row r="667" spans="10:10" ht="24.95" customHeight="1">
      <c r="J667" s="256"/>
    </row>
    <row r="668" spans="10:10" ht="24.95" customHeight="1">
      <c r="J668" s="256"/>
    </row>
    <row r="669" spans="10:10" ht="24.95" customHeight="1">
      <c r="J669" s="256"/>
    </row>
    <row r="670" spans="10:10" ht="24.95" customHeight="1">
      <c r="J670" s="256"/>
    </row>
    <row r="671" spans="10:10" ht="24.95" customHeight="1">
      <c r="J671" s="256"/>
    </row>
    <row r="672" spans="10:10" ht="24.95" customHeight="1">
      <c r="J672" s="256"/>
    </row>
    <row r="673" spans="10:10" ht="24.95" customHeight="1">
      <c r="J673" s="256"/>
    </row>
    <row r="674" spans="10:10" ht="24.95" customHeight="1">
      <c r="J674" s="256"/>
    </row>
    <row r="675" spans="10:10" ht="24.95" customHeight="1">
      <c r="J675" s="256"/>
    </row>
    <row r="676" spans="10:10" ht="24.95" customHeight="1">
      <c r="J676" s="256"/>
    </row>
    <row r="677" spans="10:10" ht="24.95" customHeight="1">
      <c r="J677" s="256"/>
    </row>
    <row r="678" spans="10:10" ht="24.95" customHeight="1">
      <c r="J678" s="256"/>
    </row>
    <row r="679" spans="10:10" ht="24.95" customHeight="1">
      <c r="J679" s="256"/>
    </row>
    <row r="680" spans="10:10" ht="24.95" customHeight="1">
      <c r="J680" s="256"/>
    </row>
    <row r="681" spans="10:10" ht="24.95" customHeight="1">
      <c r="J681" s="256"/>
    </row>
    <row r="682" spans="10:10" ht="24.95" customHeight="1">
      <c r="J682" s="256"/>
    </row>
    <row r="683" spans="10:10" ht="24.95" customHeight="1">
      <c r="J683" s="256"/>
    </row>
    <row r="684" spans="10:10" ht="24.95" customHeight="1">
      <c r="J684" s="256"/>
    </row>
    <row r="685" spans="10:10" ht="24.95" customHeight="1">
      <c r="J685" s="256"/>
    </row>
    <row r="686" spans="10:10" ht="24.95" customHeight="1">
      <c r="J686" s="256"/>
    </row>
    <row r="687" spans="10:10" ht="24.95" customHeight="1">
      <c r="J687" s="256"/>
    </row>
    <row r="688" spans="10:10" ht="24.95" customHeight="1">
      <c r="J688" s="256"/>
    </row>
    <row r="689" spans="10:10" ht="24.95" customHeight="1">
      <c r="J689" s="256"/>
    </row>
    <row r="690" spans="10:10" ht="24.95" customHeight="1">
      <c r="J690" s="256"/>
    </row>
    <row r="691" spans="10:10" ht="24.95" customHeight="1">
      <c r="J691" s="256"/>
    </row>
    <row r="692" spans="10:10" ht="24.95" customHeight="1">
      <c r="J692" s="256"/>
    </row>
    <row r="693" spans="10:10" ht="24.95" customHeight="1">
      <c r="J693" s="256"/>
    </row>
    <row r="694" spans="10:10" ht="24.95" customHeight="1">
      <c r="J694" s="256"/>
    </row>
    <row r="695" spans="10:10" ht="24.95" customHeight="1">
      <c r="J695" s="256"/>
    </row>
    <row r="696" spans="10:10" ht="24.95" customHeight="1">
      <c r="J696" s="256"/>
    </row>
    <row r="697" spans="10:10" ht="24.95" customHeight="1">
      <c r="J697" s="256"/>
    </row>
    <row r="698" spans="10:10" ht="24.95" customHeight="1">
      <c r="J698" s="256"/>
    </row>
    <row r="699" spans="10:10" ht="24.95" customHeight="1">
      <c r="J699" s="256"/>
    </row>
    <row r="700" spans="10:10" ht="24.95" customHeight="1">
      <c r="J700" s="256"/>
    </row>
    <row r="701" spans="10:10" ht="24.95" customHeight="1">
      <c r="J701" s="256"/>
    </row>
    <row r="702" spans="10:10" ht="24.95" customHeight="1">
      <c r="J702" s="256"/>
    </row>
    <row r="703" spans="10:10" ht="24.95" customHeight="1">
      <c r="J703" s="256"/>
    </row>
    <row r="704" spans="10:10" ht="24.95" customHeight="1">
      <c r="J704" s="256"/>
    </row>
    <row r="705" spans="10:10" ht="24.95" customHeight="1">
      <c r="J705" s="256"/>
    </row>
    <row r="706" spans="10:10" ht="24.95" customHeight="1">
      <c r="J706" s="256"/>
    </row>
    <row r="707" spans="10:10" ht="24.95" customHeight="1">
      <c r="J707" s="256"/>
    </row>
    <row r="708" spans="10:10" ht="24.95" customHeight="1">
      <c r="J708" s="256"/>
    </row>
    <row r="709" spans="10:10" ht="24.95" customHeight="1">
      <c r="J709" s="256"/>
    </row>
    <row r="710" spans="10:10" ht="24.95" customHeight="1">
      <c r="J710" s="256"/>
    </row>
    <row r="711" spans="10:10" ht="24.95" customHeight="1">
      <c r="J711" s="256"/>
    </row>
    <row r="712" spans="10:10" ht="24.95" customHeight="1">
      <c r="J712" s="256"/>
    </row>
    <row r="713" spans="10:10" ht="24.95" customHeight="1">
      <c r="J713" s="256"/>
    </row>
    <row r="714" spans="10:10" ht="24.95" customHeight="1">
      <c r="J714" s="256"/>
    </row>
    <row r="715" spans="10:10" ht="24.95" customHeight="1">
      <c r="J715" s="256"/>
    </row>
    <row r="716" spans="10:10" ht="24.95" customHeight="1">
      <c r="J716" s="256"/>
    </row>
    <row r="717" spans="10:10" ht="24.95" customHeight="1">
      <c r="J717" s="256"/>
    </row>
    <row r="718" spans="10:10" ht="24.95" customHeight="1">
      <c r="J718" s="256"/>
    </row>
    <row r="719" spans="10:10" ht="24.95" customHeight="1">
      <c r="J719" s="256"/>
    </row>
    <row r="720" spans="10:10" ht="24.95" customHeight="1">
      <c r="J720" s="256"/>
    </row>
    <row r="721" spans="10:10" ht="24.95" customHeight="1">
      <c r="J721" s="256"/>
    </row>
    <row r="722" spans="10:10" ht="24.95" customHeight="1">
      <c r="J722" s="256"/>
    </row>
    <row r="723" spans="10:10" ht="24.95" customHeight="1">
      <c r="J723" s="256"/>
    </row>
    <row r="724" spans="10:10" ht="24.95" customHeight="1">
      <c r="J724" s="256"/>
    </row>
    <row r="725" spans="10:10" ht="24.95" customHeight="1">
      <c r="J725" s="256"/>
    </row>
    <row r="726" spans="10:10" ht="24.95" customHeight="1">
      <c r="J726" s="256"/>
    </row>
    <row r="727" spans="10:10" ht="24.95" customHeight="1">
      <c r="J727" s="256"/>
    </row>
    <row r="728" spans="10:10" ht="24.95" customHeight="1">
      <c r="J728" s="256"/>
    </row>
    <row r="729" spans="10:10" ht="24.95" customHeight="1">
      <c r="J729" s="256"/>
    </row>
    <row r="730" spans="10:10" ht="24.95" customHeight="1">
      <c r="J730" s="256"/>
    </row>
    <row r="731" spans="10:10" ht="24.95" customHeight="1">
      <c r="J731" s="256"/>
    </row>
    <row r="732" spans="10:10" ht="24.95" customHeight="1">
      <c r="J732" s="256"/>
    </row>
    <row r="733" spans="10:10" ht="24.95" customHeight="1">
      <c r="J733" s="256"/>
    </row>
    <row r="734" spans="10:10" ht="24.95" customHeight="1">
      <c r="J734" s="256"/>
    </row>
    <row r="735" spans="10:10" ht="24.95" customHeight="1">
      <c r="J735" s="256"/>
    </row>
    <row r="736" spans="10:10" ht="24.95" customHeight="1">
      <c r="J736" s="256"/>
    </row>
    <row r="737" spans="10:10" ht="24.95" customHeight="1">
      <c r="J737" s="256"/>
    </row>
    <row r="738" spans="10:10" ht="24.95" customHeight="1">
      <c r="J738" s="256"/>
    </row>
    <row r="739" spans="10:10" ht="24.95" customHeight="1">
      <c r="J739" s="256"/>
    </row>
    <row r="740" spans="10:10" ht="24.95" customHeight="1">
      <c r="J740" s="256"/>
    </row>
    <row r="741" spans="10:10" ht="24.95" customHeight="1">
      <c r="J741" s="256"/>
    </row>
    <row r="742" spans="10:10" ht="24.95" customHeight="1">
      <c r="J742" s="256"/>
    </row>
    <row r="743" spans="10:10" ht="24.95" customHeight="1">
      <c r="J743" s="256"/>
    </row>
    <row r="744" spans="10:10" ht="24.95" customHeight="1">
      <c r="J744" s="256"/>
    </row>
    <row r="745" spans="10:10" ht="24.95" customHeight="1">
      <c r="J745" s="256"/>
    </row>
    <row r="746" spans="10:10" ht="24.95" customHeight="1">
      <c r="J746" s="256"/>
    </row>
    <row r="747" spans="10:10" ht="24.95" customHeight="1">
      <c r="J747" s="256"/>
    </row>
    <row r="748" spans="10:10" ht="24.95" customHeight="1">
      <c r="J748" s="256"/>
    </row>
    <row r="749" spans="10:10" ht="24.95" customHeight="1">
      <c r="J749" s="256"/>
    </row>
    <row r="750" spans="10:10" ht="24.95" customHeight="1">
      <c r="J750" s="256"/>
    </row>
    <row r="751" spans="10:10" ht="24.95" customHeight="1">
      <c r="J751" s="256"/>
    </row>
    <row r="752" spans="10:10" ht="24.95" customHeight="1">
      <c r="J752" s="256"/>
    </row>
    <row r="753" spans="10:10" ht="24.95" customHeight="1">
      <c r="J753" s="256"/>
    </row>
    <row r="754" spans="10:10" ht="24.95" customHeight="1">
      <c r="J754" s="256"/>
    </row>
    <row r="755" spans="10:10" ht="24.95" customHeight="1">
      <c r="J755" s="256"/>
    </row>
    <row r="756" spans="10:10" ht="24.95" customHeight="1">
      <c r="J756" s="256"/>
    </row>
    <row r="757" spans="10:10" ht="24.95" customHeight="1">
      <c r="J757" s="256"/>
    </row>
    <row r="758" spans="10:10" ht="24.95" customHeight="1">
      <c r="J758" s="256"/>
    </row>
    <row r="759" spans="10:10" ht="24.95" customHeight="1">
      <c r="J759" s="256"/>
    </row>
    <row r="760" spans="10:10" ht="24.95" customHeight="1">
      <c r="J760" s="256"/>
    </row>
    <row r="761" spans="10:10" ht="24.95" customHeight="1">
      <c r="J761" s="256"/>
    </row>
    <row r="762" spans="10:10" ht="24.95" customHeight="1">
      <c r="J762" s="256"/>
    </row>
    <row r="763" spans="10:10" ht="24.95" customHeight="1">
      <c r="J763" s="256"/>
    </row>
    <row r="764" spans="10:10" ht="24.95" customHeight="1">
      <c r="J764" s="256"/>
    </row>
    <row r="765" spans="10:10" ht="24.95" customHeight="1">
      <c r="J765" s="256"/>
    </row>
    <row r="766" spans="10:10" ht="24.95" customHeight="1">
      <c r="J766" s="256"/>
    </row>
    <row r="767" spans="10:10" ht="24.95" customHeight="1">
      <c r="J767" s="256"/>
    </row>
    <row r="768" spans="10:10" ht="24.95" customHeight="1">
      <c r="J768" s="256"/>
    </row>
    <row r="769" spans="10:10" ht="24.95" customHeight="1">
      <c r="J769" s="256"/>
    </row>
    <row r="770" spans="10:10" ht="24.95" customHeight="1">
      <c r="J770" s="256"/>
    </row>
    <row r="771" spans="10:10" ht="24.95" customHeight="1">
      <c r="J771" s="256"/>
    </row>
    <row r="772" spans="10:10" ht="24.95" customHeight="1">
      <c r="J772" s="256"/>
    </row>
    <row r="773" spans="10:10" ht="24.95" customHeight="1">
      <c r="J773" s="256"/>
    </row>
    <row r="774" spans="10:10" ht="24.95" customHeight="1">
      <c r="J774" s="256"/>
    </row>
    <row r="775" spans="10:10" ht="24.95" customHeight="1">
      <c r="J775" s="256"/>
    </row>
    <row r="776" spans="10:10" ht="24.95" customHeight="1">
      <c r="J776" s="256"/>
    </row>
    <row r="777" spans="10:10" ht="24.95" customHeight="1">
      <c r="J777" s="256"/>
    </row>
    <row r="778" spans="10:10" ht="24.95" customHeight="1">
      <c r="J778" s="256"/>
    </row>
    <row r="779" spans="10:10" ht="24.95" customHeight="1">
      <c r="J779" s="256"/>
    </row>
    <row r="780" spans="10:10" ht="24.95" customHeight="1">
      <c r="J780" s="256"/>
    </row>
    <row r="781" spans="10:10" ht="24.95" customHeight="1">
      <c r="J781" s="256"/>
    </row>
    <row r="782" spans="10:10" ht="24.95" customHeight="1">
      <c r="J782" s="256"/>
    </row>
    <row r="783" spans="10:10" ht="24.95" customHeight="1">
      <c r="J783" s="256"/>
    </row>
    <row r="784" spans="10:10" ht="24.95" customHeight="1">
      <c r="J784" s="256"/>
    </row>
    <row r="785" spans="10:10" ht="24.95" customHeight="1">
      <c r="J785" s="256"/>
    </row>
    <row r="786" spans="10:10" ht="24.95" customHeight="1">
      <c r="J786" s="256"/>
    </row>
    <row r="787" spans="10:10" ht="24.95" customHeight="1">
      <c r="J787" s="256"/>
    </row>
    <row r="788" spans="10:10" ht="24.95" customHeight="1">
      <c r="J788" s="256"/>
    </row>
    <row r="789" spans="10:10" ht="24.95" customHeight="1">
      <c r="J789" s="256"/>
    </row>
    <row r="790" spans="10:10" ht="24.95" customHeight="1">
      <c r="J790" s="256"/>
    </row>
    <row r="791" spans="10:10" ht="24.95" customHeight="1">
      <c r="J791" s="256"/>
    </row>
    <row r="792" spans="10:10" ht="24.95" customHeight="1">
      <c r="J792" s="256"/>
    </row>
    <row r="793" spans="10:10" ht="24.95" customHeight="1">
      <c r="J793" s="256"/>
    </row>
    <row r="794" spans="10:10" ht="24.95" customHeight="1">
      <c r="J794" s="256"/>
    </row>
    <row r="795" spans="10:10" ht="24.95" customHeight="1">
      <c r="J795" s="256"/>
    </row>
    <row r="796" spans="10:10" ht="24.95" customHeight="1">
      <c r="J796" s="256"/>
    </row>
    <row r="797" spans="10:10" ht="24.95" customHeight="1">
      <c r="J797" s="256"/>
    </row>
    <row r="798" spans="10:10" ht="24.95" customHeight="1">
      <c r="J798" s="256"/>
    </row>
    <row r="799" spans="10:10" ht="24.95" customHeight="1">
      <c r="J799" s="256"/>
    </row>
    <row r="800" spans="10:10" ht="24.95" customHeight="1">
      <c r="J800" s="256"/>
    </row>
    <row r="801" spans="10:10" ht="24.95" customHeight="1">
      <c r="J801" s="256"/>
    </row>
  </sheetData>
  <phoneticPr fontId="37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207" xr:uid="{AC94AB0B-E430-40D2-A9D6-AE2DF1311A17}">
      <formula1>product_group_option</formula1>
    </dataValidation>
    <dataValidation type="list" allowBlank="1" showInputMessage="1" showErrorMessage="1" sqref="L8:L207" xr:uid="{1F8635DE-637B-4BC2-9773-012F134362FA}">
      <formula1>product_brand_option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76AE-7AAE-442A-891C-80A7B05BD34F}">
  <sheetPr codeName="Sheet17"/>
  <dimension ref="C1:AF208"/>
  <sheetViews>
    <sheetView showGridLines="0" topLeftCell="J1" zoomScale="80" zoomScaleNormal="80" workbookViewId="0">
      <pane ySplit="7" topLeftCell="A8" activePane="bottomLeft" state="frozen"/>
      <selection activeCell="A4" sqref="A4"/>
      <selection pane="bottomLeft" activeCell="N11" sqref="N11"/>
    </sheetView>
  </sheetViews>
  <sheetFormatPr defaultRowHeight="24.95" customHeight="1"/>
  <cols>
    <col min="1" max="1" width="4.42578125" style="255" customWidth="1"/>
    <col min="2" max="2" width="3.140625" style="255" customWidth="1"/>
    <col min="3" max="3" width="15.140625" style="255" bestFit="1" customWidth="1"/>
    <col min="4" max="4" width="12.7109375" style="255" customWidth="1"/>
    <col min="5" max="5" width="28" style="255" bestFit="1" customWidth="1"/>
    <col min="6" max="6" width="15.85546875" style="255" customWidth="1"/>
    <col min="7" max="7" width="40" style="1113" bestFit="1" customWidth="1"/>
    <col min="8" max="8" width="28.7109375" style="1113" customWidth="1"/>
    <col min="9" max="9" width="18.42578125" style="1150" customWidth="1"/>
    <col min="10" max="10" width="17" style="255" customWidth="1"/>
    <col min="11" max="11" width="14.42578125" style="255" customWidth="1"/>
    <col min="12" max="12" width="14.140625" style="255" customWidth="1"/>
    <col min="13" max="13" width="17.28515625" style="255" customWidth="1"/>
    <col min="14" max="14" width="17.85546875" style="255" customWidth="1"/>
    <col min="15" max="15" width="18.140625" style="255" customWidth="1"/>
    <col min="16" max="16" width="17.28515625" style="255" customWidth="1"/>
    <col min="17" max="17" width="20.5703125" style="255" customWidth="1"/>
    <col min="18" max="18" width="27.5703125" style="255" customWidth="1"/>
    <col min="19" max="19" width="17.85546875" style="255" customWidth="1"/>
    <col min="20" max="20" width="21.140625" style="255" customWidth="1"/>
    <col min="21" max="21" width="18.7109375" style="255" customWidth="1"/>
    <col min="22" max="22" width="22.140625" style="255" customWidth="1"/>
    <col min="23" max="23" width="19" style="255" customWidth="1"/>
    <col min="24" max="24" width="24.28515625" style="255" customWidth="1"/>
    <col min="25" max="25" width="33.140625" style="255" customWidth="1"/>
    <col min="26" max="26" width="3.28515625" style="255" customWidth="1"/>
    <col min="27" max="27" width="25.5703125" style="251" customWidth="1"/>
    <col min="28" max="28" width="18.140625" style="256" customWidth="1"/>
    <col min="29" max="29" width="29.140625" style="757" bestFit="1" customWidth="1"/>
    <col min="30" max="30" width="24.140625" style="408" customWidth="1"/>
    <col min="31" max="31" width="26" style="1147" customWidth="1"/>
    <col min="32" max="32" width="14.7109375" style="408" customWidth="1"/>
    <col min="33" max="16384" width="9.140625" style="255"/>
  </cols>
  <sheetData>
    <row r="1" spans="3:28" ht="25.5" hidden="1"/>
    <row r="2" spans="3:28" ht="30" hidden="1" customHeight="1"/>
    <row r="3" spans="3:28" ht="21.95" hidden="1" customHeight="1"/>
    <row r="4" spans="3:28" ht="33" customHeight="1"/>
    <row r="5" spans="3:28" ht="36.75" customHeight="1"/>
    <row r="6" spans="3:28" ht="31.5" customHeight="1">
      <c r="C6" s="1112" t="s">
        <v>60</v>
      </c>
      <c r="D6" s="1112" t="s">
        <v>2091</v>
      </c>
      <c r="E6" s="1112" t="s">
        <v>1645</v>
      </c>
      <c r="F6" s="1112" t="s">
        <v>2911</v>
      </c>
      <c r="G6" s="1114" t="s">
        <v>1646</v>
      </c>
      <c r="H6" s="1114" t="s">
        <v>1647</v>
      </c>
      <c r="I6" s="1151" t="s">
        <v>3179</v>
      </c>
      <c r="J6" s="1112" t="s">
        <v>2744</v>
      </c>
      <c r="K6" s="1112" t="s">
        <v>2743</v>
      </c>
      <c r="L6" s="1112" t="s">
        <v>63</v>
      </c>
      <c r="M6" s="1112" t="s">
        <v>2884</v>
      </c>
      <c r="N6" s="1112" t="s">
        <v>2299</v>
      </c>
      <c r="O6" s="1112" t="s">
        <v>2726</v>
      </c>
      <c r="P6" s="1112" t="s">
        <v>2300</v>
      </c>
      <c r="Q6" s="1112" t="s">
        <v>2727</v>
      </c>
      <c r="R6" s="1112" t="s">
        <v>3178</v>
      </c>
      <c r="S6" s="1112" t="s">
        <v>3220</v>
      </c>
      <c r="T6" s="1112" t="s">
        <v>64</v>
      </c>
      <c r="U6" s="1112" t="s">
        <v>2301</v>
      </c>
      <c r="V6" s="1112" t="s">
        <v>62</v>
      </c>
      <c r="W6" s="1112" t="s">
        <v>66</v>
      </c>
      <c r="X6" s="1112" t="s">
        <v>2302</v>
      </c>
      <c r="Y6" s="1112" t="s">
        <v>83</v>
      </c>
    </row>
    <row r="7" spans="3:28" ht="21.95" customHeight="1">
      <c r="C7" s="1152" t="s">
        <v>115</v>
      </c>
      <c r="D7" s="1152" t="s">
        <v>12</v>
      </c>
      <c r="E7" s="1152" t="s">
        <v>2238</v>
      </c>
      <c r="F7" s="1152" t="s">
        <v>2910</v>
      </c>
      <c r="G7" s="1153" t="s">
        <v>1648</v>
      </c>
      <c r="H7" s="1153" t="s">
        <v>1649</v>
      </c>
      <c r="I7" s="1154" t="s">
        <v>3177</v>
      </c>
      <c r="J7" s="1152" t="s">
        <v>2745</v>
      </c>
      <c r="K7" s="1152" t="s">
        <v>2746</v>
      </c>
      <c r="L7" s="1152" t="s">
        <v>77</v>
      </c>
      <c r="M7" s="1152" t="s">
        <v>29</v>
      </c>
      <c r="N7" s="1152" t="s">
        <v>2303</v>
      </c>
      <c r="O7" s="1152" t="s">
        <v>2007</v>
      </c>
      <c r="P7" s="1152" t="s">
        <v>2304</v>
      </c>
      <c r="Q7" s="1152" t="s">
        <v>2305</v>
      </c>
      <c r="R7" s="1152" t="s">
        <v>2720</v>
      </c>
      <c r="S7" s="1152" t="s">
        <v>1589</v>
      </c>
      <c r="T7" s="1152" t="s">
        <v>1588</v>
      </c>
      <c r="U7" s="1152" t="s">
        <v>2721</v>
      </c>
      <c r="V7" s="1152" t="s">
        <v>14</v>
      </c>
      <c r="W7" s="1152" t="s">
        <v>2885</v>
      </c>
      <c r="X7" s="1152" t="s">
        <v>1650</v>
      </c>
      <c r="Y7" s="1152" t="s">
        <v>86</v>
      </c>
    </row>
    <row r="8" spans="3:28" ht="24.95" customHeight="1">
      <c r="C8" s="1155" t="s">
        <v>2708</v>
      </c>
      <c r="D8" s="1156"/>
      <c r="E8" s="1156" t="s">
        <v>2306</v>
      </c>
      <c r="F8" s="1156" t="s">
        <v>2213</v>
      </c>
      <c r="G8" s="1157" t="s">
        <v>2953</v>
      </c>
      <c r="H8" s="1157" t="s">
        <v>2972</v>
      </c>
      <c r="I8" s="1158">
        <v>27.34</v>
      </c>
      <c r="J8" s="1159">
        <v>27.34</v>
      </c>
      <c r="K8" s="1159"/>
      <c r="L8" s="1159">
        <v>27.34</v>
      </c>
      <c r="M8" s="1159">
        <v>28.5</v>
      </c>
      <c r="N8" s="1160">
        <v>20</v>
      </c>
      <c r="O8" s="1159">
        <f>I8*N8</f>
        <v>546.79999999999995</v>
      </c>
      <c r="P8" s="1160">
        <v>4</v>
      </c>
      <c r="Q8" s="1159">
        <f>P8*I8</f>
        <v>109.36</v>
      </c>
      <c r="R8" s="1159">
        <f>O8+Q8</f>
        <v>656.16</v>
      </c>
      <c r="S8" s="1159">
        <v>28</v>
      </c>
      <c r="T8" s="1159">
        <v>28.5</v>
      </c>
      <c r="U8" s="1159">
        <f t="shared" ref="U8:U39" si="0">P8*T8</f>
        <v>114</v>
      </c>
      <c r="V8" s="1161" t="s">
        <v>2939</v>
      </c>
      <c r="W8" s="1160">
        <v>1</v>
      </c>
      <c r="X8" s="1162" t="s">
        <v>2308</v>
      </c>
      <c r="Y8" s="1155" t="s">
        <v>2309</v>
      </c>
      <c r="AB8" s="1146"/>
    </row>
    <row r="9" spans="3:28" ht="24.95" customHeight="1">
      <c r="C9" s="1155" t="s">
        <v>2709</v>
      </c>
      <c r="D9" s="1156"/>
      <c r="E9" s="1156" t="s">
        <v>2310</v>
      </c>
      <c r="F9" s="1156" t="s">
        <v>2213</v>
      </c>
      <c r="G9" s="1157" t="s">
        <v>2953</v>
      </c>
      <c r="H9" s="1157" t="s">
        <v>2972</v>
      </c>
      <c r="I9" s="1158">
        <v>11.32</v>
      </c>
      <c r="J9" s="1159">
        <v>11.32</v>
      </c>
      <c r="K9" s="1159"/>
      <c r="L9" s="1159">
        <v>11.32</v>
      </c>
      <c r="M9" s="1159">
        <v>12</v>
      </c>
      <c r="N9" s="1160">
        <v>15</v>
      </c>
      <c r="O9" s="1159">
        <f t="shared" ref="O9:O72" si="1">I9*N9</f>
        <v>169.8</v>
      </c>
      <c r="P9" s="1160">
        <v>5</v>
      </c>
      <c r="Q9" s="1159">
        <f t="shared" ref="Q9:Q72" si="2">P9*I9</f>
        <v>56.6</v>
      </c>
      <c r="R9" s="1159">
        <f t="shared" ref="R9:R39" si="3">O9+Q9</f>
        <v>226.4</v>
      </c>
      <c r="S9" s="1159">
        <v>11.75</v>
      </c>
      <c r="T9" s="1159">
        <v>12</v>
      </c>
      <c r="U9" s="1159">
        <f t="shared" si="0"/>
        <v>60</v>
      </c>
      <c r="V9" s="1161" t="s">
        <v>2939</v>
      </c>
      <c r="W9" s="1160">
        <v>1</v>
      </c>
      <c r="X9" s="1162" t="s">
        <v>2311</v>
      </c>
      <c r="Y9" s="1155" t="s">
        <v>2309</v>
      </c>
      <c r="AB9" s="1146"/>
    </row>
    <row r="10" spans="3:28" ht="24.95" customHeight="1">
      <c r="C10" s="1155" t="s">
        <v>2710</v>
      </c>
      <c r="D10" s="1156"/>
      <c r="E10" s="1156" t="s">
        <v>2312</v>
      </c>
      <c r="F10" s="1156" t="s">
        <v>2213</v>
      </c>
      <c r="G10" s="1157" t="s">
        <v>2953</v>
      </c>
      <c r="H10" s="1157" t="s">
        <v>2972</v>
      </c>
      <c r="I10" s="1158">
        <v>8.8000000000000007</v>
      </c>
      <c r="J10" s="1159">
        <v>8.8000000000000007</v>
      </c>
      <c r="K10" s="1159"/>
      <c r="L10" s="1159">
        <v>8.8000000000000007</v>
      </c>
      <c r="M10" s="1159">
        <v>9.5</v>
      </c>
      <c r="N10" s="1160">
        <v>0</v>
      </c>
      <c r="O10" s="1159">
        <f t="shared" si="1"/>
        <v>0</v>
      </c>
      <c r="P10" s="1160">
        <v>0</v>
      </c>
      <c r="Q10" s="1159">
        <f t="shared" si="2"/>
        <v>0</v>
      </c>
      <c r="R10" s="1159">
        <f t="shared" si="3"/>
        <v>0</v>
      </c>
      <c r="S10" s="1159">
        <v>9</v>
      </c>
      <c r="T10" s="1159">
        <v>9.5</v>
      </c>
      <c r="U10" s="1159">
        <f t="shared" si="0"/>
        <v>0</v>
      </c>
      <c r="V10" s="1161" t="s">
        <v>2939</v>
      </c>
      <c r="W10" s="1160">
        <v>1</v>
      </c>
      <c r="X10" s="1162" t="s">
        <v>2313</v>
      </c>
      <c r="Y10" s="1155" t="s">
        <v>2309</v>
      </c>
      <c r="AB10" s="1146"/>
    </row>
    <row r="11" spans="3:28" ht="24.95" customHeight="1">
      <c r="C11" s="1155" t="s">
        <v>2711</v>
      </c>
      <c r="D11" s="1156"/>
      <c r="E11" s="1156" t="s">
        <v>2314</v>
      </c>
      <c r="F11" s="1156" t="s">
        <v>2213</v>
      </c>
      <c r="G11" s="1157" t="s">
        <v>2953</v>
      </c>
      <c r="H11" s="1157" t="s">
        <v>2972</v>
      </c>
      <c r="I11" s="1158">
        <v>5.8</v>
      </c>
      <c r="J11" s="1159">
        <v>5.8</v>
      </c>
      <c r="K11" s="1159"/>
      <c r="L11" s="1159">
        <v>5.8</v>
      </c>
      <c r="M11" s="1159">
        <v>6.5</v>
      </c>
      <c r="N11" s="1160">
        <v>17</v>
      </c>
      <c r="O11" s="1159">
        <f t="shared" si="1"/>
        <v>98.6</v>
      </c>
      <c r="P11" s="1160">
        <v>7</v>
      </c>
      <c r="Q11" s="1159">
        <f t="shared" si="2"/>
        <v>40.6</v>
      </c>
      <c r="R11" s="1159">
        <f t="shared" si="3"/>
        <v>139.19999999999999</v>
      </c>
      <c r="S11" s="1159">
        <v>6</v>
      </c>
      <c r="T11" s="1159">
        <v>6.5</v>
      </c>
      <c r="U11" s="1159">
        <f t="shared" si="0"/>
        <v>45.5</v>
      </c>
      <c r="V11" s="1161" t="s">
        <v>2939</v>
      </c>
      <c r="W11" s="1160">
        <v>1</v>
      </c>
      <c r="X11" s="1162" t="s">
        <v>2315</v>
      </c>
      <c r="Y11" s="1155" t="s">
        <v>2309</v>
      </c>
      <c r="AB11" s="1146"/>
    </row>
    <row r="12" spans="3:28" ht="24.95" customHeight="1">
      <c r="C12" s="1155" t="s">
        <v>2712</v>
      </c>
      <c r="D12" s="1156"/>
      <c r="E12" s="1156" t="s">
        <v>2316</v>
      </c>
      <c r="F12" s="1156" t="s">
        <v>2213</v>
      </c>
      <c r="G12" s="1157" t="s">
        <v>2953</v>
      </c>
      <c r="H12" s="1157" t="s">
        <v>2972</v>
      </c>
      <c r="I12" s="1158">
        <v>3.74</v>
      </c>
      <c r="J12" s="1159">
        <v>3.74</v>
      </c>
      <c r="K12" s="1159"/>
      <c r="L12" s="1159">
        <v>3.74</v>
      </c>
      <c r="M12" s="1159">
        <v>4.25</v>
      </c>
      <c r="N12" s="1160">
        <v>15</v>
      </c>
      <c r="O12" s="1159">
        <f t="shared" si="1"/>
        <v>56.1</v>
      </c>
      <c r="P12" s="1160">
        <v>6</v>
      </c>
      <c r="Q12" s="1159">
        <f t="shared" si="2"/>
        <v>22.44</v>
      </c>
      <c r="R12" s="1159">
        <f t="shared" si="3"/>
        <v>78.540000000000006</v>
      </c>
      <c r="S12" s="1159">
        <v>4</v>
      </c>
      <c r="T12" s="1159">
        <v>4.25</v>
      </c>
      <c r="U12" s="1159">
        <f t="shared" si="0"/>
        <v>25.5</v>
      </c>
      <c r="V12" s="1161" t="s">
        <v>2939</v>
      </c>
      <c r="W12" s="1160">
        <v>1</v>
      </c>
      <c r="X12" s="1162" t="s">
        <v>2317</v>
      </c>
      <c r="Y12" s="1155" t="s">
        <v>2309</v>
      </c>
      <c r="AB12" s="1146"/>
    </row>
    <row r="13" spans="3:28" ht="24.95" customHeight="1">
      <c r="C13" s="1155" t="s">
        <v>2713</v>
      </c>
      <c r="D13" s="1156"/>
      <c r="E13" s="1156" t="s">
        <v>2318</v>
      </c>
      <c r="F13" s="1156" t="s">
        <v>2213</v>
      </c>
      <c r="G13" s="1157" t="s">
        <v>2953</v>
      </c>
      <c r="H13" s="1157" t="s">
        <v>2972</v>
      </c>
      <c r="I13" s="1158">
        <v>2.89</v>
      </c>
      <c r="J13" s="1159">
        <v>2.89</v>
      </c>
      <c r="K13" s="1159"/>
      <c r="L13" s="1159">
        <v>2.89</v>
      </c>
      <c r="M13" s="1159">
        <v>3.5</v>
      </c>
      <c r="N13" s="1160">
        <v>0</v>
      </c>
      <c r="O13" s="1159">
        <f t="shared" si="1"/>
        <v>0</v>
      </c>
      <c r="P13" s="1160">
        <v>0</v>
      </c>
      <c r="Q13" s="1159">
        <f t="shared" si="2"/>
        <v>0</v>
      </c>
      <c r="R13" s="1159">
        <f t="shared" si="3"/>
        <v>0</v>
      </c>
      <c r="S13" s="1159">
        <v>3.1</v>
      </c>
      <c r="T13" s="1159">
        <v>3.5</v>
      </c>
      <c r="U13" s="1159">
        <f t="shared" si="0"/>
        <v>0</v>
      </c>
      <c r="V13" s="1161" t="s">
        <v>2939</v>
      </c>
      <c r="W13" s="1160">
        <v>1</v>
      </c>
      <c r="X13" s="1162" t="s">
        <v>2319</v>
      </c>
      <c r="Y13" s="1155" t="s">
        <v>2309</v>
      </c>
      <c r="AB13" s="1146"/>
    </row>
    <row r="14" spans="3:28" ht="24.95" customHeight="1">
      <c r="C14" s="1155" t="s">
        <v>2714</v>
      </c>
      <c r="D14" s="1156"/>
      <c r="E14" s="1156" t="s">
        <v>2320</v>
      </c>
      <c r="F14" s="1156" t="s">
        <v>2213</v>
      </c>
      <c r="G14" s="1157" t="s">
        <v>2953</v>
      </c>
      <c r="H14" s="1157" t="s">
        <v>2972</v>
      </c>
      <c r="I14" s="1158">
        <v>1.79</v>
      </c>
      <c r="J14" s="1159">
        <v>1.79</v>
      </c>
      <c r="K14" s="1159"/>
      <c r="L14" s="1159">
        <v>1.79</v>
      </c>
      <c r="M14" s="1159">
        <v>2.5</v>
      </c>
      <c r="N14" s="1160">
        <v>14</v>
      </c>
      <c r="O14" s="1159">
        <f t="shared" si="1"/>
        <v>25.060000000000002</v>
      </c>
      <c r="P14" s="1160">
        <v>8</v>
      </c>
      <c r="Q14" s="1159">
        <f t="shared" si="2"/>
        <v>14.32</v>
      </c>
      <c r="R14" s="1159">
        <f t="shared" si="3"/>
        <v>39.380000000000003</v>
      </c>
      <c r="S14" s="1159">
        <v>2.1</v>
      </c>
      <c r="T14" s="1159">
        <v>2.5</v>
      </c>
      <c r="U14" s="1159">
        <f t="shared" si="0"/>
        <v>20</v>
      </c>
      <c r="V14" s="1161" t="s">
        <v>2939</v>
      </c>
      <c r="W14" s="1160">
        <v>1</v>
      </c>
      <c r="X14" s="1162" t="s">
        <v>2321</v>
      </c>
      <c r="Y14" s="1155" t="s">
        <v>2309</v>
      </c>
      <c r="AB14" s="1146"/>
    </row>
    <row r="15" spans="3:28" ht="24.95" customHeight="1">
      <c r="C15" s="1155" t="s">
        <v>2715</v>
      </c>
      <c r="D15" s="1156"/>
      <c r="E15" s="1156" t="s">
        <v>2322</v>
      </c>
      <c r="F15" s="1156" t="s">
        <v>2213</v>
      </c>
      <c r="G15" s="1157" t="s">
        <v>2953</v>
      </c>
      <c r="H15" s="1157" t="s">
        <v>2972</v>
      </c>
      <c r="I15" s="1158">
        <v>1.32</v>
      </c>
      <c r="J15" s="1159">
        <v>1.32</v>
      </c>
      <c r="K15" s="1159"/>
      <c r="L15" s="1159">
        <v>1.32</v>
      </c>
      <c r="M15" s="1159">
        <v>1.75</v>
      </c>
      <c r="N15" s="1160">
        <v>15</v>
      </c>
      <c r="O15" s="1159">
        <f t="shared" si="1"/>
        <v>19.8</v>
      </c>
      <c r="P15" s="1160">
        <v>5</v>
      </c>
      <c r="Q15" s="1159">
        <f t="shared" si="2"/>
        <v>6.6000000000000005</v>
      </c>
      <c r="R15" s="1159">
        <f t="shared" si="3"/>
        <v>26.400000000000002</v>
      </c>
      <c r="S15" s="1159">
        <v>1.5</v>
      </c>
      <c r="T15" s="1159">
        <v>1.75</v>
      </c>
      <c r="U15" s="1159">
        <f t="shared" si="0"/>
        <v>8.75</v>
      </c>
      <c r="V15" s="1161" t="s">
        <v>2939</v>
      </c>
      <c r="W15" s="1160">
        <v>1</v>
      </c>
      <c r="X15" s="1162" t="s">
        <v>2323</v>
      </c>
      <c r="Y15" s="1155" t="s">
        <v>2309</v>
      </c>
      <c r="AB15" s="1146"/>
    </row>
    <row r="16" spans="3:28" ht="24.95" customHeight="1">
      <c r="C16" s="1155" t="s">
        <v>2716</v>
      </c>
      <c r="D16" s="1156"/>
      <c r="E16" s="1156" t="s">
        <v>2324</v>
      </c>
      <c r="F16" s="1156" t="s">
        <v>2213</v>
      </c>
      <c r="G16" s="1157" t="s">
        <v>2953</v>
      </c>
      <c r="H16" s="1157" t="s">
        <v>2972</v>
      </c>
      <c r="I16" s="1158">
        <v>1.1499999999999999</v>
      </c>
      <c r="J16" s="1159">
        <v>1.1499999999999999</v>
      </c>
      <c r="K16" s="1159"/>
      <c r="L16" s="1159">
        <v>1.1499999999999999</v>
      </c>
      <c r="M16" s="1159">
        <v>1.5</v>
      </c>
      <c r="N16" s="1160">
        <v>15</v>
      </c>
      <c r="O16" s="1159">
        <f t="shared" si="1"/>
        <v>17.25</v>
      </c>
      <c r="P16" s="1160">
        <v>7</v>
      </c>
      <c r="Q16" s="1159">
        <f t="shared" si="2"/>
        <v>8.0499999999999989</v>
      </c>
      <c r="R16" s="1159">
        <f t="shared" si="3"/>
        <v>25.299999999999997</v>
      </c>
      <c r="S16" s="1159">
        <v>1.35</v>
      </c>
      <c r="T16" s="1159">
        <v>1.5</v>
      </c>
      <c r="U16" s="1159">
        <f t="shared" si="0"/>
        <v>10.5</v>
      </c>
      <c r="V16" s="1161" t="s">
        <v>2939</v>
      </c>
      <c r="W16" s="1160">
        <v>1</v>
      </c>
      <c r="X16" s="1162" t="s">
        <v>2325</v>
      </c>
      <c r="Y16" s="1155" t="s">
        <v>2309</v>
      </c>
      <c r="AB16" s="1146"/>
    </row>
    <row r="17" spans="3:28" ht="24.95" customHeight="1">
      <c r="C17" s="1155" t="s">
        <v>2326</v>
      </c>
      <c r="D17" s="1156"/>
      <c r="E17" s="1156" t="s">
        <v>2306</v>
      </c>
      <c r="F17" s="1156" t="s">
        <v>2213</v>
      </c>
      <c r="G17" s="1157" t="s">
        <v>2953</v>
      </c>
      <c r="H17" s="1157" t="s">
        <v>2973</v>
      </c>
      <c r="I17" s="1158">
        <v>14.85</v>
      </c>
      <c r="J17" s="1159">
        <v>14.85</v>
      </c>
      <c r="K17" s="1159"/>
      <c r="L17" s="1159">
        <v>14.85</v>
      </c>
      <c r="M17" s="1159">
        <v>15.5</v>
      </c>
      <c r="N17" s="1160">
        <v>20</v>
      </c>
      <c r="O17" s="1159">
        <f t="shared" si="1"/>
        <v>297</v>
      </c>
      <c r="P17" s="1160">
        <v>10</v>
      </c>
      <c r="Q17" s="1159">
        <f t="shared" si="2"/>
        <v>148.5</v>
      </c>
      <c r="R17" s="1159">
        <f t="shared" si="3"/>
        <v>445.5</v>
      </c>
      <c r="S17" s="1159">
        <v>15.2</v>
      </c>
      <c r="T17" s="1159">
        <v>15.5</v>
      </c>
      <c r="U17" s="1159">
        <f t="shared" si="0"/>
        <v>155</v>
      </c>
      <c r="V17" s="1161" t="s">
        <v>2939</v>
      </c>
      <c r="W17" s="1160">
        <v>1</v>
      </c>
      <c r="X17" s="1162" t="s">
        <v>2308</v>
      </c>
      <c r="Y17" s="1155" t="s">
        <v>2309</v>
      </c>
      <c r="AB17" s="1146"/>
    </row>
    <row r="18" spans="3:28" ht="24.95" customHeight="1">
      <c r="C18" s="1155" t="s">
        <v>2327</v>
      </c>
      <c r="D18" s="1156"/>
      <c r="E18" s="1156" t="s">
        <v>2328</v>
      </c>
      <c r="F18" s="1156" t="s">
        <v>2213</v>
      </c>
      <c r="G18" s="1157" t="s">
        <v>2953</v>
      </c>
      <c r="H18" s="1157" t="s">
        <v>2973</v>
      </c>
      <c r="I18" s="1158">
        <v>9.52</v>
      </c>
      <c r="J18" s="1159">
        <v>9.52</v>
      </c>
      <c r="K18" s="1159"/>
      <c r="L18" s="1159">
        <v>9.52</v>
      </c>
      <c r="M18" s="1159">
        <v>10.199999999999999</v>
      </c>
      <c r="N18" s="1160">
        <v>17</v>
      </c>
      <c r="O18" s="1159">
        <f t="shared" si="1"/>
        <v>161.84</v>
      </c>
      <c r="P18" s="1160">
        <v>10</v>
      </c>
      <c r="Q18" s="1159">
        <f t="shared" si="2"/>
        <v>95.199999999999989</v>
      </c>
      <c r="R18" s="1159">
        <f t="shared" si="3"/>
        <v>257.03999999999996</v>
      </c>
      <c r="S18" s="1159">
        <v>9.8000000000000007</v>
      </c>
      <c r="T18" s="1159">
        <v>10.199999999999999</v>
      </c>
      <c r="U18" s="1159">
        <f t="shared" si="0"/>
        <v>102</v>
      </c>
      <c r="V18" s="1161" t="s">
        <v>2939</v>
      </c>
      <c r="W18" s="1160">
        <v>1</v>
      </c>
      <c r="X18" s="1162" t="s">
        <v>2311</v>
      </c>
      <c r="Y18" s="1155" t="s">
        <v>2309</v>
      </c>
      <c r="AB18" s="1146"/>
    </row>
    <row r="19" spans="3:28" ht="24.95" customHeight="1">
      <c r="C19" s="1155" t="s">
        <v>2329</v>
      </c>
      <c r="D19" s="1156"/>
      <c r="E19" s="1156" t="s">
        <v>2312</v>
      </c>
      <c r="F19" s="1156" t="s">
        <v>2213</v>
      </c>
      <c r="G19" s="1157" t="s">
        <v>2953</v>
      </c>
      <c r="H19" s="1157" t="s">
        <v>2973</v>
      </c>
      <c r="I19" s="1158">
        <v>7.6</v>
      </c>
      <c r="J19" s="1159">
        <v>7.6</v>
      </c>
      <c r="K19" s="1159"/>
      <c r="L19" s="1159">
        <v>7.6</v>
      </c>
      <c r="M19" s="1159">
        <v>8.5</v>
      </c>
      <c r="N19" s="1160">
        <v>0</v>
      </c>
      <c r="O19" s="1159">
        <f t="shared" si="1"/>
        <v>0</v>
      </c>
      <c r="P19" s="1160">
        <v>0</v>
      </c>
      <c r="Q19" s="1159">
        <f t="shared" si="2"/>
        <v>0</v>
      </c>
      <c r="R19" s="1159">
        <f t="shared" si="3"/>
        <v>0</v>
      </c>
      <c r="S19" s="1159">
        <v>8</v>
      </c>
      <c r="T19" s="1159">
        <v>8.5</v>
      </c>
      <c r="U19" s="1159">
        <f t="shared" si="0"/>
        <v>0</v>
      </c>
      <c r="V19" s="1161" t="s">
        <v>2939</v>
      </c>
      <c r="W19" s="1160">
        <v>1</v>
      </c>
      <c r="X19" s="1162" t="s">
        <v>2313</v>
      </c>
      <c r="Y19" s="1155" t="s">
        <v>2309</v>
      </c>
      <c r="AB19" s="1146"/>
    </row>
    <row r="20" spans="3:28" ht="24.95" customHeight="1">
      <c r="C20" s="1155" t="s">
        <v>2330</v>
      </c>
      <c r="D20" s="1156"/>
      <c r="E20" s="1156" t="s">
        <v>2314</v>
      </c>
      <c r="F20" s="1156" t="s">
        <v>2213</v>
      </c>
      <c r="G20" s="1157" t="s">
        <v>2953</v>
      </c>
      <c r="H20" s="1157" t="s">
        <v>2973</v>
      </c>
      <c r="I20" s="1158">
        <v>5.3</v>
      </c>
      <c r="J20" s="1159">
        <v>5.3</v>
      </c>
      <c r="K20" s="1159"/>
      <c r="L20" s="1159">
        <v>5.3</v>
      </c>
      <c r="M20" s="1159">
        <v>5.75</v>
      </c>
      <c r="N20" s="1160">
        <v>18</v>
      </c>
      <c r="O20" s="1159">
        <f t="shared" si="1"/>
        <v>95.399999999999991</v>
      </c>
      <c r="P20" s="1160">
        <v>8</v>
      </c>
      <c r="Q20" s="1159">
        <f t="shared" si="2"/>
        <v>42.4</v>
      </c>
      <c r="R20" s="1159">
        <f t="shared" si="3"/>
        <v>137.79999999999998</v>
      </c>
      <c r="S20" s="1159">
        <v>5.5</v>
      </c>
      <c r="T20" s="1159">
        <v>5.75</v>
      </c>
      <c r="U20" s="1159">
        <f t="shared" si="0"/>
        <v>46</v>
      </c>
      <c r="V20" s="1161" t="s">
        <v>2939</v>
      </c>
      <c r="W20" s="1160">
        <v>1</v>
      </c>
      <c r="X20" s="1162" t="s">
        <v>2315</v>
      </c>
      <c r="Y20" s="1155" t="s">
        <v>2309</v>
      </c>
      <c r="AB20" s="1146"/>
    </row>
    <row r="21" spans="3:28" ht="24.95" customHeight="1">
      <c r="C21" s="1155" t="s">
        <v>2331</v>
      </c>
      <c r="D21" s="1156"/>
      <c r="E21" s="1156" t="s">
        <v>2316</v>
      </c>
      <c r="F21" s="1156" t="s">
        <v>2213</v>
      </c>
      <c r="G21" s="1157" t="s">
        <v>2953</v>
      </c>
      <c r="H21" s="1157" t="s">
        <v>2973</v>
      </c>
      <c r="I21" s="1158">
        <v>3.3</v>
      </c>
      <c r="J21" s="1159">
        <v>3.3</v>
      </c>
      <c r="K21" s="1159"/>
      <c r="L21" s="1159">
        <v>3.3</v>
      </c>
      <c r="M21" s="1159">
        <v>3.75</v>
      </c>
      <c r="N21" s="1160">
        <v>15</v>
      </c>
      <c r="O21" s="1159">
        <f t="shared" si="1"/>
        <v>49.5</v>
      </c>
      <c r="P21" s="1160">
        <v>12</v>
      </c>
      <c r="Q21" s="1159">
        <f t="shared" si="2"/>
        <v>39.599999999999994</v>
      </c>
      <c r="R21" s="1159">
        <f t="shared" si="3"/>
        <v>89.1</v>
      </c>
      <c r="S21" s="1159">
        <v>3.5</v>
      </c>
      <c r="T21" s="1159">
        <v>3.75</v>
      </c>
      <c r="U21" s="1159">
        <f t="shared" si="0"/>
        <v>45</v>
      </c>
      <c r="V21" s="1161" t="s">
        <v>2939</v>
      </c>
      <c r="W21" s="1160">
        <v>1</v>
      </c>
      <c r="X21" s="1162" t="s">
        <v>2317</v>
      </c>
      <c r="Y21" s="1155" t="s">
        <v>2309</v>
      </c>
      <c r="AB21" s="1146"/>
    </row>
    <row r="22" spans="3:28" ht="24.95" customHeight="1">
      <c r="C22" s="1155" t="s">
        <v>2332</v>
      </c>
      <c r="D22" s="1156"/>
      <c r="E22" s="1156" t="s">
        <v>2318</v>
      </c>
      <c r="F22" s="1156" t="s">
        <v>2213</v>
      </c>
      <c r="G22" s="1157" t="s">
        <v>2953</v>
      </c>
      <c r="H22" s="1157" t="s">
        <v>2973</v>
      </c>
      <c r="I22" s="1158">
        <v>2.7</v>
      </c>
      <c r="J22" s="1159">
        <v>2.7</v>
      </c>
      <c r="K22" s="1159"/>
      <c r="L22" s="1159">
        <v>2.7</v>
      </c>
      <c r="M22" s="1159">
        <v>3.5</v>
      </c>
      <c r="N22" s="1160">
        <v>0</v>
      </c>
      <c r="O22" s="1159">
        <f t="shared" si="1"/>
        <v>0</v>
      </c>
      <c r="P22" s="1160">
        <v>0</v>
      </c>
      <c r="Q22" s="1159">
        <f t="shared" si="2"/>
        <v>0</v>
      </c>
      <c r="R22" s="1159">
        <f t="shared" si="3"/>
        <v>0</v>
      </c>
      <c r="S22" s="1159">
        <v>3</v>
      </c>
      <c r="T22" s="1159">
        <v>3.5</v>
      </c>
      <c r="U22" s="1159">
        <f t="shared" si="0"/>
        <v>0</v>
      </c>
      <c r="V22" s="1161" t="s">
        <v>2939</v>
      </c>
      <c r="W22" s="1160">
        <v>1</v>
      </c>
      <c r="X22" s="1162" t="s">
        <v>2319</v>
      </c>
      <c r="Y22" s="1155" t="s">
        <v>2309</v>
      </c>
      <c r="AB22" s="1146"/>
    </row>
    <row r="23" spans="3:28" ht="24.95" customHeight="1">
      <c r="C23" s="1155" t="s">
        <v>2333</v>
      </c>
      <c r="D23" s="1156"/>
      <c r="E23" s="1156" t="s">
        <v>2320</v>
      </c>
      <c r="F23" s="1156" t="s">
        <v>2213</v>
      </c>
      <c r="G23" s="1157" t="s">
        <v>2953</v>
      </c>
      <c r="H23" s="1157" t="s">
        <v>2973</v>
      </c>
      <c r="I23" s="1158">
        <v>2.1</v>
      </c>
      <c r="J23" s="1159">
        <v>2.1</v>
      </c>
      <c r="K23" s="1159"/>
      <c r="L23" s="1159">
        <v>2.1</v>
      </c>
      <c r="M23" s="1159">
        <v>2.75</v>
      </c>
      <c r="N23" s="1160">
        <v>25</v>
      </c>
      <c r="O23" s="1159">
        <f t="shared" si="1"/>
        <v>52.5</v>
      </c>
      <c r="P23" s="1160">
        <v>15</v>
      </c>
      <c r="Q23" s="1159">
        <f t="shared" si="2"/>
        <v>31.5</v>
      </c>
      <c r="R23" s="1159">
        <f t="shared" si="3"/>
        <v>84</v>
      </c>
      <c r="S23" s="1159">
        <v>2.5</v>
      </c>
      <c r="T23" s="1159">
        <v>2.75</v>
      </c>
      <c r="U23" s="1159">
        <f t="shared" si="0"/>
        <v>41.25</v>
      </c>
      <c r="V23" s="1161" t="s">
        <v>2939</v>
      </c>
      <c r="W23" s="1160">
        <v>1</v>
      </c>
      <c r="X23" s="1162" t="s">
        <v>2321</v>
      </c>
      <c r="Y23" s="1155" t="s">
        <v>2309</v>
      </c>
      <c r="AB23" s="1146"/>
    </row>
    <row r="24" spans="3:28" ht="24.95" customHeight="1">
      <c r="C24" s="1155" t="s">
        <v>2334</v>
      </c>
      <c r="D24" s="1156"/>
      <c r="E24" s="1156" t="s">
        <v>2322</v>
      </c>
      <c r="F24" s="1156" t="s">
        <v>2213</v>
      </c>
      <c r="G24" s="1157" t="s">
        <v>2953</v>
      </c>
      <c r="H24" s="1157" t="s">
        <v>2973</v>
      </c>
      <c r="I24" s="1158">
        <v>1.63</v>
      </c>
      <c r="J24" s="1159">
        <v>1.63</v>
      </c>
      <c r="K24" s="1159"/>
      <c r="L24" s="1159">
        <v>1.63</v>
      </c>
      <c r="M24" s="1159">
        <v>2.25</v>
      </c>
      <c r="N24" s="1160">
        <v>35</v>
      </c>
      <c r="O24" s="1159">
        <f t="shared" si="1"/>
        <v>57.05</v>
      </c>
      <c r="P24" s="1160">
        <v>20</v>
      </c>
      <c r="Q24" s="1159">
        <f t="shared" si="2"/>
        <v>32.599999999999994</v>
      </c>
      <c r="R24" s="1159">
        <f t="shared" si="3"/>
        <v>89.649999999999991</v>
      </c>
      <c r="S24" s="1159">
        <v>1.85</v>
      </c>
      <c r="T24" s="1159">
        <v>2.25</v>
      </c>
      <c r="U24" s="1159">
        <f t="shared" si="0"/>
        <v>45</v>
      </c>
      <c r="V24" s="1161" t="s">
        <v>2939</v>
      </c>
      <c r="W24" s="1160">
        <v>1</v>
      </c>
      <c r="X24" s="1162" t="s">
        <v>2323</v>
      </c>
      <c r="Y24" s="1155" t="s">
        <v>2309</v>
      </c>
      <c r="AB24" s="1146"/>
    </row>
    <row r="25" spans="3:28" ht="24.95" customHeight="1">
      <c r="C25" s="1155" t="s">
        <v>2335</v>
      </c>
      <c r="D25" s="1156"/>
      <c r="E25" s="1156" t="s">
        <v>2324</v>
      </c>
      <c r="F25" s="1156" t="s">
        <v>2213</v>
      </c>
      <c r="G25" s="1157" t="s">
        <v>2953</v>
      </c>
      <c r="H25" s="1157" t="s">
        <v>2973</v>
      </c>
      <c r="I25" s="1158">
        <v>1.35</v>
      </c>
      <c r="J25" s="1159">
        <v>1.35</v>
      </c>
      <c r="K25" s="1159"/>
      <c r="L25" s="1159">
        <v>1.35</v>
      </c>
      <c r="M25" s="1159">
        <v>2</v>
      </c>
      <c r="N25" s="1160">
        <v>40</v>
      </c>
      <c r="O25" s="1159">
        <f t="shared" si="1"/>
        <v>54</v>
      </c>
      <c r="P25" s="1160">
        <v>18</v>
      </c>
      <c r="Q25" s="1159">
        <f t="shared" si="2"/>
        <v>24.3</v>
      </c>
      <c r="R25" s="1159">
        <f t="shared" si="3"/>
        <v>78.3</v>
      </c>
      <c r="S25" s="1159">
        <v>1.75</v>
      </c>
      <c r="T25" s="1159">
        <v>2</v>
      </c>
      <c r="U25" s="1159">
        <f t="shared" si="0"/>
        <v>36</v>
      </c>
      <c r="V25" s="1161" t="s">
        <v>2939</v>
      </c>
      <c r="W25" s="1160">
        <v>1</v>
      </c>
      <c r="X25" s="1162" t="s">
        <v>2336</v>
      </c>
      <c r="Y25" s="1155" t="s">
        <v>2309</v>
      </c>
      <c r="AB25" s="1146"/>
    </row>
    <row r="26" spans="3:28" ht="24.95" customHeight="1">
      <c r="C26" s="1155" t="s">
        <v>2337</v>
      </c>
      <c r="D26" s="1156"/>
      <c r="E26" s="1156" t="s">
        <v>2338</v>
      </c>
      <c r="F26" s="1156" t="s">
        <v>2213</v>
      </c>
      <c r="G26" s="1157" t="s">
        <v>2953</v>
      </c>
      <c r="H26" s="1157" t="s">
        <v>2973</v>
      </c>
      <c r="I26" s="1158">
        <v>7.49</v>
      </c>
      <c r="J26" s="1159">
        <v>7.49</v>
      </c>
      <c r="K26" s="1159"/>
      <c r="L26" s="1159">
        <v>7.49</v>
      </c>
      <c r="M26" s="1159">
        <v>8</v>
      </c>
      <c r="N26" s="1160">
        <v>15</v>
      </c>
      <c r="O26" s="1159">
        <f t="shared" si="1"/>
        <v>112.35000000000001</v>
      </c>
      <c r="P26" s="1160">
        <v>5</v>
      </c>
      <c r="Q26" s="1159">
        <f t="shared" si="2"/>
        <v>37.450000000000003</v>
      </c>
      <c r="R26" s="1159">
        <f t="shared" si="3"/>
        <v>149.80000000000001</v>
      </c>
      <c r="S26" s="1159">
        <v>7.75</v>
      </c>
      <c r="T26" s="1159">
        <v>8</v>
      </c>
      <c r="U26" s="1159">
        <f t="shared" si="0"/>
        <v>40</v>
      </c>
      <c r="V26" s="1161" t="s">
        <v>2939</v>
      </c>
      <c r="W26" s="1160">
        <v>1</v>
      </c>
      <c r="X26" s="1162" t="s">
        <v>2308</v>
      </c>
      <c r="Y26" s="1155" t="s">
        <v>2309</v>
      </c>
      <c r="AB26" s="1146"/>
    </row>
    <row r="27" spans="3:28" ht="24.95" customHeight="1">
      <c r="C27" s="1155" t="s">
        <v>2339</v>
      </c>
      <c r="D27" s="1156"/>
      <c r="E27" s="1156" t="s">
        <v>2340</v>
      </c>
      <c r="F27" s="1156" t="s">
        <v>2213</v>
      </c>
      <c r="G27" s="1157" t="s">
        <v>2953</v>
      </c>
      <c r="H27" s="1157" t="s">
        <v>2973</v>
      </c>
      <c r="I27" s="1158">
        <v>5.03</v>
      </c>
      <c r="J27" s="1159">
        <v>5.03</v>
      </c>
      <c r="K27" s="1159"/>
      <c r="L27" s="1159">
        <v>5.03</v>
      </c>
      <c r="M27" s="1159">
        <v>5.25</v>
      </c>
      <c r="N27" s="1160">
        <v>12</v>
      </c>
      <c r="O27" s="1159">
        <f t="shared" si="1"/>
        <v>60.36</v>
      </c>
      <c r="P27" s="1160">
        <v>3</v>
      </c>
      <c r="Q27" s="1159">
        <f t="shared" si="2"/>
        <v>15.09</v>
      </c>
      <c r="R27" s="1159">
        <f t="shared" si="3"/>
        <v>75.45</v>
      </c>
      <c r="S27" s="1159">
        <v>5.45</v>
      </c>
      <c r="T27" s="1159">
        <v>5.25</v>
      </c>
      <c r="U27" s="1159">
        <f t="shared" si="0"/>
        <v>15.75</v>
      </c>
      <c r="V27" s="1161" t="s">
        <v>2939</v>
      </c>
      <c r="W27" s="1160">
        <v>1</v>
      </c>
      <c r="X27" s="1162" t="s">
        <v>2311</v>
      </c>
      <c r="Y27" s="1155" t="s">
        <v>2309</v>
      </c>
      <c r="AB27" s="1146"/>
    </row>
    <row r="28" spans="3:28" ht="24.95" customHeight="1">
      <c r="C28" s="1155" t="s">
        <v>2341</v>
      </c>
      <c r="D28" s="1156"/>
      <c r="E28" s="1156" t="s">
        <v>2342</v>
      </c>
      <c r="F28" s="1156" t="s">
        <v>2213</v>
      </c>
      <c r="G28" s="1157" t="s">
        <v>2953</v>
      </c>
      <c r="H28" s="1157" t="s">
        <v>2973</v>
      </c>
      <c r="I28" s="1158">
        <v>4.3099999999999996</v>
      </c>
      <c r="J28" s="1159">
        <v>4.3099999999999996</v>
      </c>
      <c r="K28" s="1159"/>
      <c r="L28" s="1159">
        <v>4.3099999999999996</v>
      </c>
      <c r="M28" s="1159">
        <v>4.75</v>
      </c>
      <c r="N28" s="1160">
        <v>0</v>
      </c>
      <c r="O28" s="1159">
        <f t="shared" si="1"/>
        <v>0</v>
      </c>
      <c r="P28" s="1160">
        <v>0</v>
      </c>
      <c r="Q28" s="1159">
        <f t="shared" si="2"/>
        <v>0</v>
      </c>
      <c r="R28" s="1159">
        <f t="shared" si="3"/>
        <v>0</v>
      </c>
      <c r="S28" s="1159">
        <v>4.55</v>
      </c>
      <c r="T28" s="1159">
        <v>4.75</v>
      </c>
      <c r="U28" s="1159">
        <f t="shared" si="0"/>
        <v>0</v>
      </c>
      <c r="V28" s="1161" t="s">
        <v>2939</v>
      </c>
      <c r="W28" s="1160">
        <v>1</v>
      </c>
      <c r="X28" s="1162" t="s">
        <v>2313</v>
      </c>
      <c r="Y28" s="1155" t="s">
        <v>2309</v>
      </c>
      <c r="AB28" s="1146"/>
    </row>
    <row r="29" spans="3:28" ht="24.95" customHeight="1">
      <c r="C29" s="1155" t="s">
        <v>2343</v>
      </c>
      <c r="D29" s="1156"/>
      <c r="E29" s="1156" t="s">
        <v>2344</v>
      </c>
      <c r="F29" s="1156" t="s">
        <v>2213</v>
      </c>
      <c r="G29" s="1157" t="s">
        <v>2953</v>
      </c>
      <c r="H29" s="1157" t="s">
        <v>2973</v>
      </c>
      <c r="I29" s="1158">
        <v>2.9</v>
      </c>
      <c r="J29" s="1159">
        <v>2.9</v>
      </c>
      <c r="K29" s="1159"/>
      <c r="L29" s="1159">
        <v>2.9</v>
      </c>
      <c r="M29" s="1159">
        <v>3.25</v>
      </c>
      <c r="N29" s="1160">
        <v>18</v>
      </c>
      <c r="O29" s="1159">
        <f t="shared" si="1"/>
        <v>52.199999999999996</v>
      </c>
      <c r="P29" s="1160">
        <v>7</v>
      </c>
      <c r="Q29" s="1159">
        <f t="shared" si="2"/>
        <v>20.3</v>
      </c>
      <c r="R29" s="1159">
        <f t="shared" si="3"/>
        <v>72.5</v>
      </c>
      <c r="S29" s="1159">
        <v>3.1</v>
      </c>
      <c r="T29" s="1159">
        <v>3.25</v>
      </c>
      <c r="U29" s="1159">
        <f t="shared" si="0"/>
        <v>22.75</v>
      </c>
      <c r="V29" s="1161" t="s">
        <v>2939</v>
      </c>
      <c r="W29" s="1160">
        <v>1</v>
      </c>
      <c r="X29" s="1162" t="s">
        <v>2315</v>
      </c>
      <c r="Y29" s="1155" t="s">
        <v>2309</v>
      </c>
      <c r="AB29" s="1146"/>
    </row>
    <row r="30" spans="3:28" ht="24.95" customHeight="1">
      <c r="C30" s="1155" t="s">
        <v>2345</v>
      </c>
      <c r="D30" s="1156"/>
      <c r="E30" s="1156" t="s">
        <v>2346</v>
      </c>
      <c r="F30" s="1156" t="s">
        <v>2213</v>
      </c>
      <c r="G30" s="1157" t="s">
        <v>2953</v>
      </c>
      <c r="H30" s="1157" t="s">
        <v>2973</v>
      </c>
      <c r="I30" s="1158">
        <v>2.12</v>
      </c>
      <c r="J30" s="1159">
        <v>2.12</v>
      </c>
      <c r="K30" s="1159"/>
      <c r="L30" s="1159">
        <v>2.12</v>
      </c>
      <c r="M30" s="1159">
        <v>2.75</v>
      </c>
      <c r="N30" s="1160">
        <v>15</v>
      </c>
      <c r="O30" s="1159">
        <f t="shared" si="1"/>
        <v>31.8</v>
      </c>
      <c r="P30" s="1160">
        <v>6</v>
      </c>
      <c r="Q30" s="1159">
        <f t="shared" si="2"/>
        <v>12.72</v>
      </c>
      <c r="R30" s="1159">
        <f t="shared" si="3"/>
        <v>44.52</v>
      </c>
      <c r="S30" s="1159">
        <v>2.5</v>
      </c>
      <c r="T30" s="1159">
        <v>2.75</v>
      </c>
      <c r="U30" s="1159">
        <f t="shared" si="0"/>
        <v>16.5</v>
      </c>
      <c r="V30" s="1161" t="s">
        <v>2939</v>
      </c>
      <c r="W30" s="1160">
        <v>1</v>
      </c>
      <c r="X30" s="1162" t="s">
        <v>2317</v>
      </c>
      <c r="Y30" s="1155" t="s">
        <v>2309</v>
      </c>
      <c r="AB30" s="1146"/>
    </row>
    <row r="31" spans="3:28" ht="24.95" customHeight="1">
      <c r="C31" s="1155" t="s">
        <v>2347</v>
      </c>
      <c r="D31" s="1156"/>
      <c r="E31" s="1156" t="s">
        <v>2348</v>
      </c>
      <c r="F31" s="1156" t="s">
        <v>2213</v>
      </c>
      <c r="G31" s="1157" t="s">
        <v>2953</v>
      </c>
      <c r="H31" s="1157" t="s">
        <v>2973</v>
      </c>
      <c r="I31" s="1158">
        <v>1.73</v>
      </c>
      <c r="J31" s="1159">
        <v>1.73</v>
      </c>
      <c r="K31" s="1159"/>
      <c r="L31" s="1159">
        <v>1.73</v>
      </c>
      <c r="M31" s="1159">
        <v>2.25</v>
      </c>
      <c r="N31" s="1160">
        <v>0</v>
      </c>
      <c r="O31" s="1159">
        <f t="shared" si="1"/>
        <v>0</v>
      </c>
      <c r="P31" s="1160">
        <v>0</v>
      </c>
      <c r="Q31" s="1159">
        <f t="shared" si="2"/>
        <v>0</v>
      </c>
      <c r="R31" s="1159">
        <f t="shared" si="3"/>
        <v>0</v>
      </c>
      <c r="S31" s="1159">
        <v>2</v>
      </c>
      <c r="T31" s="1159">
        <v>2.25</v>
      </c>
      <c r="U31" s="1159">
        <f t="shared" si="0"/>
        <v>0</v>
      </c>
      <c r="V31" s="1161" t="s">
        <v>2939</v>
      </c>
      <c r="W31" s="1160">
        <v>1</v>
      </c>
      <c r="X31" s="1162" t="s">
        <v>2319</v>
      </c>
      <c r="Y31" s="1155" t="s">
        <v>2309</v>
      </c>
      <c r="AB31" s="1146"/>
    </row>
    <row r="32" spans="3:28" ht="24.95" customHeight="1">
      <c r="C32" s="1155" t="s">
        <v>2349</v>
      </c>
      <c r="D32" s="1156"/>
      <c r="E32" s="1156" t="s">
        <v>2350</v>
      </c>
      <c r="F32" s="1156" t="s">
        <v>2213</v>
      </c>
      <c r="G32" s="1157" t="s">
        <v>2953</v>
      </c>
      <c r="H32" s="1157" t="s">
        <v>2973</v>
      </c>
      <c r="I32" s="1158">
        <v>1.51</v>
      </c>
      <c r="J32" s="1159">
        <v>1.51</v>
      </c>
      <c r="K32" s="1159"/>
      <c r="L32" s="1159">
        <v>1.51</v>
      </c>
      <c r="M32" s="1159">
        <v>2</v>
      </c>
      <c r="N32" s="1160">
        <v>20</v>
      </c>
      <c r="O32" s="1159">
        <f t="shared" si="1"/>
        <v>30.2</v>
      </c>
      <c r="P32" s="1160">
        <v>8</v>
      </c>
      <c r="Q32" s="1159">
        <f t="shared" si="2"/>
        <v>12.08</v>
      </c>
      <c r="R32" s="1159">
        <f t="shared" si="3"/>
        <v>42.28</v>
      </c>
      <c r="S32" s="1159">
        <v>1.75</v>
      </c>
      <c r="T32" s="1159">
        <v>2</v>
      </c>
      <c r="U32" s="1159">
        <f t="shared" si="0"/>
        <v>16</v>
      </c>
      <c r="V32" s="1161" t="s">
        <v>2939</v>
      </c>
      <c r="W32" s="1160">
        <v>1</v>
      </c>
      <c r="X32" s="1162" t="s">
        <v>2321</v>
      </c>
      <c r="Y32" s="1155" t="s">
        <v>2309</v>
      </c>
      <c r="AB32" s="1146"/>
    </row>
    <row r="33" spans="3:28" ht="24.95" customHeight="1">
      <c r="C33" s="1163" t="s">
        <v>2355</v>
      </c>
      <c r="D33" s="1164"/>
      <c r="E33" s="1164" t="s">
        <v>2351</v>
      </c>
      <c r="F33" s="1164" t="s">
        <v>2352</v>
      </c>
      <c r="G33" s="1165" t="s">
        <v>2954</v>
      </c>
      <c r="H33" s="1165" t="s">
        <v>2972</v>
      </c>
      <c r="I33" s="1166">
        <v>3.0129999999999999</v>
      </c>
      <c r="J33" s="1167">
        <v>3.0129999999999999</v>
      </c>
      <c r="K33" s="1167"/>
      <c r="L33" s="1167">
        <v>3.0129999999999999</v>
      </c>
      <c r="M33" s="1167">
        <v>3.5</v>
      </c>
      <c r="N33" s="1168">
        <v>10</v>
      </c>
      <c r="O33" s="1167">
        <f t="shared" si="1"/>
        <v>30.13</v>
      </c>
      <c r="P33" s="1168">
        <v>5</v>
      </c>
      <c r="Q33" s="1167">
        <f t="shared" si="2"/>
        <v>15.065</v>
      </c>
      <c r="R33" s="1167">
        <f t="shared" si="3"/>
        <v>45.195</v>
      </c>
      <c r="S33" s="1167">
        <v>0</v>
      </c>
      <c r="T33" s="1167">
        <v>3.5</v>
      </c>
      <c r="U33" s="1167">
        <f t="shared" si="0"/>
        <v>17.5</v>
      </c>
      <c r="V33" s="437" t="s">
        <v>2939</v>
      </c>
      <c r="W33" s="1168">
        <v>1</v>
      </c>
      <c r="X33" s="1169" t="s">
        <v>2353</v>
      </c>
      <c r="Y33" s="1163" t="s">
        <v>2309</v>
      </c>
      <c r="AB33" s="1146"/>
    </row>
    <row r="34" spans="3:28" ht="24.95" customHeight="1">
      <c r="C34" s="1163" t="s">
        <v>2357</v>
      </c>
      <c r="D34" s="1164"/>
      <c r="E34" s="1164" t="s">
        <v>2354</v>
      </c>
      <c r="F34" s="1164" t="s">
        <v>2352</v>
      </c>
      <c r="G34" s="1165" t="s">
        <v>2954</v>
      </c>
      <c r="H34" s="1165" t="s">
        <v>2972</v>
      </c>
      <c r="I34" s="1166">
        <v>3.0129999999999999</v>
      </c>
      <c r="J34" s="1167">
        <v>3.0129999999999999</v>
      </c>
      <c r="K34" s="1167"/>
      <c r="L34" s="1167">
        <v>3.0129999999999999</v>
      </c>
      <c r="M34" s="1167">
        <v>3.5</v>
      </c>
      <c r="N34" s="1168">
        <v>5</v>
      </c>
      <c r="O34" s="1167">
        <f t="shared" si="1"/>
        <v>15.065</v>
      </c>
      <c r="P34" s="1168">
        <v>2</v>
      </c>
      <c r="Q34" s="1167">
        <f t="shared" si="2"/>
        <v>6.0259999999999998</v>
      </c>
      <c r="R34" s="1167">
        <f t="shared" si="3"/>
        <v>21.091000000000001</v>
      </c>
      <c r="S34" s="1167">
        <v>0</v>
      </c>
      <c r="T34" s="1167">
        <v>3.5</v>
      </c>
      <c r="U34" s="1167">
        <f t="shared" si="0"/>
        <v>7</v>
      </c>
      <c r="V34" s="437" t="s">
        <v>2939</v>
      </c>
      <c r="W34" s="1168">
        <v>1</v>
      </c>
      <c r="X34" s="1169" t="s">
        <v>2353</v>
      </c>
      <c r="Y34" s="1163" t="s">
        <v>2309</v>
      </c>
      <c r="AB34" s="1146"/>
    </row>
    <row r="35" spans="3:28" ht="24.95" customHeight="1">
      <c r="C35" s="1163" t="s">
        <v>2359</v>
      </c>
      <c r="D35" s="1164"/>
      <c r="E35" s="1164" t="s">
        <v>2356</v>
      </c>
      <c r="F35" s="1164" t="s">
        <v>2352</v>
      </c>
      <c r="G35" s="1165" t="s">
        <v>2954</v>
      </c>
      <c r="H35" s="1165" t="s">
        <v>2972</v>
      </c>
      <c r="I35" s="1166">
        <v>1.49</v>
      </c>
      <c r="J35" s="1167">
        <v>1.49</v>
      </c>
      <c r="K35" s="1167"/>
      <c r="L35" s="1167">
        <v>1.49</v>
      </c>
      <c r="M35" s="1167">
        <v>2</v>
      </c>
      <c r="N35" s="1168">
        <v>4</v>
      </c>
      <c r="O35" s="1167">
        <f t="shared" si="1"/>
        <v>5.96</v>
      </c>
      <c r="P35" s="1168">
        <v>1</v>
      </c>
      <c r="Q35" s="1167">
        <f t="shared" si="2"/>
        <v>1.49</v>
      </c>
      <c r="R35" s="1167">
        <f t="shared" si="3"/>
        <v>7.45</v>
      </c>
      <c r="S35" s="1167">
        <v>0</v>
      </c>
      <c r="T35" s="1167">
        <v>2</v>
      </c>
      <c r="U35" s="1167">
        <f t="shared" si="0"/>
        <v>2</v>
      </c>
      <c r="V35" s="437" t="s">
        <v>2939</v>
      </c>
      <c r="W35" s="1168">
        <v>1</v>
      </c>
      <c r="X35" s="1169" t="s">
        <v>2353</v>
      </c>
      <c r="Y35" s="1163" t="s">
        <v>2309</v>
      </c>
      <c r="AB35" s="1146"/>
    </row>
    <row r="36" spans="3:28" ht="24.95" customHeight="1">
      <c r="C36" s="1163" t="s">
        <v>2362</v>
      </c>
      <c r="D36" s="1164"/>
      <c r="E36" s="1164" t="s">
        <v>2358</v>
      </c>
      <c r="F36" s="1164" t="s">
        <v>2352</v>
      </c>
      <c r="G36" s="1165" t="s">
        <v>2954</v>
      </c>
      <c r="H36" s="1165" t="s">
        <v>2972</v>
      </c>
      <c r="I36" s="1166">
        <v>4.2300000000000004</v>
      </c>
      <c r="J36" s="1167">
        <v>4.2300000000000004</v>
      </c>
      <c r="K36" s="1167"/>
      <c r="L36" s="1167">
        <v>4.2300000000000004</v>
      </c>
      <c r="M36" s="1167">
        <v>5</v>
      </c>
      <c r="N36" s="1168">
        <v>4</v>
      </c>
      <c r="O36" s="1167">
        <f t="shared" si="1"/>
        <v>16.920000000000002</v>
      </c>
      <c r="P36" s="1168">
        <v>2</v>
      </c>
      <c r="Q36" s="1167">
        <f t="shared" si="2"/>
        <v>8.4600000000000009</v>
      </c>
      <c r="R36" s="1167">
        <f t="shared" si="3"/>
        <v>25.380000000000003</v>
      </c>
      <c r="S36" s="1167">
        <v>0</v>
      </c>
      <c r="T36" s="1167">
        <v>5</v>
      </c>
      <c r="U36" s="1167">
        <f t="shared" si="0"/>
        <v>10</v>
      </c>
      <c r="V36" s="437" t="s">
        <v>2939</v>
      </c>
      <c r="W36" s="1168">
        <v>1</v>
      </c>
      <c r="X36" s="1169" t="s">
        <v>2353</v>
      </c>
      <c r="Y36" s="1163" t="s">
        <v>2309</v>
      </c>
      <c r="AB36" s="1146"/>
    </row>
    <row r="37" spans="3:28" ht="24.95" customHeight="1">
      <c r="C37" s="1163" t="s">
        <v>2364</v>
      </c>
      <c r="D37" s="1164"/>
      <c r="E37" s="1164" t="s">
        <v>2360</v>
      </c>
      <c r="F37" s="1164" t="s">
        <v>2352</v>
      </c>
      <c r="G37" s="1165" t="s">
        <v>2954</v>
      </c>
      <c r="H37" s="1165" t="s">
        <v>2972</v>
      </c>
      <c r="I37" s="1166">
        <v>1.4910000000000001</v>
      </c>
      <c r="J37" s="1167">
        <v>1.4910000000000001</v>
      </c>
      <c r="K37" s="1167"/>
      <c r="L37" s="1167">
        <v>1.4910000000000001</v>
      </c>
      <c r="M37" s="1167">
        <v>2</v>
      </c>
      <c r="N37" s="1168">
        <v>18</v>
      </c>
      <c r="O37" s="1167">
        <f t="shared" si="1"/>
        <v>26.838000000000001</v>
      </c>
      <c r="P37" s="1168">
        <v>9</v>
      </c>
      <c r="Q37" s="1167">
        <f t="shared" si="2"/>
        <v>13.419</v>
      </c>
      <c r="R37" s="1167">
        <f t="shared" si="3"/>
        <v>40.257000000000005</v>
      </c>
      <c r="S37" s="1167">
        <v>0</v>
      </c>
      <c r="T37" s="1167">
        <v>2</v>
      </c>
      <c r="U37" s="1167">
        <f t="shared" si="0"/>
        <v>18</v>
      </c>
      <c r="V37" s="437" t="s">
        <v>2939</v>
      </c>
      <c r="W37" s="1168">
        <v>1</v>
      </c>
      <c r="X37" s="1169" t="s">
        <v>2361</v>
      </c>
      <c r="Y37" s="1163" t="s">
        <v>2309</v>
      </c>
      <c r="AB37" s="1146"/>
    </row>
    <row r="38" spans="3:28" ht="24.95" customHeight="1">
      <c r="C38" s="1163" t="s">
        <v>2366</v>
      </c>
      <c r="D38" s="1164"/>
      <c r="E38" s="1164" t="s">
        <v>2363</v>
      </c>
      <c r="F38" s="1164" t="s">
        <v>2352</v>
      </c>
      <c r="G38" s="1165" t="s">
        <v>2954</v>
      </c>
      <c r="H38" s="1165" t="s">
        <v>2972</v>
      </c>
      <c r="I38" s="1166">
        <v>1.21</v>
      </c>
      <c r="J38" s="1167">
        <v>1.21</v>
      </c>
      <c r="K38" s="1167"/>
      <c r="L38" s="1167">
        <v>1.21</v>
      </c>
      <c r="M38" s="1167">
        <v>1.75</v>
      </c>
      <c r="N38" s="1168">
        <v>10</v>
      </c>
      <c r="O38" s="1167">
        <f t="shared" si="1"/>
        <v>12.1</v>
      </c>
      <c r="P38" s="1168">
        <v>0</v>
      </c>
      <c r="Q38" s="1167">
        <f t="shared" si="2"/>
        <v>0</v>
      </c>
      <c r="R38" s="1167">
        <f t="shared" si="3"/>
        <v>12.1</v>
      </c>
      <c r="S38" s="1167">
        <v>0</v>
      </c>
      <c r="T38" s="1167">
        <v>1.75</v>
      </c>
      <c r="U38" s="1167">
        <f t="shared" si="0"/>
        <v>0</v>
      </c>
      <c r="V38" s="437" t="s">
        <v>2939</v>
      </c>
      <c r="W38" s="1168">
        <v>1</v>
      </c>
      <c r="X38" s="1169" t="s">
        <v>2361</v>
      </c>
      <c r="Y38" s="1163" t="s">
        <v>2309</v>
      </c>
      <c r="AB38" s="1146"/>
    </row>
    <row r="39" spans="3:28" ht="24.95" customHeight="1">
      <c r="C39" s="1163" t="s">
        <v>2368</v>
      </c>
      <c r="D39" s="1164"/>
      <c r="E39" s="1164" t="s">
        <v>2365</v>
      </c>
      <c r="F39" s="1164" t="s">
        <v>2352</v>
      </c>
      <c r="G39" s="1165" t="s">
        <v>2954</v>
      </c>
      <c r="H39" s="1165" t="s">
        <v>2972</v>
      </c>
      <c r="I39" s="1166">
        <v>1.04</v>
      </c>
      <c r="J39" s="1167">
        <v>1.04</v>
      </c>
      <c r="K39" s="1167"/>
      <c r="L39" s="1167">
        <v>1.04</v>
      </c>
      <c r="M39" s="1167">
        <v>1.5</v>
      </c>
      <c r="N39" s="1168">
        <v>0</v>
      </c>
      <c r="O39" s="1167">
        <f t="shared" si="1"/>
        <v>0</v>
      </c>
      <c r="P39" s="1168">
        <v>0</v>
      </c>
      <c r="Q39" s="1167">
        <f t="shared" si="2"/>
        <v>0</v>
      </c>
      <c r="R39" s="1167">
        <f t="shared" si="3"/>
        <v>0</v>
      </c>
      <c r="S39" s="1167">
        <v>0</v>
      </c>
      <c r="T39" s="1167">
        <v>1.5</v>
      </c>
      <c r="U39" s="1167">
        <f t="shared" si="0"/>
        <v>0</v>
      </c>
      <c r="V39" s="437" t="s">
        <v>2939</v>
      </c>
      <c r="W39" s="1168">
        <v>1</v>
      </c>
      <c r="X39" s="1169" t="s">
        <v>2361</v>
      </c>
      <c r="Y39" s="1163" t="s">
        <v>2309</v>
      </c>
      <c r="AB39" s="1146"/>
    </row>
    <row r="40" spans="3:28" ht="24.95" customHeight="1">
      <c r="C40" s="1163" t="s">
        <v>2371</v>
      </c>
      <c r="D40" s="1164"/>
      <c r="E40" s="1164" t="s">
        <v>2367</v>
      </c>
      <c r="F40" s="1164" t="s">
        <v>2352</v>
      </c>
      <c r="G40" s="1165" t="s">
        <v>2954</v>
      </c>
      <c r="H40" s="1165" t="s">
        <v>2972</v>
      </c>
      <c r="I40" s="1166">
        <v>1.748</v>
      </c>
      <c r="J40" s="1167">
        <v>1.748</v>
      </c>
      <c r="K40" s="1167"/>
      <c r="L40" s="1167">
        <v>1.748</v>
      </c>
      <c r="M40" s="1167">
        <v>2.25</v>
      </c>
      <c r="N40" s="1168">
        <v>20</v>
      </c>
      <c r="O40" s="1167">
        <f t="shared" si="1"/>
        <v>34.96</v>
      </c>
      <c r="P40" s="1168">
        <v>8</v>
      </c>
      <c r="Q40" s="1167">
        <f t="shared" si="2"/>
        <v>13.984</v>
      </c>
      <c r="R40" s="1167">
        <f t="shared" ref="R40:R71" si="4">O40+Q40</f>
        <v>48.944000000000003</v>
      </c>
      <c r="S40" s="1167">
        <v>0</v>
      </c>
      <c r="T40" s="1167">
        <v>2.25</v>
      </c>
      <c r="U40" s="1167">
        <f t="shared" ref="U40:U71" si="5">P40*T40</f>
        <v>18</v>
      </c>
      <c r="V40" s="437" t="s">
        <v>2939</v>
      </c>
      <c r="W40" s="1168">
        <v>1</v>
      </c>
      <c r="X40" s="1169" t="s">
        <v>2361</v>
      </c>
      <c r="Y40" s="1163" t="s">
        <v>2309</v>
      </c>
      <c r="AB40" s="1146"/>
    </row>
    <row r="41" spans="3:28" ht="24.95" customHeight="1">
      <c r="C41" s="1163" t="s">
        <v>2373</v>
      </c>
      <c r="D41" s="1164"/>
      <c r="E41" s="1164" t="s">
        <v>2369</v>
      </c>
      <c r="F41" s="1164" t="s">
        <v>2352</v>
      </c>
      <c r="G41" s="1165" t="s">
        <v>2954</v>
      </c>
      <c r="H41" s="1165" t="s">
        <v>2972</v>
      </c>
      <c r="I41" s="1166">
        <v>0.496</v>
      </c>
      <c r="J41" s="1167">
        <v>0.496</v>
      </c>
      <c r="K41" s="1167"/>
      <c r="L41" s="1167">
        <v>0.496</v>
      </c>
      <c r="M41" s="1167">
        <v>0.75</v>
      </c>
      <c r="N41" s="1168">
        <v>20</v>
      </c>
      <c r="O41" s="1167">
        <f t="shared" si="1"/>
        <v>9.92</v>
      </c>
      <c r="P41" s="1168">
        <v>7</v>
      </c>
      <c r="Q41" s="1167">
        <f t="shared" si="2"/>
        <v>3.472</v>
      </c>
      <c r="R41" s="1167">
        <f t="shared" si="4"/>
        <v>13.391999999999999</v>
      </c>
      <c r="S41" s="1167">
        <v>0</v>
      </c>
      <c r="T41" s="1167">
        <v>0.75</v>
      </c>
      <c r="U41" s="1167">
        <f t="shared" si="5"/>
        <v>5.25</v>
      </c>
      <c r="V41" s="437" t="s">
        <v>2939</v>
      </c>
      <c r="W41" s="1168">
        <v>1</v>
      </c>
      <c r="X41" s="1169" t="s">
        <v>2370</v>
      </c>
      <c r="Y41" s="1163" t="s">
        <v>2309</v>
      </c>
      <c r="AB41" s="1146"/>
    </row>
    <row r="42" spans="3:28" ht="24.95" customHeight="1">
      <c r="C42" s="1163" t="s">
        <v>2375</v>
      </c>
      <c r="D42" s="1164"/>
      <c r="E42" s="1164" t="s">
        <v>2372</v>
      </c>
      <c r="F42" s="1164" t="s">
        <v>2352</v>
      </c>
      <c r="G42" s="1165" t="s">
        <v>2954</v>
      </c>
      <c r="H42" s="1165" t="s">
        <v>2972</v>
      </c>
      <c r="I42" s="1166">
        <v>0.5</v>
      </c>
      <c r="J42" s="1167">
        <v>0.5</v>
      </c>
      <c r="K42" s="1167"/>
      <c r="L42" s="1167">
        <v>0.5</v>
      </c>
      <c r="M42" s="1167">
        <v>0.75</v>
      </c>
      <c r="N42" s="1168">
        <v>12</v>
      </c>
      <c r="O42" s="1167">
        <f t="shared" si="1"/>
        <v>6</v>
      </c>
      <c r="P42" s="1168">
        <v>7</v>
      </c>
      <c r="Q42" s="1167">
        <f t="shared" si="2"/>
        <v>3.5</v>
      </c>
      <c r="R42" s="1167">
        <f t="shared" si="4"/>
        <v>9.5</v>
      </c>
      <c r="S42" s="1167">
        <v>0</v>
      </c>
      <c r="T42" s="1167">
        <v>0.75</v>
      </c>
      <c r="U42" s="1167">
        <f t="shared" si="5"/>
        <v>5.25</v>
      </c>
      <c r="V42" s="437" t="s">
        <v>2939</v>
      </c>
      <c r="W42" s="1168">
        <v>1</v>
      </c>
      <c r="X42" s="1169" t="s">
        <v>2370</v>
      </c>
      <c r="Y42" s="1163" t="s">
        <v>2309</v>
      </c>
      <c r="AB42" s="1146"/>
    </row>
    <row r="43" spans="3:28" ht="24.95" customHeight="1">
      <c r="C43" s="1163" t="s">
        <v>2377</v>
      </c>
      <c r="D43" s="1164"/>
      <c r="E43" s="1164" t="s">
        <v>2374</v>
      </c>
      <c r="F43" s="1164" t="s">
        <v>2352</v>
      </c>
      <c r="G43" s="1165" t="s">
        <v>2954</v>
      </c>
      <c r="H43" s="1165" t="s">
        <v>2972</v>
      </c>
      <c r="I43" s="1166">
        <v>0.32</v>
      </c>
      <c r="J43" s="1167">
        <v>0.32</v>
      </c>
      <c r="K43" s="1167"/>
      <c r="L43" s="1167">
        <v>0.32</v>
      </c>
      <c r="M43" s="1167">
        <v>0.5</v>
      </c>
      <c r="N43" s="1168">
        <v>18</v>
      </c>
      <c r="O43" s="1167">
        <f t="shared" si="1"/>
        <v>5.76</v>
      </c>
      <c r="P43" s="1168">
        <v>5</v>
      </c>
      <c r="Q43" s="1167">
        <f t="shared" si="2"/>
        <v>1.6</v>
      </c>
      <c r="R43" s="1167">
        <f t="shared" si="4"/>
        <v>7.3599999999999994</v>
      </c>
      <c r="S43" s="1167">
        <v>0</v>
      </c>
      <c r="T43" s="1167">
        <v>0.5</v>
      </c>
      <c r="U43" s="1167">
        <f t="shared" si="5"/>
        <v>2.5</v>
      </c>
      <c r="V43" s="437" t="s">
        <v>2939</v>
      </c>
      <c r="W43" s="1168">
        <v>1</v>
      </c>
      <c r="X43" s="1169" t="s">
        <v>2370</v>
      </c>
      <c r="Y43" s="1163" t="s">
        <v>2309</v>
      </c>
      <c r="AB43" s="1146"/>
    </row>
    <row r="44" spans="3:28" ht="24.95" customHeight="1">
      <c r="C44" s="1163" t="s">
        <v>2380</v>
      </c>
      <c r="D44" s="1164"/>
      <c r="E44" s="1164" t="s">
        <v>2376</v>
      </c>
      <c r="F44" s="1164" t="s">
        <v>2352</v>
      </c>
      <c r="G44" s="1165" t="s">
        <v>2954</v>
      </c>
      <c r="H44" s="1165" t="s">
        <v>2972</v>
      </c>
      <c r="I44" s="1166">
        <v>0.66</v>
      </c>
      <c r="J44" s="1167">
        <v>0.66</v>
      </c>
      <c r="K44" s="1167"/>
      <c r="L44" s="1167">
        <v>0.66</v>
      </c>
      <c r="M44" s="1167">
        <v>1</v>
      </c>
      <c r="N44" s="1168">
        <v>15</v>
      </c>
      <c r="O44" s="1167">
        <f t="shared" si="1"/>
        <v>9.9</v>
      </c>
      <c r="P44" s="1168">
        <v>4</v>
      </c>
      <c r="Q44" s="1167">
        <f t="shared" si="2"/>
        <v>2.64</v>
      </c>
      <c r="R44" s="1167">
        <f t="shared" si="4"/>
        <v>12.540000000000001</v>
      </c>
      <c r="S44" s="1167">
        <v>0</v>
      </c>
      <c r="T44" s="1167">
        <v>1</v>
      </c>
      <c r="U44" s="1167">
        <f t="shared" si="5"/>
        <v>4</v>
      </c>
      <c r="V44" s="437" t="s">
        <v>2939</v>
      </c>
      <c r="W44" s="1168">
        <v>1</v>
      </c>
      <c r="X44" s="1169" t="s">
        <v>2370</v>
      </c>
      <c r="Y44" s="1163" t="s">
        <v>2309</v>
      </c>
      <c r="AB44" s="1146"/>
    </row>
    <row r="45" spans="3:28" ht="24.95" customHeight="1">
      <c r="C45" s="1163" t="s">
        <v>2382</v>
      </c>
      <c r="D45" s="1164"/>
      <c r="E45" s="1164" t="s">
        <v>2378</v>
      </c>
      <c r="F45" s="1164" t="s">
        <v>2352</v>
      </c>
      <c r="G45" s="1165" t="s">
        <v>2954</v>
      </c>
      <c r="H45" s="1165" t="s">
        <v>2972</v>
      </c>
      <c r="I45" s="1166">
        <v>0.28599999999999998</v>
      </c>
      <c r="J45" s="1167">
        <v>0.28599999999999998</v>
      </c>
      <c r="K45" s="1167"/>
      <c r="L45" s="1167">
        <v>0.28599999999999998</v>
      </c>
      <c r="M45" s="1167">
        <v>0.5</v>
      </c>
      <c r="N45" s="1168">
        <v>18</v>
      </c>
      <c r="O45" s="1167">
        <f t="shared" si="1"/>
        <v>5.1479999999999997</v>
      </c>
      <c r="P45" s="1168">
        <v>8</v>
      </c>
      <c r="Q45" s="1167">
        <f t="shared" si="2"/>
        <v>2.2879999999999998</v>
      </c>
      <c r="R45" s="1167">
        <f t="shared" si="4"/>
        <v>7.4359999999999999</v>
      </c>
      <c r="S45" s="1167">
        <v>0</v>
      </c>
      <c r="T45" s="1167">
        <v>0.5</v>
      </c>
      <c r="U45" s="1167">
        <f t="shared" si="5"/>
        <v>4</v>
      </c>
      <c r="V45" s="437" t="s">
        <v>2939</v>
      </c>
      <c r="W45" s="1168">
        <v>1</v>
      </c>
      <c r="X45" s="1169" t="s">
        <v>2379</v>
      </c>
      <c r="Y45" s="1163" t="s">
        <v>2309</v>
      </c>
      <c r="AB45" s="1146"/>
    </row>
    <row r="46" spans="3:28" ht="24.95" customHeight="1">
      <c r="C46" s="1163" t="s">
        <v>2384</v>
      </c>
      <c r="D46" s="1164"/>
      <c r="E46" s="1164" t="s">
        <v>2381</v>
      </c>
      <c r="F46" s="1164" t="s">
        <v>2352</v>
      </c>
      <c r="G46" s="1165" t="s">
        <v>2954</v>
      </c>
      <c r="H46" s="1165" t="s">
        <v>2972</v>
      </c>
      <c r="I46" s="1166">
        <v>0.28999999999999998</v>
      </c>
      <c r="J46" s="1167">
        <v>0.28999999999999998</v>
      </c>
      <c r="K46" s="1167"/>
      <c r="L46" s="1167">
        <v>0.28999999999999998</v>
      </c>
      <c r="M46" s="1167">
        <v>0.5</v>
      </c>
      <c r="N46" s="1168">
        <v>6</v>
      </c>
      <c r="O46" s="1167">
        <f t="shared" si="1"/>
        <v>1.7399999999999998</v>
      </c>
      <c r="P46" s="1168">
        <v>4</v>
      </c>
      <c r="Q46" s="1167">
        <f t="shared" si="2"/>
        <v>1.1599999999999999</v>
      </c>
      <c r="R46" s="1167">
        <f t="shared" si="4"/>
        <v>2.8999999999999995</v>
      </c>
      <c r="S46" s="1167">
        <v>0</v>
      </c>
      <c r="T46" s="1167">
        <v>0.5</v>
      </c>
      <c r="U46" s="1167">
        <f t="shared" si="5"/>
        <v>2</v>
      </c>
      <c r="V46" s="437" t="s">
        <v>2939</v>
      </c>
      <c r="W46" s="1168">
        <v>1</v>
      </c>
      <c r="X46" s="1169" t="s">
        <v>2379</v>
      </c>
      <c r="Y46" s="1163" t="s">
        <v>2309</v>
      </c>
      <c r="AB46" s="1146"/>
    </row>
    <row r="47" spans="3:28" ht="24.95" customHeight="1">
      <c r="C47" s="1163" t="s">
        <v>2386</v>
      </c>
      <c r="D47" s="1164"/>
      <c r="E47" s="1164" t="s">
        <v>2383</v>
      </c>
      <c r="F47" s="1164" t="s">
        <v>2352</v>
      </c>
      <c r="G47" s="1165" t="s">
        <v>2954</v>
      </c>
      <c r="H47" s="1165" t="s">
        <v>2972</v>
      </c>
      <c r="I47" s="1166">
        <v>0.23</v>
      </c>
      <c r="J47" s="1167">
        <v>0.23</v>
      </c>
      <c r="K47" s="1167"/>
      <c r="L47" s="1167">
        <v>0.23</v>
      </c>
      <c r="M47" s="1167">
        <v>0.5</v>
      </c>
      <c r="N47" s="1168">
        <v>13</v>
      </c>
      <c r="O47" s="1167">
        <f t="shared" si="1"/>
        <v>2.99</v>
      </c>
      <c r="P47" s="1168">
        <v>7</v>
      </c>
      <c r="Q47" s="1167">
        <f t="shared" si="2"/>
        <v>1.61</v>
      </c>
      <c r="R47" s="1167">
        <f t="shared" si="4"/>
        <v>4.6000000000000005</v>
      </c>
      <c r="S47" s="1167">
        <v>0</v>
      </c>
      <c r="T47" s="1167">
        <v>0.5</v>
      </c>
      <c r="U47" s="1167">
        <f t="shared" si="5"/>
        <v>3.5</v>
      </c>
      <c r="V47" s="437" t="s">
        <v>2939</v>
      </c>
      <c r="W47" s="1168">
        <v>1</v>
      </c>
      <c r="X47" s="1169" t="s">
        <v>2379</v>
      </c>
      <c r="Y47" s="1163" t="s">
        <v>2309</v>
      </c>
      <c r="AB47" s="1146"/>
    </row>
    <row r="48" spans="3:28" ht="24.95" customHeight="1">
      <c r="C48" s="1163" t="s">
        <v>2389</v>
      </c>
      <c r="D48" s="1164"/>
      <c r="E48" s="1164" t="s">
        <v>2385</v>
      </c>
      <c r="F48" s="1164" t="s">
        <v>2352</v>
      </c>
      <c r="G48" s="1165" t="s">
        <v>2954</v>
      </c>
      <c r="H48" s="1165" t="s">
        <v>2972</v>
      </c>
      <c r="I48" s="1166">
        <v>0.53</v>
      </c>
      <c r="J48" s="1167">
        <v>0.53</v>
      </c>
      <c r="K48" s="1167"/>
      <c r="L48" s="1167">
        <v>0.53</v>
      </c>
      <c r="M48" s="1167">
        <v>0.75</v>
      </c>
      <c r="N48" s="1168">
        <v>9</v>
      </c>
      <c r="O48" s="1167">
        <f t="shared" si="1"/>
        <v>4.7700000000000005</v>
      </c>
      <c r="P48" s="1168">
        <v>6</v>
      </c>
      <c r="Q48" s="1167">
        <f t="shared" si="2"/>
        <v>3.18</v>
      </c>
      <c r="R48" s="1167">
        <f t="shared" si="4"/>
        <v>7.9500000000000011</v>
      </c>
      <c r="S48" s="1167">
        <v>0</v>
      </c>
      <c r="T48" s="1167">
        <v>0.75</v>
      </c>
      <c r="U48" s="1167">
        <f t="shared" si="5"/>
        <v>4.5</v>
      </c>
      <c r="V48" s="437" t="s">
        <v>2939</v>
      </c>
      <c r="W48" s="1168">
        <v>1</v>
      </c>
      <c r="X48" s="1169" t="s">
        <v>2379</v>
      </c>
      <c r="Y48" s="1163" t="s">
        <v>2309</v>
      </c>
      <c r="AB48" s="1146"/>
    </row>
    <row r="49" spans="3:28" ht="24.95" customHeight="1">
      <c r="C49" s="1163" t="s">
        <v>2391</v>
      </c>
      <c r="D49" s="1164"/>
      <c r="E49" s="1164" t="s">
        <v>2387</v>
      </c>
      <c r="F49" s="1164" t="s">
        <v>2352</v>
      </c>
      <c r="G49" s="1165" t="s">
        <v>2954</v>
      </c>
      <c r="H49" s="1165" t="s">
        <v>2972</v>
      </c>
      <c r="I49" s="1166">
        <v>0.24299999999999999</v>
      </c>
      <c r="J49" s="1167">
        <v>0.24299999999999999</v>
      </c>
      <c r="K49" s="1167"/>
      <c r="L49" s="1167">
        <v>0.24299999999999999</v>
      </c>
      <c r="M49" s="1167">
        <v>0.5</v>
      </c>
      <c r="N49" s="1168">
        <v>17</v>
      </c>
      <c r="O49" s="1167">
        <f t="shared" si="1"/>
        <v>4.1310000000000002</v>
      </c>
      <c r="P49" s="1168">
        <v>8</v>
      </c>
      <c r="Q49" s="1167">
        <f t="shared" si="2"/>
        <v>1.944</v>
      </c>
      <c r="R49" s="1167">
        <f t="shared" si="4"/>
        <v>6.0750000000000002</v>
      </c>
      <c r="S49" s="1167">
        <v>0</v>
      </c>
      <c r="T49" s="1167">
        <v>0.5</v>
      </c>
      <c r="U49" s="1167">
        <f t="shared" si="5"/>
        <v>4</v>
      </c>
      <c r="V49" s="437" t="s">
        <v>2939</v>
      </c>
      <c r="W49" s="1168">
        <v>1</v>
      </c>
      <c r="X49" s="1169" t="s">
        <v>2388</v>
      </c>
      <c r="Y49" s="1163" t="s">
        <v>2309</v>
      </c>
      <c r="AB49" s="1146"/>
    </row>
    <row r="50" spans="3:28" ht="24.95" customHeight="1">
      <c r="C50" s="1163" t="s">
        <v>2393</v>
      </c>
      <c r="D50" s="1164"/>
      <c r="E50" s="1164" t="s">
        <v>2390</v>
      </c>
      <c r="F50" s="1164" t="s">
        <v>2352</v>
      </c>
      <c r="G50" s="1165" t="s">
        <v>2954</v>
      </c>
      <c r="H50" s="1165" t="s">
        <v>2972</v>
      </c>
      <c r="I50" s="1166">
        <v>0.24</v>
      </c>
      <c r="J50" s="1167">
        <v>0.24</v>
      </c>
      <c r="K50" s="1167"/>
      <c r="L50" s="1167">
        <v>0.24</v>
      </c>
      <c r="M50" s="1167">
        <v>0.5</v>
      </c>
      <c r="N50" s="1168">
        <v>5</v>
      </c>
      <c r="O50" s="1167">
        <f t="shared" si="1"/>
        <v>1.2</v>
      </c>
      <c r="P50" s="1168">
        <v>3</v>
      </c>
      <c r="Q50" s="1167">
        <f t="shared" si="2"/>
        <v>0.72</v>
      </c>
      <c r="R50" s="1167">
        <f t="shared" si="4"/>
        <v>1.92</v>
      </c>
      <c r="S50" s="1167">
        <v>0</v>
      </c>
      <c r="T50" s="1167">
        <v>0.5</v>
      </c>
      <c r="U50" s="1167">
        <f t="shared" si="5"/>
        <v>1.5</v>
      </c>
      <c r="V50" s="437" t="s">
        <v>2939</v>
      </c>
      <c r="W50" s="1168">
        <v>1</v>
      </c>
      <c r="X50" s="1169" t="s">
        <v>2388</v>
      </c>
      <c r="Y50" s="1163" t="s">
        <v>2309</v>
      </c>
      <c r="AB50" s="1146"/>
    </row>
    <row r="51" spans="3:28" ht="24.95" customHeight="1">
      <c r="C51" s="1163" t="s">
        <v>2395</v>
      </c>
      <c r="D51" s="1164"/>
      <c r="E51" s="1164" t="s">
        <v>2392</v>
      </c>
      <c r="F51" s="1164" t="s">
        <v>2352</v>
      </c>
      <c r="G51" s="1165" t="s">
        <v>2954</v>
      </c>
      <c r="H51" s="1165" t="s">
        <v>2972</v>
      </c>
      <c r="I51" s="1166">
        <v>0.22</v>
      </c>
      <c r="J51" s="1167">
        <v>0.22</v>
      </c>
      <c r="K51" s="1167"/>
      <c r="L51" s="1167">
        <v>0.22</v>
      </c>
      <c r="M51" s="1167">
        <v>0.38</v>
      </c>
      <c r="N51" s="1168">
        <v>14</v>
      </c>
      <c r="O51" s="1167">
        <f t="shared" si="1"/>
        <v>3.08</v>
      </c>
      <c r="P51" s="1168">
        <v>9</v>
      </c>
      <c r="Q51" s="1167">
        <f t="shared" si="2"/>
        <v>1.98</v>
      </c>
      <c r="R51" s="1167">
        <f t="shared" si="4"/>
        <v>5.0600000000000005</v>
      </c>
      <c r="S51" s="1167">
        <v>0</v>
      </c>
      <c r="T51" s="1167">
        <v>0.38</v>
      </c>
      <c r="U51" s="1167">
        <f t="shared" si="5"/>
        <v>3.42</v>
      </c>
      <c r="V51" s="437" t="s">
        <v>2939</v>
      </c>
      <c r="W51" s="1168">
        <v>1</v>
      </c>
      <c r="X51" s="1169" t="s">
        <v>2388</v>
      </c>
      <c r="Y51" s="1163" t="s">
        <v>2309</v>
      </c>
      <c r="AB51" s="1146"/>
    </row>
    <row r="52" spans="3:28" ht="24.95" customHeight="1">
      <c r="C52" s="1163" t="s">
        <v>2398</v>
      </c>
      <c r="D52" s="1164"/>
      <c r="E52" s="1164" t="s">
        <v>2394</v>
      </c>
      <c r="F52" s="1164" t="s">
        <v>2352</v>
      </c>
      <c r="G52" s="1165" t="s">
        <v>2954</v>
      </c>
      <c r="H52" s="1165" t="s">
        <v>2972</v>
      </c>
      <c r="I52" s="1166">
        <v>0.34</v>
      </c>
      <c r="J52" s="1167">
        <v>0.34</v>
      </c>
      <c r="K52" s="1167"/>
      <c r="L52" s="1167">
        <v>0.34</v>
      </c>
      <c r="M52" s="1167">
        <v>0.5</v>
      </c>
      <c r="N52" s="1168">
        <v>14</v>
      </c>
      <c r="O52" s="1167">
        <f t="shared" si="1"/>
        <v>4.7600000000000007</v>
      </c>
      <c r="P52" s="1168">
        <v>7</v>
      </c>
      <c r="Q52" s="1167">
        <f t="shared" si="2"/>
        <v>2.3800000000000003</v>
      </c>
      <c r="R52" s="1167">
        <f t="shared" si="4"/>
        <v>7.1400000000000006</v>
      </c>
      <c r="S52" s="1167">
        <v>0</v>
      </c>
      <c r="T52" s="1167">
        <v>0.5</v>
      </c>
      <c r="U52" s="1167">
        <f t="shared" si="5"/>
        <v>3.5</v>
      </c>
      <c r="V52" s="437" t="s">
        <v>2939</v>
      </c>
      <c r="W52" s="1168">
        <v>1</v>
      </c>
      <c r="X52" s="1169" t="s">
        <v>2388</v>
      </c>
      <c r="Y52" s="1163" t="s">
        <v>2309</v>
      </c>
      <c r="AB52" s="1146"/>
    </row>
    <row r="53" spans="3:28" ht="24.95" customHeight="1">
      <c r="C53" s="1163" t="s">
        <v>2400</v>
      </c>
      <c r="D53" s="1164"/>
      <c r="E53" s="1164" t="s">
        <v>2396</v>
      </c>
      <c r="F53" s="1164" t="s">
        <v>2352</v>
      </c>
      <c r="G53" s="1165" t="s">
        <v>2954</v>
      </c>
      <c r="H53" s="1165" t="s">
        <v>2972</v>
      </c>
      <c r="I53" s="1166">
        <v>0.15</v>
      </c>
      <c r="J53" s="1167">
        <v>0.15</v>
      </c>
      <c r="K53" s="1167"/>
      <c r="L53" s="1167">
        <v>0.15</v>
      </c>
      <c r="M53" s="1167">
        <v>0.38</v>
      </c>
      <c r="N53" s="1168">
        <v>23</v>
      </c>
      <c r="O53" s="1167">
        <f t="shared" si="1"/>
        <v>3.4499999999999997</v>
      </c>
      <c r="P53" s="1168">
        <v>9</v>
      </c>
      <c r="Q53" s="1167">
        <f t="shared" si="2"/>
        <v>1.3499999999999999</v>
      </c>
      <c r="R53" s="1167">
        <f t="shared" si="4"/>
        <v>4.8</v>
      </c>
      <c r="S53" s="1167">
        <v>0</v>
      </c>
      <c r="T53" s="1167">
        <v>0.38</v>
      </c>
      <c r="U53" s="1167">
        <f t="shared" si="5"/>
        <v>3.42</v>
      </c>
      <c r="V53" s="437" t="s">
        <v>2939</v>
      </c>
      <c r="W53" s="1168">
        <v>1</v>
      </c>
      <c r="X53" s="1169" t="s">
        <v>2397</v>
      </c>
      <c r="Y53" s="1163" t="s">
        <v>2309</v>
      </c>
      <c r="AB53" s="1146"/>
    </row>
    <row r="54" spans="3:28" ht="24.95" customHeight="1">
      <c r="C54" s="1163" t="s">
        <v>2402</v>
      </c>
      <c r="D54" s="1164"/>
      <c r="E54" s="1164" t="s">
        <v>2399</v>
      </c>
      <c r="F54" s="1164" t="s">
        <v>2352</v>
      </c>
      <c r="G54" s="1165" t="s">
        <v>2954</v>
      </c>
      <c r="H54" s="1165" t="s">
        <v>2972</v>
      </c>
      <c r="I54" s="1166">
        <v>0.15</v>
      </c>
      <c r="J54" s="1167">
        <v>0.15</v>
      </c>
      <c r="K54" s="1167"/>
      <c r="L54" s="1167">
        <v>0.15</v>
      </c>
      <c r="M54" s="1167">
        <v>38</v>
      </c>
      <c r="N54" s="1168">
        <v>18</v>
      </c>
      <c r="O54" s="1167">
        <f t="shared" si="1"/>
        <v>2.6999999999999997</v>
      </c>
      <c r="P54" s="1168">
        <v>6</v>
      </c>
      <c r="Q54" s="1167">
        <f t="shared" si="2"/>
        <v>0.89999999999999991</v>
      </c>
      <c r="R54" s="1167">
        <f t="shared" si="4"/>
        <v>3.5999999999999996</v>
      </c>
      <c r="S54" s="1167">
        <v>0</v>
      </c>
      <c r="T54" s="1167">
        <v>38</v>
      </c>
      <c r="U54" s="1167">
        <f t="shared" si="5"/>
        <v>228</v>
      </c>
      <c r="V54" s="437" t="s">
        <v>2939</v>
      </c>
      <c r="W54" s="1168">
        <v>1</v>
      </c>
      <c r="X54" s="1169" t="s">
        <v>2397</v>
      </c>
      <c r="Y54" s="1163" t="s">
        <v>2309</v>
      </c>
      <c r="AB54" s="1146"/>
    </row>
    <row r="55" spans="3:28" ht="24.95" customHeight="1">
      <c r="C55" s="1163" t="s">
        <v>2404</v>
      </c>
      <c r="D55" s="1164"/>
      <c r="E55" s="1164" t="s">
        <v>2401</v>
      </c>
      <c r="F55" s="1164" t="s">
        <v>2352</v>
      </c>
      <c r="G55" s="1165" t="s">
        <v>2954</v>
      </c>
      <c r="H55" s="1165" t="s">
        <v>2972</v>
      </c>
      <c r="I55" s="1166">
        <v>0.12</v>
      </c>
      <c r="J55" s="1167">
        <v>0.12</v>
      </c>
      <c r="K55" s="1167"/>
      <c r="L55" s="1167">
        <v>0.12</v>
      </c>
      <c r="M55" s="1167">
        <v>0.25</v>
      </c>
      <c r="N55" s="1168">
        <v>16</v>
      </c>
      <c r="O55" s="1167">
        <f t="shared" si="1"/>
        <v>1.92</v>
      </c>
      <c r="P55" s="1168">
        <v>8</v>
      </c>
      <c r="Q55" s="1167">
        <f t="shared" si="2"/>
        <v>0.96</v>
      </c>
      <c r="R55" s="1167">
        <f t="shared" si="4"/>
        <v>2.88</v>
      </c>
      <c r="S55" s="1167">
        <v>0</v>
      </c>
      <c r="T55" s="1167">
        <v>0.25</v>
      </c>
      <c r="U55" s="1167">
        <f t="shared" si="5"/>
        <v>2</v>
      </c>
      <c r="V55" s="437" t="s">
        <v>2939</v>
      </c>
      <c r="W55" s="1168">
        <v>1</v>
      </c>
      <c r="X55" s="1169" t="s">
        <v>2397</v>
      </c>
      <c r="Y55" s="1163" t="s">
        <v>2309</v>
      </c>
      <c r="AB55" s="1146"/>
    </row>
    <row r="56" spans="3:28" ht="24.95" customHeight="1">
      <c r="C56" s="1163" t="s">
        <v>2407</v>
      </c>
      <c r="D56" s="1164"/>
      <c r="E56" s="1164" t="s">
        <v>2403</v>
      </c>
      <c r="F56" s="1164" t="s">
        <v>2352</v>
      </c>
      <c r="G56" s="1165" t="s">
        <v>2954</v>
      </c>
      <c r="H56" s="1165" t="s">
        <v>2972</v>
      </c>
      <c r="I56" s="1166">
        <v>0.28000000000000003</v>
      </c>
      <c r="J56" s="1167">
        <v>0.28000000000000003</v>
      </c>
      <c r="K56" s="1167"/>
      <c r="L56" s="1167">
        <v>0.28000000000000003</v>
      </c>
      <c r="M56" s="1167">
        <v>0.38</v>
      </c>
      <c r="N56" s="1168">
        <v>20</v>
      </c>
      <c r="O56" s="1167">
        <f t="shared" si="1"/>
        <v>5.6000000000000005</v>
      </c>
      <c r="P56" s="1168">
        <v>5</v>
      </c>
      <c r="Q56" s="1167">
        <f t="shared" si="2"/>
        <v>1.4000000000000001</v>
      </c>
      <c r="R56" s="1167">
        <f t="shared" si="4"/>
        <v>7.0000000000000009</v>
      </c>
      <c r="S56" s="1167">
        <v>0</v>
      </c>
      <c r="T56" s="1167">
        <v>0.38</v>
      </c>
      <c r="U56" s="1167">
        <f t="shared" si="5"/>
        <v>1.9</v>
      </c>
      <c r="V56" s="437" t="s">
        <v>2939</v>
      </c>
      <c r="W56" s="1168">
        <v>1</v>
      </c>
      <c r="X56" s="1169" t="s">
        <v>2397</v>
      </c>
      <c r="Y56" s="1163" t="s">
        <v>2309</v>
      </c>
      <c r="AB56" s="1146"/>
    </row>
    <row r="57" spans="3:28" ht="24.95" customHeight="1">
      <c r="C57" s="1163" t="s">
        <v>2410</v>
      </c>
      <c r="D57" s="1164"/>
      <c r="E57" s="1164" t="s">
        <v>2405</v>
      </c>
      <c r="F57" s="1164" t="s">
        <v>2352</v>
      </c>
      <c r="G57" s="1165" t="s">
        <v>2954</v>
      </c>
      <c r="H57" s="1165" t="s">
        <v>2972</v>
      </c>
      <c r="I57" s="1166">
        <v>0.123</v>
      </c>
      <c r="J57" s="1167">
        <v>0.123</v>
      </c>
      <c r="K57" s="1167"/>
      <c r="L57" s="1167">
        <v>0.123</v>
      </c>
      <c r="M57" s="1167">
        <v>0.25</v>
      </c>
      <c r="N57" s="1168">
        <v>180</v>
      </c>
      <c r="O57" s="1167">
        <f t="shared" si="1"/>
        <v>22.14</v>
      </c>
      <c r="P57" s="1168">
        <v>50</v>
      </c>
      <c r="Q57" s="1167">
        <f t="shared" si="2"/>
        <v>6.15</v>
      </c>
      <c r="R57" s="1167">
        <f t="shared" si="4"/>
        <v>28.29</v>
      </c>
      <c r="S57" s="1167">
        <v>0</v>
      </c>
      <c r="T57" s="1167">
        <v>0.25</v>
      </c>
      <c r="U57" s="1167">
        <f t="shared" si="5"/>
        <v>12.5</v>
      </c>
      <c r="V57" s="437" t="s">
        <v>2939</v>
      </c>
      <c r="W57" s="1168">
        <v>1</v>
      </c>
      <c r="X57" s="1169" t="s">
        <v>2406</v>
      </c>
      <c r="Y57" s="1163" t="s">
        <v>2309</v>
      </c>
      <c r="AB57" s="1146"/>
    </row>
    <row r="58" spans="3:28" ht="24.95" customHeight="1">
      <c r="C58" s="1155" t="s">
        <v>2413</v>
      </c>
      <c r="D58" s="1156"/>
      <c r="E58" s="1156" t="s">
        <v>2408</v>
      </c>
      <c r="F58" s="1156" t="s">
        <v>2352</v>
      </c>
      <c r="G58" s="1157" t="s">
        <v>2954</v>
      </c>
      <c r="H58" s="1157" t="s">
        <v>2972</v>
      </c>
      <c r="I58" s="1158">
        <v>4.4859999999999998</v>
      </c>
      <c r="J58" s="1159">
        <v>4.4859999999999998</v>
      </c>
      <c r="K58" s="1159"/>
      <c r="L58" s="1159">
        <v>4.4859999999999998</v>
      </c>
      <c r="M58" s="1159">
        <v>5</v>
      </c>
      <c r="N58" s="1160">
        <v>0</v>
      </c>
      <c r="O58" s="1159">
        <f t="shared" si="1"/>
        <v>0</v>
      </c>
      <c r="P58" s="1160">
        <v>0</v>
      </c>
      <c r="Q58" s="1159">
        <f t="shared" si="2"/>
        <v>0</v>
      </c>
      <c r="R58" s="1159">
        <f t="shared" si="4"/>
        <v>0</v>
      </c>
      <c r="S58" s="1159">
        <v>0</v>
      </c>
      <c r="T58" s="1159">
        <v>5</v>
      </c>
      <c r="U58" s="1159">
        <f t="shared" si="5"/>
        <v>0</v>
      </c>
      <c r="V58" s="1161" t="s">
        <v>2939</v>
      </c>
      <c r="W58" s="1160">
        <v>1</v>
      </c>
      <c r="X58" s="1162" t="s">
        <v>2409</v>
      </c>
      <c r="Y58" s="1155" t="s">
        <v>2309</v>
      </c>
      <c r="AB58" s="1146"/>
    </row>
    <row r="59" spans="3:28" ht="24.95" customHeight="1">
      <c r="C59" s="1155" t="s">
        <v>2416</v>
      </c>
      <c r="D59" s="1156"/>
      <c r="E59" s="1156" t="s">
        <v>2411</v>
      </c>
      <c r="F59" s="1156" t="s">
        <v>2352</v>
      </c>
      <c r="G59" s="1157" t="s">
        <v>2954</v>
      </c>
      <c r="H59" s="1157" t="s">
        <v>2972</v>
      </c>
      <c r="I59" s="1158">
        <v>1.91</v>
      </c>
      <c r="J59" s="1159">
        <v>1.91</v>
      </c>
      <c r="K59" s="1159"/>
      <c r="L59" s="1159">
        <v>1.91</v>
      </c>
      <c r="M59" s="1159">
        <v>2.5</v>
      </c>
      <c r="N59" s="1160">
        <v>0</v>
      </c>
      <c r="O59" s="1159">
        <f t="shared" si="1"/>
        <v>0</v>
      </c>
      <c r="P59" s="1160">
        <v>0</v>
      </c>
      <c r="Q59" s="1159">
        <f t="shared" si="2"/>
        <v>0</v>
      </c>
      <c r="R59" s="1159">
        <f t="shared" si="4"/>
        <v>0</v>
      </c>
      <c r="S59" s="1159">
        <v>0</v>
      </c>
      <c r="T59" s="1159">
        <v>2.5</v>
      </c>
      <c r="U59" s="1159">
        <f t="shared" si="5"/>
        <v>0</v>
      </c>
      <c r="V59" s="1161" t="s">
        <v>2939</v>
      </c>
      <c r="W59" s="1160">
        <v>1</v>
      </c>
      <c r="X59" s="1162" t="s">
        <v>2412</v>
      </c>
      <c r="Y59" s="1155" t="s">
        <v>2309</v>
      </c>
      <c r="AB59" s="1146"/>
    </row>
    <row r="60" spans="3:28" ht="24.95" customHeight="1">
      <c r="C60" s="1155" t="s">
        <v>2419</v>
      </c>
      <c r="D60" s="1156"/>
      <c r="E60" s="1156" t="s">
        <v>2414</v>
      </c>
      <c r="F60" s="1156" t="s">
        <v>2352</v>
      </c>
      <c r="G60" s="1157" t="s">
        <v>2954</v>
      </c>
      <c r="H60" s="1157" t="s">
        <v>2972</v>
      </c>
      <c r="I60" s="1158">
        <v>0.95099999999999996</v>
      </c>
      <c r="J60" s="1159">
        <v>0.95099999999999996</v>
      </c>
      <c r="K60" s="1159"/>
      <c r="L60" s="1159">
        <v>0.95099999999999996</v>
      </c>
      <c r="M60" s="1159">
        <v>1.5</v>
      </c>
      <c r="N60" s="1160">
        <v>10</v>
      </c>
      <c r="O60" s="1159">
        <f t="shared" si="1"/>
        <v>9.51</v>
      </c>
      <c r="P60" s="1160">
        <v>0</v>
      </c>
      <c r="Q60" s="1159">
        <f t="shared" si="2"/>
        <v>0</v>
      </c>
      <c r="R60" s="1159">
        <f t="shared" si="4"/>
        <v>9.51</v>
      </c>
      <c r="S60" s="1159">
        <v>0</v>
      </c>
      <c r="T60" s="1159">
        <v>1.5</v>
      </c>
      <c r="U60" s="1159">
        <f t="shared" si="5"/>
        <v>0</v>
      </c>
      <c r="V60" s="1161" t="s">
        <v>2939</v>
      </c>
      <c r="W60" s="1160">
        <v>1</v>
      </c>
      <c r="X60" s="1162" t="s">
        <v>2415</v>
      </c>
      <c r="Y60" s="1155" t="s">
        <v>2309</v>
      </c>
      <c r="AB60" s="1146"/>
    </row>
    <row r="61" spans="3:28" ht="24.95" customHeight="1">
      <c r="C61" s="1155" t="s">
        <v>2421</v>
      </c>
      <c r="D61" s="1156"/>
      <c r="E61" s="1156" t="s">
        <v>2417</v>
      </c>
      <c r="F61" s="1156" t="s">
        <v>2352</v>
      </c>
      <c r="G61" s="1157" t="s">
        <v>2954</v>
      </c>
      <c r="H61" s="1157" t="s">
        <v>2972</v>
      </c>
      <c r="I61" s="1158">
        <v>2.1240000000000001</v>
      </c>
      <c r="J61" s="1159">
        <v>2.1240000000000001</v>
      </c>
      <c r="K61" s="1159"/>
      <c r="L61" s="1159">
        <v>2.1240000000000001</v>
      </c>
      <c r="M61" s="1159">
        <v>2.5</v>
      </c>
      <c r="N61" s="1160">
        <v>8</v>
      </c>
      <c r="O61" s="1159">
        <f t="shared" si="1"/>
        <v>16.992000000000001</v>
      </c>
      <c r="P61" s="1160">
        <v>2</v>
      </c>
      <c r="Q61" s="1159">
        <f t="shared" si="2"/>
        <v>4.2480000000000002</v>
      </c>
      <c r="R61" s="1159">
        <f t="shared" si="4"/>
        <v>21.240000000000002</v>
      </c>
      <c r="S61" s="1159">
        <v>0</v>
      </c>
      <c r="T61" s="1159">
        <v>2.5</v>
      </c>
      <c r="U61" s="1159">
        <f t="shared" si="5"/>
        <v>5</v>
      </c>
      <c r="V61" s="1161" t="s">
        <v>2939</v>
      </c>
      <c r="W61" s="1160">
        <v>1</v>
      </c>
      <c r="X61" s="1162" t="s">
        <v>2418</v>
      </c>
      <c r="Y61" s="1155" t="s">
        <v>2309</v>
      </c>
      <c r="AB61" s="1146"/>
    </row>
    <row r="62" spans="3:28" ht="24.95" customHeight="1">
      <c r="C62" s="1155" t="s">
        <v>2423</v>
      </c>
      <c r="D62" s="1156"/>
      <c r="E62" s="1156" t="s">
        <v>2420</v>
      </c>
      <c r="F62" s="1156" t="s">
        <v>2352</v>
      </c>
      <c r="G62" s="1157" t="s">
        <v>2954</v>
      </c>
      <c r="H62" s="1157" t="s">
        <v>2972</v>
      </c>
      <c r="I62" s="1158">
        <v>1.077</v>
      </c>
      <c r="J62" s="1159">
        <v>1.077</v>
      </c>
      <c r="K62" s="1159"/>
      <c r="L62" s="1159">
        <v>1.077</v>
      </c>
      <c r="M62" s="1159">
        <v>1.5</v>
      </c>
      <c r="N62" s="1160">
        <v>0</v>
      </c>
      <c r="O62" s="1159">
        <f t="shared" si="1"/>
        <v>0</v>
      </c>
      <c r="P62" s="1160">
        <v>0</v>
      </c>
      <c r="Q62" s="1159">
        <f t="shared" si="2"/>
        <v>0</v>
      </c>
      <c r="R62" s="1159">
        <f t="shared" si="4"/>
        <v>0</v>
      </c>
      <c r="S62" s="1159">
        <v>0</v>
      </c>
      <c r="T62" s="1159">
        <v>1.5</v>
      </c>
      <c r="U62" s="1159">
        <f t="shared" si="5"/>
        <v>0</v>
      </c>
      <c r="V62" s="1161" t="s">
        <v>2939</v>
      </c>
      <c r="W62" s="1160">
        <v>1</v>
      </c>
      <c r="X62" s="1162" t="s">
        <v>2412</v>
      </c>
      <c r="Y62" s="1155" t="s">
        <v>2309</v>
      </c>
      <c r="AB62" s="1146"/>
    </row>
    <row r="63" spans="3:28" ht="24.95" customHeight="1">
      <c r="C63" s="1155" t="s">
        <v>2425</v>
      </c>
      <c r="D63" s="1156"/>
      <c r="E63" s="1156" t="s">
        <v>2422</v>
      </c>
      <c r="F63" s="1156" t="s">
        <v>2352</v>
      </c>
      <c r="G63" s="1157" t="s">
        <v>2954</v>
      </c>
      <c r="H63" s="1157" t="s">
        <v>2972</v>
      </c>
      <c r="I63" s="1158">
        <v>0.55000000000000004</v>
      </c>
      <c r="J63" s="1159">
        <v>0.55000000000000004</v>
      </c>
      <c r="K63" s="1159"/>
      <c r="L63" s="1159">
        <v>0.55000000000000004</v>
      </c>
      <c r="M63" s="1159">
        <v>0.75</v>
      </c>
      <c r="N63" s="1160">
        <v>5</v>
      </c>
      <c r="O63" s="1159">
        <f t="shared" si="1"/>
        <v>2.75</v>
      </c>
      <c r="P63" s="1160">
        <v>2</v>
      </c>
      <c r="Q63" s="1159">
        <f t="shared" si="2"/>
        <v>1.1000000000000001</v>
      </c>
      <c r="R63" s="1159">
        <f t="shared" si="4"/>
        <v>3.85</v>
      </c>
      <c r="S63" s="1159">
        <v>0</v>
      </c>
      <c r="T63" s="1159">
        <v>0.75</v>
      </c>
      <c r="U63" s="1159">
        <f t="shared" si="5"/>
        <v>1.5</v>
      </c>
      <c r="V63" s="1161" t="s">
        <v>2939</v>
      </c>
      <c r="W63" s="1160">
        <v>1</v>
      </c>
      <c r="X63" s="1162" t="s">
        <v>2415</v>
      </c>
      <c r="Y63" s="1155" t="s">
        <v>2309</v>
      </c>
      <c r="AB63" s="1146"/>
    </row>
    <row r="64" spans="3:28" ht="24.95" customHeight="1">
      <c r="C64" s="1155" t="s">
        <v>2427</v>
      </c>
      <c r="D64" s="1156"/>
      <c r="E64" s="1156" t="s">
        <v>2424</v>
      </c>
      <c r="F64" s="1156" t="s">
        <v>2352</v>
      </c>
      <c r="G64" s="1157" t="s">
        <v>2954</v>
      </c>
      <c r="H64" s="1157" t="s">
        <v>2972</v>
      </c>
      <c r="I64" s="1158">
        <v>7.44</v>
      </c>
      <c r="J64" s="1159">
        <v>7.44</v>
      </c>
      <c r="K64" s="1159"/>
      <c r="L64" s="1159">
        <v>7.44</v>
      </c>
      <c r="M64" s="1159">
        <v>8</v>
      </c>
      <c r="N64" s="1160">
        <v>2</v>
      </c>
      <c r="O64" s="1159">
        <f t="shared" si="1"/>
        <v>14.88</v>
      </c>
      <c r="P64" s="1160">
        <v>0</v>
      </c>
      <c r="Q64" s="1159">
        <f t="shared" si="2"/>
        <v>0</v>
      </c>
      <c r="R64" s="1159">
        <f t="shared" si="4"/>
        <v>14.88</v>
      </c>
      <c r="S64" s="1159">
        <v>0</v>
      </c>
      <c r="T64" s="1159">
        <v>8</v>
      </c>
      <c r="U64" s="1159">
        <f t="shared" si="5"/>
        <v>0</v>
      </c>
      <c r="V64" s="1161" t="s">
        <v>2939</v>
      </c>
      <c r="W64" s="1160">
        <v>1</v>
      </c>
      <c r="X64" s="1162" t="s">
        <v>2353</v>
      </c>
      <c r="Y64" s="1155" t="s">
        <v>2309</v>
      </c>
      <c r="AB64" s="1146"/>
    </row>
    <row r="65" spans="3:28" ht="24.95" customHeight="1">
      <c r="C65" s="1155" t="s">
        <v>2429</v>
      </c>
      <c r="D65" s="1156"/>
      <c r="E65" s="1156" t="s">
        <v>2426</v>
      </c>
      <c r="F65" s="1156" t="s">
        <v>2352</v>
      </c>
      <c r="G65" s="1157" t="s">
        <v>2954</v>
      </c>
      <c r="H65" s="1157" t="s">
        <v>2972</v>
      </c>
      <c r="I65" s="1158">
        <v>3.9729999999999999</v>
      </c>
      <c r="J65" s="1159">
        <v>3.9729999999999999</v>
      </c>
      <c r="K65" s="1159"/>
      <c r="L65" s="1159">
        <v>3.9729999999999999</v>
      </c>
      <c r="M65" s="1159">
        <v>4.5</v>
      </c>
      <c r="N65" s="1160">
        <v>0</v>
      </c>
      <c r="O65" s="1159">
        <f t="shared" si="1"/>
        <v>0</v>
      </c>
      <c r="P65" s="1160">
        <v>0</v>
      </c>
      <c r="Q65" s="1159">
        <f t="shared" si="2"/>
        <v>0</v>
      </c>
      <c r="R65" s="1159">
        <f t="shared" si="4"/>
        <v>0</v>
      </c>
      <c r="S65" s="1159">
        <v>0</v>
      </c>
      <c r="T65" s="1159">
        <v>4.5</v>
      </c>
      <c r="U65" s="1159">
        <f t="shared" si="5"/>
        <v>0</v>
      </c>
      <c r="V65" s="1161" t="s">
        <v>2939</v>
      </c>
      <c r="W65" s="1160">
        <v>1</v>
      </c>
      <c r="X65" s="1162" t="s">
        <v>2361</v>
      </c>
      <c r="Y65" s="1155" t="s">
        <v>2309</v>
      </c>
      <c r="AB65" s="1146"/>
    </row>
    <row r="66" spans="3:28" ht="24.95" customHeight="1">
      <c r="C66" s="1155" t="s">
        <v>2431</v>
      </c>
      <c r="D66" s="1156"/>
      <c r="E66" s="1156" t="s">
        <v>2428</v>
      </c>
      <c r="F66" s="1156" t="s">
        <v>2352</v>
      </c>
      <c r="G66" s="1157" t="s">
        <v>2954</v>
      </c>
      <c r="H66" s="1157" t="s">
        <v>2972</v>
      </c>
      <c r="I66" s="1158">
        <v>1.4450000000000001</v>
      </c>
      <c r="J66" s="1159">
        <v>1.4450000000000001</v>
      </c>
      <c r="K66" s="1159"/>
      <c r="L66" s="1159">
        <v>1.4450000000000001</v>
      </c>
      <c r="M66" s="1159">
        <v>2</v>
      </c>
      <c r="N66" s="1160">
        <v>3</v>
      </c>
      <c r="O66" s="1159">
        <f t="shared" si="1"/>
        <v>4.335</v>
      </c>
      <c r="P66" s="1160">
        <v>1</v>
      </c>
      <c r="Q66" s="1159">
        <f t="shared" si="2"/>
        <v>1.4450000000000001</v>
      </c>
      <c r="R66" s="1159">
        <f t="shared" si="4"/>
        <v>5.78</v>
      </c>
      <c r="S66" s="1159">
        <v>0</v>
      </c>
      <c r="T66" s="1159">
        <v>2</v>
      </c>
      <c r="U66" s="1159">
        <f t="shared" si="5"/>
        <v>2</v>
      </c>
      <c r="V66" s="1161" t="s">
        <v>2939</v>
      </c>
      <c r="W66" s="1160">
        <v>1</v>
      </c>
      <c r="X66" s="1162" t="s">
        <v>2370</v>
      </c>
      <c r="Y66" s="1155" t="s">
        <v>2309</v>
      </c>
      <c r="AB66" s="1146"/>
    </row>
    <row r="67" spans="3:28" ht="24.95" customHeight="1">
      <c r="C67" s="1155" t="s">
        <v>2434</v>
      </c>
      <c r="D67" s="1156"/>
      <c r="E67" s="1156" t="s">
        <v>2430</v>
      </c>
      <c r="F67" s="1156" t="s">
        <v>2352</v>
      </c>
      <c r="G67" s="1157" t="s">
        <v>2954</v>
      </c>
      <c r="H67" s="1157" t="s">
        <v>2972</v>
      </c>
      <c r="I67" s="1158">
        <v>7.7779999999999996</v>
      </c>
      <c r="J67" s="1159">
        <v>7.7779999999999996</v>
      </c>
      <c r="K67" s="1159"/>
      <c r="L67" s="1159">
        <v>7.7779999999999996</v>
      </c>
      <c r="M67" s="1159">
        <v>8</v>
      </c>
      <c r="N67" s="1160">
        <v>0</v>
      </c>
      <c r="O67" s="1159">
        <f t="shared" si="1"/>
        <v>0</v>
      </c>
      <c r="P67" s="1160">
        <v>0</v>
      </c>
      <c r="Q67" s="1159">
        <f t="shared" si="2"/>
        <v>0</v>
      </c>
      <c r="R67" s="1159">
        <f t="shared" si="4"/>
        <v>0</v>
      </c>
      <c r="S67" s="1159">
        <v>0</v>
      </c>
      <c r="T67" s="1159">
        <v>8</v>
      </c>
      <c r="U67" s="1159">
        <f t="shared" si="5"/>
        <v>0</v>
      </c>
      <c r="V67" s="1161" t="s">
        <v>2939</v>
      </c>
      <c r="W67" s="1160">
        <v>1</v>
      </c>
      <c r="X67" s="1162" t="s">
        <v>2418</v>
      </c>
      <c r="Y67" s="1155" t="s">
        <v>2309</v>
      </c>
      <c r="AB67" s="1146"/>
    </row>
    <row r="68" spans="3:28" ht="24.95" customHeight="1">
      <c r="C68" s="1155" t="s">
        <v>2437</v>
      </c>
      <c r="D68" s="1156"/>
      <c r="E68" s="1156" t="s">
        <v>2432</v>
      </c>
      <c r="F68" s="1156" t="s">
        <v>2352</v>
      </c>
      <c r="G68" s="1157" t="s">
        <v>2954</v>
      </c>
      <c r="H68" s="1157" t="s">
        <v>2972</v>
      </c>
      <c r="I68" s="1158">
        <v>6.4080000000000004</v>
      </c>
      <c r="J68" s="1159">
        <v>6.4080000000000004</v>
      </c>
      <c r="K68" s="1159"/>
      <c r="L68" s="1159">
        <v>6.4080000000000004</v>
      </c>
      <c r="M68" s="1159">
        <v>7</v>
      </c>
      <c r="N68" s="1160">
        <v>0</v>
      </c>
      <c r="O68" s="1159">
        <f t="shared" si="1"/>
        <v>0</v>
      </c>
      <c r="P68" s="1160">
        <v>0</v>
      </c>
      <c r="Q68" s="1159">
        <f t="shared" si="2"/>
        <v>0</v>
      </c>
      <c r="R68" s="1159">
        <f t="shared" si="4"/>
        <v>0</v>
      </c>
      <c r="S68" s="1159">
        <v>0</v>
      </c>
      <c r="T68" s="1159">
        <v>7</v>
      </c>
      <c r="U68" s="1159">
        <f t="shared" si="5"/>
        <v>0</v>
      </c>
      <c r="V68" s="1161" t="s">
        <v>2939</v>
      </c>
      <c r="W68" s="1160">
        <v>1</v>
      </c>
      <c r="X68" s="1162" t="s">
        <v>2433</v>
      </c>
      <c r="Y68" s="1155" t="s">
        <v>2309</v>
      </c>
      <c r="AB68" s="1146"/>
    </row>
    <row r="69" spans="3:28" ht="24.95" customHeight="1">
      <c r="C69" s="1155" t="s">
        <v>2440</v>
      </c>
      <c r="D69" s="1156"/>
      <c r="E69" s="1156" t="s">
        <v>2435</v>
      </c>
      <c r="F69" s="1156" t="s">
        <v>2352</v>
      </c>
      <c r="G69" s="1157" t="s">
        <v>2954</v>
      </c>
      <c r="H69" s="1157" t="s">
        <v>2972</v>
      </c>
      <c r="I69" s="1158">
        <v>4.327</v>
      </c>
      <c r="J69" s="1159">
        <v>4.327</v>
      </c>
      <c r="K69" s="1159"/>
      <c r="L69" s="1159">
        <v>4.327</v>
      </c>
      <c r="M69" s="1159">
        <v>5</v>
      </c>
      <c r="N69" s="1160">
        <v>0</v>
      </c>
      <c r="O69" s="1159">
        <f t="shared" si="1"/>
        <v>0</v>
      </c>
      <c r="P69" s="1160">
        <v>0</v>
      </c>
      <c r="Q69" s="1159">
        <f t="shared" si="2"/>
        <v>0</v>
      </c>
      <c r="R69" s="1159">
        <f t="shared" si="4"/>
        <v>0</v>
      </c>
      <c r="S69" s="1159">
        <v>0</v>
      </c>
      <c r="T69" s="1159">
        <v>5</v>
      </c>
      <c r="U69" s="1159">
        <f t="shared" si="5"/>
        <v>0</v>
      </c>
      <c r="V69" s="1161" t="s">
        <v>2939</v>
      </c>
      <c r="W69" s="1160">
        <v>1</v>
      </c>
      <c r="X69" s="1162" t="s">
        <v>2436</v>
      </c>
      <c r="Y69" s="1155" t="s">
        <v>2309</v>
      </c>
      <c r="AB69" s="1146"/>
    </row>
    <row r="70" spans="3:28" ht="24.95" customHeight="1">
      <c r="C70" s="1155" t="s">
        <v>2442</v>
      </c>
      <c r="D70" s="1156"/>
      <c r="E70" s="1156" t="s">
        <v>2438</v>
      </c>
      <c r="F70" s="1156" t="s">
        <v>2352</v>
      </c>
      <c r="G70" s="1157" t="s">
        <v>2954</v>
      </c>
      <c r="H70" s="1157" t="s">
        <v>2972</v>
      </c>
      <c r="I70" s="1158">
        <v>4.327</v>
      </c>
      <c r="J70" s="1159">
        <v>4.327</v>
      </c>
      <c r="K70" s="1159"/>
      <c r="L70" s="1159">
        <v>4.327</v>
      </c>
      <c r="M70" s="1159">
        <v>6</v>
      </c>
      <c r="N70" s="1160">
        <v>0</v>
      </c>
      <c r="O70" s="1159">
        <f t="shared" si="1"/>
        <v>0</v>
      </c>
      <c r="P70" s="1160">
        <v>0</v>
      </c>
      <c r="Q70" s="1159">
        <f t="shared" si="2"/>
        <v>0</v>
      </c>
      <c r="R70" s="1159">
        <f t="shared" si="4"/>
        <v>0</v>
      </c>
      <c r="S70" s="1159">
        <v>0</v>
      </c>
      <c r="T70" s="1159">
        <v>6</v>
      </c>
      <c r="U70" s="1159">
        <f t="shared" si="5"/>
        <v>0</v>
      </c>
      <c r="V70" s="1161" t="s">
        <v>2939</v>
      </c>
      <c r="W70" s="1160">
        <v>1</v>
      </c>
      <c r="X70" s="1162" t="s">
        <v>2439</v>
      </c>
      <c r="Y70" s="1155" t="s">
        <v>2309</v>
      </c>
      <c r="AB70" s="1146"/>
    </row>
    <row r="71" spans="3:28" ht="24.95" customHeight="1">
      <c r="C71" s="1155" t="s">
        <v>2444</v>
      </c>
      <c r="D71" s="1156"/>
      <c r="E71" s="1156" t="s">
        <v>2441</v>
      </c>
      <c r="F71" s="1156" t="s">
        <v>2352</v>
      </c>
      <c r="G71" s="1157" t="s">
        <v>2954</v>
      </c>
      <c r="H71" s="1157" t="s">
        <v>2972</v>
      </c>
      <c r="I71" s="1158">
        <v>1.9</v>
      </c>
      <c r="J71" s="1159">
        <v>1.9</v>
      </c>
      <c r="K71" s="1159"/>
      <c r="L71" s="1159">
        <v>1.9</v>
      </c>
      <c r="M71" s="1159">
        <v>2.25</v>
      </c>
      <c r="N71" s="1160">
        <v>3</v>
      </c>
      <c r="O71" s="1159">
        <f t="shared" si="1"/>
        <v>5.6999999999999993</v>
      </c>
      <c r="P71" s="1160">
        <v>2</v>
      </c>
      <c r="Q71" s="1159">
        <f t="shared" si="2"/>
        <v>3.8</v>
      </c>
      <c r="R71" s="1159">
        <f t="shared" si="4"/>
        <v>9.5</v>
      </c>
      <c r="S71" s="1159">
        <v>0</v>
      </c>
      <c r="T71" s="1159">
        <v>2.25</v>
      </c>
      <c r="U71" s="1159">
        <f t="shared" si="5"/>
        <v>4.5</v>
      </c>
      <c r="V71" s="1161" t="s">
        <v>2939</v>
      </c>
      <c r="W71" s="1160">
        <v>1</v>
      </c>
      <c r="X71" s="1162" t="s">
        <v>2353</v>
      </c>
      <c r="Y71" s="1155" t="s">
        <v>2309</v>
      </c>
      <c r="AB71" s="1146"/>
    </row>
    <row r="72" spans="3:28" ht="24.95" customHeight="1">
      <c r="C72" s="1155" t="s">
        <v>2447</v>
      </c>
      <c r="D72" s="1156"/>
      <c r="E72" s="1156" t="s">
        <v>2443</v>
      </c>
      <c r="F72" s="1156" t="s">
        <v>2352</v>
      </c>
      <c r="G72" s="1157" t="s">
        <v>2954</v>
      </c>
      <c r="H72" s="1157" t="s">
        <v>2972</v>
      </c>
      <c r="I72" s="1158">
        <v>1.18</v>
      </c>
      <c r="J72" s="1159">
        <v>1.18</v>
      </c>
      <c r="K72" s="1159"/>
      <c r="L72" s="1159">
        <v>1.18</v>
      </c>
      <c r="M72" s="1159">
        <v>1.5</v>
      </c>
      <c r="N72" s="1160">
        <v>6</v>
      </c>
      <c r="O72" s="1159">
        <f t="shared" si="1"/>
        <v>7.08</v>
      </c>
      <c r="P72" s="1160">
        <v>0</v>
      </c>
      <c r="Q72" s="1159">
        <f t="shared" si="2"/>
        <v>0</v>
      </c>
      <c r="R72" s="1159">
        <f t="shared" ref="R72:R103" si="6">O72+Q72</f>
        <v>7.08</v>
      </c>
      <c r="S72" s="1159">
        <v>0</v>
      </c>
      <c r="T72" s="1159">
        <v>1.5</v>
      </c>
      <c r="U72" s="1159">
        <f t="shared" ref="U72:U103" si="7">P72*T72</f>
        <v>0</v>
      </c>
      <c r="V72" s="1161" t="s">
        <v>2939</v>
      </c>
      <c r="W72" s="1160">
        <v>1</v>
      </c>
      <c r="X72" s="1162" t="s">
        <v>2361</v>
      </c>
      <c r="Y72" s="1155" t="s">
        <v>2309</v>
      </c>
      <c r="AB72" s="1146"/>
    </row>
    <row r="73" spans="3:28" ht="24.95" customHeight="1">
      <c r="C73" s="1155" t="s">
        <v>2449</v>
      </c>
      <c r="D73" s="1156"/>
      <c r="E73" s="1156" t="s">
        <v>2445</v>
      </c>
      <c r="F73" s="1156" t="s">
        <v>2352</v>
      </c>
      <c r="G73" s="1157" t="s">
        <v>2954</v>
      </c>
      <c r="H73" s="1157" t="s">
        <v>2972</v>
      </c>
      <c r="I73" s="1158">
        <v>0.40899999999999997</v>
      </c>
      <c r="J73" s="1159">
        <v>0.40899999999999997</v>
      </c>
      <c r="K73" s="1159"/>
      <c r="L73" s="1159">
        <v>0.40899999999999997</v>
      </c>
      <c r="M73" s="1159">
        <v>0.75</v>
      </c>
      <c r="N73" s="1160">
        <v>5</v>
      </c>
      <c r="O73" s="1159">
        <f t="shared" ref="O73:O136" si="8">I73*N73</f>
        <v>2.0449999999999999</v>
      </c>
      <c r="P73" s="1160">
        <v>3</v>
      </c>
      <c r="Q73" s="1159">
        <f t="shared" ref="Q73:Q136" si="9">P73*I73</f>
        <v>1.2269999999999999</v>
      </c>
      <c r="R73" s="1159">
        <f t="shared" si="6"/>
        <v>3.2719999999999998</v>
      </c>
      <c r="S73" s="1159">
        <v>0</v>
      </c>
      <c r="T73" s="1159">
        <v>0.75</v>
      </c>
      <c r="U73" s="1159">
        <f t="shared" si="7"/>
        <v>2.25</v>
      </c>
      <c r="V73" s="1161" t="s">
        <v>2939</v>
      </c>
      <c r="W73" s="1160">
        <v>1</v>
      </c>
      <c r="X73" s="1162" t="s">
        <v>2446</v>
      </c>
      <c r="Y73" s="1155" t="s">
        <v>2309</v>
      </c>
      <c r="AB73" s="1146"/>
    </row>
    <row r="74" spans="3:28" ht="24.95" customHeight="1">
      <c r="C74" s="1155" t="s">
        <v>2451</v>
      </c>
      <c r="D74" s="1156"/>
      <c r="E74" s="1156" t="s">
        <v>2448</v>
      </c>
      <c r="F74" s="1156" t="s">
        <v>2352</v>
      </c>
      <c r="G74" s="1157" t="s">
        <v>2954</v>
      </c>
      <c r="H74" s="1157" t="s">
        <v>2972</v>
      </c>
      <c r="I74" s="1158">
        <v>0.75</v>
      </c>
      <c r="J74" s="1159">
        <v>0.75</v>
      </c>
      <c r="K74" s="1159"/>
      <c r="L74" s="1159">
        <v>0.75</v>
      </c>
      <c r="M74" s="1159">
        <v>1</v>
      </c>
      <c r="N74" s="1160">
        <v>5</v>
      </c>
      <c r="O74" s="1159">
        <f t="shared" si="8"/>
        <v>3.75</v>
      </c>
      <c r="P74" s="1160">
        <v>2</v>
      </c>
      <c r="Q74" s="1159">
        <f t="shared" si="9"/>
        <v>1.5</v>
      </c>
      <c r="R74" s="1159">
        <f t="shared" si="6"/>
        <v>5.25</v>
      </c>
      <c r="S74" s="1159">
        <v>0</v>
      </c>
      <c r="T74" s="1159">
        <v>1</v>
      </c>
      <c r="U74" s="1159">
        <f t="shared" si="7"/>
        <v>2</v>
      </c>
      <c r="V74" s="1161" t="s">
        <v>2939</v>
      </c>
      <c r="W74" s="1160">
        <v>1</v>
      </c>
      <c r="X74" s="1162" t="s">
        <v>2370</v>
      </c>
      <c r="Y74" s="1155" t="s">
        <v>2309</v>
      </c>
      <c r="AB74" s="1146"/>
    </row>
    <row r="75" spans="3:28" ht="24.95" customHeight="1">
      <c r="C75" s="1155" t="s">
        <v>2454</v>
      </c>
      <c r="D75" s="1156"/>
      <c r="E75" s="1156" t="s">
        <v>2450</v>
      </c>
      <c r="F75" s="1156" t="s">
        <v>2352</v>
      </c>
      <c r="G75" s="1157" t="s">
        <v>2954</v>
      </c>
      <c r="H75" s="1157" t="s">
        <v>2972</v>
      </c>
      <c r="I75" s="1158">
        <v>0.52500000000000002</v>
      </c>
      <c r="J75" s="1159">
        <v>0.52500000000000002</v>
      </c>
      <c r="K75" s="1159"/>
      <c r="L75" s="1159">
        <v>0.52500000000000002</v>
      </c>
      <c r="M75" s="1159">
        <v>0.75</v>
      </c>
      <c r="N75" s="1160">
        <v>8</v>
      </c>
      <c r="O75" s="1159">
        <f t="shared" si="8"/>
        <v>4.2</v>
      </c>
      <c r="P75" s="1160">
        <v>4</v>
      </c>
      <c r="Q75" s="1159">
        <f t="shared" si="9"/>
        <v>2.1</v>
      </c>
      <c r="R75" s="1159">
        <f t="shared" si="6"/>
        <v>6.3000000000000007</v>
      </c>
      <c r="S75" s="1159">
        <v>0</v>
      </c>
      <c r="T75" s="1159">
        <v>0.75</v>
      </c>
      <c r="U75" s="1159">
        <f t="shared" si="7"/>
        <v>3</v>
      </c>
      <c r="V75" s="1161" t="s">
        <v>2939</v>
      </c>
      <c r="W75" s="1160">
        <v>1</v>
      </c>
      <c r="X75" s="1162" t="s">
        <v>2446</v>
      </c>
      <c r="Y75" s="1155" t="s">
        <v>2309</v>
      </c>
      <c r="AB75" s="1146"/>
    </row>
    <row r="76" spans="3:28" ht="24.95" customHeight="1">
      <c r="C76" s="1155" t="s">
        <v>2457</v>
      </c>
      <c r="D76" s="1156"/>
      <c r="E76" s="1156" t="s">
        <v>2452</v>
      </c>
      <c r="F76" s="1156" t="s">
        <v>2352</v>
      </c>
      <c r="G76" s="1157" t="s">
        <v>2954</v>
      </c>
      <c r="H76" s="1157" t="s">
        <v>2972</v>
      </c>
      <c r="I76" s="1158">
        <v>0.25</v>
      </c>
      <c r="J76" s="1159">
        <v>0.25</v>
      </c>
      <c r="K76" s="1159"/>
      <c r="L76" s="1159">
        <v>0.25</v>
      </c>
      <c r="M76" s="1159">
        <v>0.5</v>
      </c>
      <c r="N76" s="1160">
        <v>20</v>
      </c>
      <c r="O76" s="1159">
        <f t="shared" si="8"/>
        <v>5</v>
      </c>
      <c r="P76" s="1160">
        <v>6</v>
      </c>
      <c r="Q76" s="1159">
        <f t="shared" si="9"/>
        <v>1.5</v>
      </c>
      <c r="R76" s="1159">
        <f t="shared" si="6"/>
        <v>6.5</v>
      </c>
      <c r="S76" s="1159">
        <v>0</v>
      </c>
      <c r="T76" s="1159">
        <v>0.5</v>
      </c>
      <c r="U76" s="1159">
        <f t="shared" si="7"/>
        <v>3</v>
      </c>
      <c r="V76" s="1161" t="s">
        <v>2939</v>
      </c>
      <c r="W76" s="1160">
        <v>1</v>
      </c>
      <c r="X76" s="1162" t="s">
        <v>2453</v>
      </c>
      <c r="Y76" s="1155" t="s">
        <v>2309</v>
      </c>
      <c r="AB76" s="1146"/>
    </row>
    <row r="77" spans="3:28" ht="24.95" customHeight="1">
      <c r="C77" s="1155" t="s">
        <v>2460</v>
      </c>
      <c r="D77" s="1156"/>
      <c r="E77" s="1156" t="s">
        <v>2455</v>
      </c>
      <c r="F77" s="1156" t="s">
        <v>2352</v>
      </c>
      <c r="G77" s="1157" t="s">
        <v>2954</v>
      </c>
      <c r="H77" s="1157" t="s">
        <v>2972</v>
      </c>
      <c r="I77" s="1158">
        <v>0.15</v>
      </c>
      <c r="J77" s="1159">
        <v>0.15</v>
      </c>
      <c r="K77" s="1159"/>
      <c r="L77" s="1159">
        <v>0.15</v>
      </c>
      <c r="M77" s="1159">
        <v>0.25</v>
      </c>
      <c r="N77" s="1160">
        <v>14</v>
      </c>
      <c r="O77" s="1159">
        <f t="shared" si="8"/>
        <v>2.1</v>
      </c>
      <c r="P77" s="1160">
        <v>4</v>
      </c>
      <c r="Q77" s="1159">
        <f t="shared" si="9"/>
        <v>0.6</v>
      </c>
      <c r="R77" s="1159">
        <f t="shared" si="6"/>
        <v>2.7</v>
      </c>
      <c r="S77" s="1159">
        <v>0</v>
      </c>
      <c r="T77" s="1159">
        <v>0.25</v>
      </c>
      <c r="U77" s="1159">
        <f t="shared" si="7"/>
        <v>1</v>
      </c>
      <c r="V77" s="1161" t="s">
        <v>2939</v>
      </c>
      <c r="W77" s="1160">
        <v>1</v>
      </c>
      <c r="X77" s="1162" t="s">
        <v>2456</v>
      </c>
      <c r="Y77" s="1155" t="s">
        <v>2309</v>
      </c>
      <c r="AB77" s="1146"/>
    </row>
    <row r="78" spans="3:28" ht="24.95" customHeight="1">
      <c r="C78" s="1155" t="s">
        <v>2462</v>
      </c>
      <c r="D78" s="1156"/>
      <c r="E78" s="1156" t="s">
        <v>2458</v>
      </c>
      <c r="F78" s="1156" t="s">
        <v>2352</v>
      </c>
      <c r="G78" s="1157" t="s">
        <v>2954</v>
      </c>
      <c r="H78" s="1157" t="s">
        <v>2972</v>
      </c>
      <c r="I78" s="1158">
        <v>0.11</v>
      </c>
      <c r="J78" s="1159">
        <v>0.11</v>
      </c>
      <c r="K78" s="1159"/>
      <c r="L78" s="1159">
        <v>0.11</v>
      </c>
      <c r="M78" s="1159">
        <v>0.2</v>
      </c>
      <c r="N78" s="1160">
        <v>30</v>
      </c>
      <c r="O78" s="1159">
        <f t="shared" si="8"/>
        <v>3.3</v>
      </c>
      <c r="P78" s="1160">
        <v>10</v>
      </c>
      <c r="Q78" s="1159">
        <f t="shared" si="9"/>
        <v>1.1000000000000001</v>
      </c>
      <c r="R78" s="1159">
        <f t="shared" si="6"/>
        <v>4.4000000000000004</v>
      </c>
      <c r="S78" s="1159">
        <v>0</v>
      </c>
      <c r="T78" s="1159">
        <v>0.2</v>
      </c>
      <c r="U78" s="1159">
        <f t="shared" si="7"/>
        <v>2</v>
      </c>
      <c r="V78" s="1161" t="s">
        <v>2939</v>
      </c>
      <c r="W78" s="1160">
        <v>1</v>
      </c>
      <c r="X78" s="1162" t="s">
        <v>2459</v>
      </c>
      <c r="Y78" s="1155" t="s">
        <v>2309</v>
      </c>
      <c r="AB78" s="1146"/>
    </row>
    <row r="79" spans="3:28" ht="24.95" customHeight="1">
      <c r="C79" s="1155" t="s">
        <v>2464</v>
      </c>
      <c r="D79" s="1156"/>
      <c r="E79" s="1156" t="s">
        <v>2461</v>
      </c>
      <c r="F79" s="1156" t="s">
        <v>2352</v>
      </c>
      <c r="G79" s="1157" t="s">
        <v>2954</v>
      </c>
      <c r="H79" s="1157" t="s">
        <v>2972</v>
      </c>
      <c r="I79" s="1158">
        <v>2.4500000000000002</v>
      </c>
      <c r="J79" s="1159">
        <v>2.4500000000000002</v>
      </c>
      <c r="K79" s="1159"/>
      <c r="L79" s="1159">
        <v>2.4500000000000002</v>
      </c>
      <c r="M79" s="1159">
        <v>2.8</v>
      </c>
      <c r="N79" s="1160">
        <v>0</v>
      </c>
      <c r="O79" s="1159">
        <f t="shared" si="8"/>
        <v>0</v>
      </c>
      <c r="P79" s="1160">
        <v>0</v>
      </c>
      <c r="Q79" s="1159">
        <f t="shared" si="9"/>
        <v>0</v>
      </c>
      <c r="R79" s="1159">
        <f t="shared" si="6"/>
        <v>0</v>
      </c>
      <c r="S79" s="1159">
        <v>0</v>
      </c>
      <c r="T79" s="1159">
        <v>2.8</v>
      </c>
      <c r="U79" s="1159">
        <f t="shared" si="7"/>
        <v>0</v>
      </c>
      <c r="V79" s="1161" t="s">
        <v>2939</v>
      </c>
      <c r="W79" s="1160">
        <v>1</v>
      </c>
      <c r="X79" s="1162" t="s">
        <v>2361</v>
      </c>
      <c r="Y79" s="1155" t="s">
        <v>2309</v>
      </c>
      <c r="AB79" s="1146"/>
    </row>
    <row r="80" spans="3:28" ht="24.95" customHeight="1">
      <c r="C80" s="1155" t="s">
        <v>2466</v>
      </c>
      <c r="D80" s="1156"/>
      <c r="E80" s="1156" t="s">
        <v>2463</v>
      </c>
      <c r="F80" s="1156" t="s">
        <v>2352</v>
      </c>
      <c r="G80" s="1157" t="s">
        <v>2954</v>
      </c>
      <c r="H80" s="1157" t="s">
        <v>2972</v>
      </c>
      <c r="I80" s="1158">
        <v>0.34</v>
      </c>
      <c r="J80" s="1159">
        <v>0.34</v>
      </c>
      <c r="K80" s="1159"/>
      <c r="L80" s="1159">
        <v>0.34</v>
      </c>
      <c r="M80" s="1159">
        <v>0.5</v>
      </c>
      <c r="N80" s="1160">
        <v>10</v>
      </c>
      <c r="O80" s="1159">
        <f t="shared" si="8"/>
        <v>3.4000000000000004</v>
      </c>
      <c r="P80" s="1160">
        <v>6</v>
      </c>
      <c r="Q80" s="1159">
        <f t="shared" si="9"/>
        <v>2.04</v>
      </c>
      <c r="R80" s="1159">
        <f t="shared" si="6"/>
        <v>5.44</v>
      </c>
      <c r="S80" s="1159">
        <v>0</v>
      </c>
      <c r="T80" s="1159">
        <v>0.5</v>
      </c>
      <c r="U80" s="1159">
        <f t="shared" si="7"/>
        <v>3</v>
      </c>
      <c r="V80" s="1161" t="s">
        <v>2939</v>
      </c>
      <c r="W80" s="1160">
        <v>1</v>
      </c>
      <c r="X80" s="1162" t="s">
        <v>2456</v>
      </c>
      <c r="Y80" s="1155" t="s">
        <v>2309</v>
      </c>
      <c r="AB80" s="1146"/>
    </row>
    <row r="81" spans="3:28" ht="24.95" customHeight="1">
      <c r="C81" s="1155" t="s">
        <v>2468</v>
      </c>
      <c r="D81" s="1156"/>
      <c r="E81" s="1156" t="s">
        <v>2465</v>
      </c>
      <c r="F81" s="1156" t="s">
        <v>2352</v>
      </c>
      <c r="G81" s="1157" t="s">
        <v>2954</v>
      </c>
      <c r="H81" s="1157" t="s">
        <v>2972</v>
      </c>
      <c r="I81" s="1158">
        <v>0.187</v>
      </c>
      <c r="J81" s="1159">
        <v>0.187</v>
      </c>
      <c r="K81" s="1159"/>
      <c r="L81" s="1159">
        <v>0.187</v>
      </c>
      <c r="M81" s="1159">
        <v>0.25</v>
      </c>
      <c r="N81" s="1160">
        <v>13</v>
      </c>
      <c r="O81" s="1159">
        <f t="shared" si="8"/>
        <v>2.431</v>
      </c>
      <c r="P81" s="1160">
        <v>9</v>
      </c>
      <c r="Q81" s="1159">
        <f t="shared" si="9"/>
        <v>1.6830000000000001</v>
      </c>
      <c r="R81" s="1159">
        <f t="shared" si="6"/>
        <v>4.1139999999999999</v>
      </c>
      <c r="S81" s="1159">
        <v>0</v>
      </c>
      <c r="T81" s="1159">
        <v>0.25</v>
      </c>
      <c r="U81" s="1159">
        <f t="shared" si="7"/>
        <v>2.25</v>
      </c>
      <c r="V81" s="1161" t="s">
        <v>2939</v>
      </c>
      <c r="W81" s="1160">
        <v>1</v>
      </c>
      <c r="X81" s="1162" t="s">
        <v>2456</v>
      </c>
      <c r="Y81" s="1155" t="s">
        <v>2309</v>
      </c>
      <c r="AB81" s="1146"/>
    </row>
    <row r="82" spans="3:28" ht="24.95" customHeight="1">
      <c r="C82" s="1155" t="s">
        <v>2470</v>
      </c>
      <c r="D82" s="1156"/>
      <c r="E82" s="1156" t="s">
        <v>2467</v>
      </c>
      <c r="F82" s="1156" t="s">
        <v>2352</v>
      </c>
      <c r="G82" s="1157" t="s">
        <v>2954</v>
      </c>
      <c r="H82" s="1157" t="s">
        <v>2972</v>
      </c>
      <c r="I82" s="1158">
        <v>0.128</v>
      </c>
      <c r="J82" s="1159">
        <v>0.128</v>
      </c>
      <c r="K82" s="1159"/>
      <c r="L82" s="1159">
        <v>0.128</v>
      </c>
      <c r="M82" s="1159">
        <v>0.2</v>
      </c>
      <c r="N82" s="1160">
        <v>30</v>
      </c>
      <c r="O82" s="1159">
        <f t="shared" si="8"/>
        <v>3.84</v>
      </c>
      <c r="P82" s="1160">
        <v>15</v>
      </c>
      <c r="Q82" s="1159">
        <f t="shared" si="9"/>
        <v>1.92</v>
      </c>
      <c r="R82" s="1159">
        <f t="shared" si="6"/>
        <v>5.76</v>
      </c>
      <c r="S82" s="1159">
        <v>0</v>
      </c>
      <c r="T82" s="1159">
        <v>0.2</v>
      </c>
      <c r="U82" s="1159">
        <f t="shared" si="7"/>
        <v>3</v>
      </c>
      <c r="V82" s="1161" t="s">
        <v>2939</v>
      </c>
      <c r="W82" s="1160">
        <v>1</v>
      </c>
      <c r="X82" s="1162" t="s">
        <v>2459</v>
      </c>
      <c r="Y82" s="1155" t="s">
        <v>2309</v>
      </c>
      <c r="AB82" s="1146"/>
    </row>
    <row r="83" spans="3:28" ht="24.95" customHeight="1">
      <c r="C83" s="1163" t="s">
        <v>2471</v>
      </c>
      <c r="D83" s="1164"/>
      <c r="E83" s="1164" t="s">
        <v>2469</v>
      </c>
      <c r="F83" s="1164" t="s">
        <v>2169</v>
      </c>
      <c r="G83" s="1165" t="s">
        <v>2955</v>
      </c>
      <c r="H83" s="1165" t="s">
        <v>2972</v>
      </c>
      <c r="I83" s="1166">
        <v>1.35</v>
      </c>
      <c r="J83" s="1167">
        <v>1.35</v>
      </c>
      <c r="K83" s="1167"/>
      <c r="L83" s="1167">
        <v>1.35</v>
      </c>
      <c r="M83" s="1167">
        <v>1.75</v>
      </c>
      <c r="N83" s="1168">
        <v>0</v>
      </c>
      <c r="O83" s="1167">
        <f t="shared" si="8"/>
        <v>0</v>
      </c>
      <c r="P83" s="1168">
        <v>0</v>
      </c>
      <c r="Q83" s="1167">
        <f t="shared" si="9"/>
        <v>0</v>
      </c>
      <c r="R83" s="1167">
        <f t="shared" si="6"/>
        <v>0</v>
      </c>
      <c r="S83" s="1167">
        <v>0</v>
      </c>
      <c r="T83" s="1167">
        <v>1.75</v>
      </c>
      <c r="U83" s="1167">
        <f t="shared" si="7"/>
        <v>0</v>
      </c>
      <c r="V83" s="437" t="s">
        <v>2912</v>
      </c>
      <c r="W83" s="1168">
        <v>1</v>
      </c>
      <c r="X83" s="1169" t="s">
        <v>2760</v>
      </c>
      <c r="Y83" s="1163"/>
      <c r="AB83" s="1146"/>
    </row>
    <row r="84" spans="3:28" ht="24.95" customHeight="1">
      <c r="C84" s="1163" t="s">
        <v>2472</v>
      </c>
      <c r="D84" s="1164"/>
      <c r="E84" s="1164" t="s">
        <v>2895</v>
      </c>
      <c r="F84" s="1164" t="s">
        <v>2169</v>
      </c>
      <c r="G84" s="1165" t="s">
        <v>2955</v>
      </c>
      <c r="H84" s="1165" t="s">
        <v>2972</v>
      </c>
      <c r="I84" s="1166">
        <v>8.8000000000000007</v>
      </c>
      <c r="J84" s="1167">
        <v>8.8000000000000007</v>
      </c>
      <c r="K84" s="1167"/>
      <c r="L84" s="1167">
        <v>8.8000000000000007</v>
      </c>
      <c r="M84" s="1167">
        <v>9.5</v>
      </c>
      <c r="N84" s="1168">
        <v>0</v>
      </c>
      <c r="O84" s="1167">
        <f t="shared" si="8"/>
        <v>0</v>
      </c>
      <c r="P84" s="1168">
        <v>0</v>
      </c>
      <c r="Q84" s="1167">
        <f t="shared" si="9"/>
        <v>0</v>
      </c>
      <c r="R84" s="1167">
        <f t="shared" si="6"/>
        <v>0</v>
      </c>
      <c r="S84" s="1167">
        <v>0</v>
      </c>
      <c r="T84" s="1167">
        <v>0.19</v>
      </c>
      <c r="U84" s="1167">
        <f t="shared" si="7"/>
        <v>0</v>
      </c>
      <c r="V84" s="437" t="s">
        <v>2913</v>
      </c>
      <c r="W84" s="1168">
        <v>50</v>
      </c>
      <c r="X84" s="1169" t="s">
        <v>2728</v>
      </c>
      <c r="Y84" s="1163"/>
      <c r="AB84" s="1146"/>
    </row>
    <row r="85" spans="3:28" ht="24.95" customHeight="1">
      <c r="C85" s="1163" t="s">
        <v>2473</v>
      </c>
      <c r="D85" s="1164"/>
      <c r="E85" s="1164" t="s">
        <v>2896</v>
      </c>
      <c r="F85" s="1164" t="s">
        <v>2169</v>
      </c>
      <c r="G85" s="1165" t="s">
        <v>2955</v>
      </c>
      <c r="H85" s="1165" t="s">
        <v>2972</v>
      </c>
      <c r="I85" s="1166">
        <v>6</v>
      </c>
      <c r="J85" s="1167">
        <v>6</v>
      </c>
      <c r="K85" s="1167"/>
      <c r="L85" s="1167">
        <v>6</v>
      </c>
      <c r="M85" s="1167">
        <v>6.5</v>
      </c>
      <c r="N85" s="1168">
        <v>0</v>
      </c>
      <c r="O85" s="1167">
        <f t="shared" si="8"/>
        <v>0</v>
      </c>
      <c r="P85" s="1168">
        <v>0</v>
      </c>
      <c r="Q85" s="1167">
        <f t="shared" si="9"/>
        <v>0</v>
      </c>
      <c r="R85" s="1167">
        <f t="shared" si="6"/>
        <v>0</v>
      </c>
      <c r="S85" s="1167">
        <v>0</v>
      </c>
      <c r="T85" s="1167">
        <v>0.13</v>
      </c>
      <c r="U85" s="1167">
        <f t="shared" si="7"/>
        <v>0</v>
      </c>
      <c r="V85" s="437" t="s">
        <v>2913</v>
      </c>
      <c r="W85" s="1168">
        <v>50</v>
      </c>
      <c r="X85" s="1169" t="s">
        <v>2728</v>
      </c>
      <c r="Y85" s="1163"/>
      <c r="AB85" s="1146"/>
    </row>
    <row r="86" spans="3:28" ht="24.95" customHeight="1">
      <c r="C86" s="1163" t="s">
        <v>2475</v>
      </c>
      <c r="D86" s="1164"/>
      <c r="E86" s="1164" t="s">
        <v>2897</v>
      </c>
      <c r="F86" s="1164" t="s">
        <v>2169</v>
      </c>
      <c r="G86" s="1165" t="s">
        <v>2955</v>
      </c>
      <c r="H86" s="1165" t="s">
        <v>2972</v>
      </c>
      <c r="I86" s="1166">
        <v>5</v>
      </c>
      <c r="J86" s="1167">
        <v>5</v>
      </c>
      <c r="K86" s="1167"/>
      <c r="L86" s="1167">
        <v>5</v>
      </c>
      <c r="M86" s="1167">
        <v>5.5</v>
      </c>
      <c r="N86" s="1168">
        <v>0</v>
      </c>
      <c r="O86" s="1167">
        <f t="shared" si="8"/>
        <v>0</v>
      </c>
      <c r="P86" s="1168">
        <v>0</v>
      </c>
      <c r="Q86" s="1167">
        <f t="shared" si="9"/>
        <v>0</v>
      </c>
      <c r="R86" s="1167">
        <f t="shared" si="6"/>
        <v>0</v>
      </c>
      <c r="S86" s="1167">
        <v>0</v>
      </c>
      <c r="T86" s="1167">
        <v>0.11</v>
      </c>
      <c r="U86" s="1167">
        <f t="shared" si="7"/>
        <v>0</v>
      </c>
      <c r="V86" s="437" t="s">
        <v>2913</v>
      </c>
      <c r="W86" s="1168">
        <v>50</v>
      </c>
      <c r="X86" s="1169" t="s">
        <v>2728</v>
      </c>
      <c r="Y86" s="1163"/>
      <c r="AB86" s="1146"/>
    </row>
    <row r="87" spans="3:28" ht="24.95" customHeight="1">
      <c r="C87" s="1163" t="s">
        <v>2477</v>
      </c>
      <c r="D87" s="1164"/>
      <c r="E87" s="1164" t="s">
        <v>2474</v>
      </c>
      <c r="F87" s="1164" t="s">
        <v>2169</v>
      </c>
      <c r="G87" s="1165" t="s">
        <v>2956</v>
      </c>
      <c r="H87" s="1165" t="s">
        <v>2972</v>
      </c>
      <c r="I87" s="1166">
        <v>0.14000000000000001</v>
      </c>
      <c r="J87" s="1167">
        <v>0.14000000000000001</v>
      </c>
      <c r="K87" s="1167">
        <v>21</v>
      </c>
      <c r="L87" s="1167">
        <v>21</v>
      </c>
      <c r="M87" s="1167">
        <v>0.2</v>
      </c>
      <c r="N87" s="1168">
        <v>0</v>
      </c>
      <c r="O87" s="1167">
        <f t="shared" si="8"/>
        <v>0</v>
      </c>
      <c r="P87" s="1168">
        <v>0</v>
      </c>
      <c r="Q87" s="1167">
        <f t="shared" si="9"/>
        <v>0</v>
      </c>
      <c r="R87" s="1167">
        <f t="shared" si="6"/>
        <v>0</v>
      </c>
      <c r="S87" s="1167">
        <v>0</v>
      </c>
      <c r="T87" s="1167">
        <v>0.2</v>
      </c>
      <c r="U87" s="1167">
        <f t="shared" si="7"/>
        <v>0</v>
      </c>
      <c r="V87" s="437" t="s">
        <v>2914</v>
      </c>
      <c r="W87" s="1168" t="s">
        <v>2886</v>
      </c>
      <c r="X87" s="1169" t="s">
        <v>2842</v>
      </c>
      <c r="Y87" s="1163"/>
      <c r="AB87" s="1146"/>
    </row>
    <row r="88" spans="3:28" ht="24.95" customHeight="1">
      <c r="C88" s="1163" t="s">
        <v>2479</v>
      </c>
      <c r="D88" s="1164"/>
      <c r="E88" s="1164" t="s">
        <v>2476</v>
      </c>
      <c r="F88" s="1164" t="s">
        <v>2169</v>
      </c>
      <c r="G88" s="1165" t="s">
        <v>2952</v>
      </c>
      <c r="H88" s="1165" t="s">
        <v>2974</v>
      </c>
      <c r="I88" s="1166">
        <v>6.2</v>
      </c>
      <c r="J88" s="1167">
        <v>6.2</v>
      </c>
      <c r="K88" s="1167">
        <v>74.400000000000006</v>
      </c>
      <c r="L88" s="1167">
        <v>74.400000000000006</v>
      </c>
      <c r="M88" s="1167">
        <v>7</v>
      </c>
      <c r="N88" s="1168">
        <v>0</v>
      </c>
      <c r="O88" s="1167">
        <f t="shared" si="8"/>
        <v>0</v>
      </c>
      <c r="P88" s="1168">
        <v>0</v>
      </c>
      <c r="Q88" s="1167">
        <f t="shared" si="9"/>
        <v>0</v>
      </c>
      <c r="R88" s="1167">
        <f t="shared" si="6"/>
        <v>0</v>
      </c>
      <c r="S88" s="1167">
        <v>0</v>
      </c>
      <c r="T88" s="1167">
        <v>7</v>
      </c>
      <c r="U88" s="1167">
        <f t="shared" si="7"/>
        <v>0</v>
      </c>
      <c r="V88" s="437" t="s">
        <v>2778</v>
      </c>
      <c r="W88" s="1168" t="s">
        <v>36</v>
      </c>
      <c r="X88" s="1169" t="s">
        <v>2264</v>
      </c>
      <c r="Y88" s="1163"/>
      <c r="AB88" s="1146"/>
    </row>
    <row r="89" spans="3:28" ht="24.95" customHeight="1">
      <c r="C89" s="1163" t="s">
        <v>2481</v>
      </c>
      <c r="D89" s="1164"/>
      <c r="E89" s="1164" t="s">
        <v>2478</v>
      </c>
      <c r="F89" s="1164" t="s">
        <v>2169</v>
      </c>
      <c r="G89" s="1165" t="s">
        <v>2956</v>
      </c>
      <c r="H89" s="1165" t="s">
        <v>2974</v>
      </c>
      <c r="I89" s="1166">
        <v>1.3</v>
      </c>
      <c r="J89" s="1167">
        <v>1.3</v>
      </c>
      <c r="K89" s="1167">
        <v>31.2</v>
      </c>
      <c r="L89" s="1167">
        <v>31.2</v>
      </c>
      <c r="M89" s="1167">
        <v>1.6</v>
      </c>
      <c r="N89" s="1168">
        <v>0</v>
      </c>
      <c r="O89" s="1167">
        <f t="shared" si="8"/>
        <v>0</v>
      </c>
      <c r="P89" s="1168">
        <v>0</v>
      </c>
      <c r="Q89" s="1167">
        <f t="shared" si="9"/>
        <v>0</v>
      </c>
      <c r="R89" s="1167">
        <f t="shared" si="6"/>
        <v>0</v>
      </c>
      <c r="S89" s="1167">
        <v>0</v>
      </c>
      <c r="T89" s="1167">
        <v>1.6</v>
      </c>
      <c r="U89" s="1167">
        <f t="shared" si="7"/>
        <v>0</v>
      </c>
      <c r="V89" s="437" t="s">
        <v>2915</v>
      </c>
      <c r="W89" s="1168" t="s">
        <v>1897</v>
      </c>
      <c r="X89" s="1169" t="s">
        <v>2722</v>
      </c>
      <c r="Y89" s="1163"/>
      <c r="AB89" s="1146"/>
    </row>
    <row r="90" spans="3:28" ht="24.95" customHeight="1">
      <c r="C90" s="1163" t="s">
        <v>2482</v>
      </c>
      <c r="D90" s="1164"/>
      <c r="E90" s="1164" t="s">
        <v>2480</v>
      </c>
      <c r="F90" s="1164" t="s">
        <v>2169</v>
      </c>
      <c r="G90" s="1165" t="s">
        <v>2956</v>
      </c>
      <c r="H90" s="1165" t="s">
        <v>2974</v>
      </c>
      <c r="I90" s="1166">
        <v>1</v>
      </c>
      <c r="J90" s="1167">
        <v>1</v>
      </c>
      <c r="K90" s="1167">
        <v>24</v>
      </c>
      <c r="L90" s="1167">
        <v>24</v>
      </c>
      <c r="M90" s="1167">
        <v>1.25</v>
      </c>
      <c r="N90" s="1168">
        <v>0</v>
      </c>
      <c r="O90" s="1167">
        <f t="shared" si="8"/>
        <v>0</v>
      </c>
      <c r="P90" s="1168">
        <v>0</v>
      </c>
      <c r="Q90" s="1167">
        <f t="shared" si="9"/>
        <v>0</v>
      </c>
      <c r="R90" s="1167">
        <f t="shared" si="6"/>
        <v>0</v>
      </c>
      <c r="S90" s="1167">
        <v>0</v>
      </c>
      <c r="T90" s="1167">
        <v>1.25</v>
      </c>
      <c r="U90" s="1167">
        <f t="shared" si="7"/>
        <v>0</v>
      </c>
      <c r="V90" s="437" t="s">
        <v>2915</v>
      </c>
      <c r="W90" s="1168" t="s">
        <v>1897</v>
      </c>
      <c r="X90" s="1169" t="s">
        <v>2722</v>
      </c>
      <c r="Y90" s="1163"/>
      <c r="AB90" s="1146"/>
    </row>
    <row r="91" spans="3:28" ht="24.95" customHeight="1">
      <c r="C91" s="1163" t="s">
        <v>2484</v>
      </c>
      <c r="D91" s="1164"/>
      <c r="E91" s="1164" t="s">
        <v>2947</v>
      </c>
      <c r="F91" s="1164" t="s">
        <v>2169</v>
      </c>
      <c r="G91" s="1165" t="s">
        <v>2952</v>
      </c>
      <c r="H91" s="1165" t="s">
        <v>2974</v>
      </c>
      <c r="I91" s="1166">
        <v>1.2</v>
      </c>
      <c r="J91" s="1167">
        <v>1.2</v>
      </c>
      <c r="K91" s="1167">
        <v>14.4</v>
      </c>
      <c r="L91" s="1167">
        <v>14.4</v>
      </c>
      <c r="M91" s="1167">
        <v>2</v>
      </c>
      <c r="N91" s="1168">
        <v>0</v>
      </c>
      <c r="O91" s="1167">
        <f t="shared" si="8"/>
        <v>0</v>
      </c>
      <c r="P91" s="1168">
        <v>0</v>
      </c>
      <c r="Q91" s="1167">
        <f t="shared" si="9"/>
        <v>0</v>
      </c>
      <c r="R91" s="1167">
        <f t="shared" si="6"/>
        <v>0</v>
      </c>
      <c r="S91" s="1167">
        <v>0</v>
      </c>
      <c r="T91" s="1167">
        <v>2</v>
      </c>
      <c r="U91" s="1167">
        <f t="shared" si="7"/>
        <v>0</v>
      </c>
      <c r="V91" s="437" t="s">
        <v>2778</v>
      </c>
      <c r="W91" s="1168" t="s">
        <v>36</v>
      </c>
      <c r="X91" s="1169" t="s">
        <v>2264</v>
      </c>
      <c r="Y91" s="1163"/>
      <c r="AB91" s="1146"/>
    </row>
    <row r="92" spans="3:28" ht="24.95" customHeight="1">
      <c r="C92" s="1163" t="s">
        <v>2486</v>
      </c>
      <c r="D92" s="1164"/>
      <c r="E92" s="1164" t="s">
        <v>2483</v>
      </c>
      <c r="F92" s="1164" t="s">
        <v>2169</v>
      </c>
      <c r="G92" s="1165" t="s">
        <v>2955</v>
      </c>
      <c r="H92" s="1165" t="s">
        <v>2972</v>
      </c>
      <c r="I92" s="1166">
        <v>1</v>
      </c>
      <c r="J92" s="1167">
        <v>1</v>
      </c>
      <c r="K92" s="1167"/>
      <c r="L92" s="1167">
        <v>1</v>
      </c>
      <c r="M92" s="1167">
        <v>1.5</v>
      </c>
      <c r="N92" s="1168">
        <v>0</v>
      </c>
      <c r="O92" s="1167">
        <f t="shared" si="8"/>
        <v>0</v>
      </c>
      <c r="P92" s="1168">
        <v>0</v>
      </c>
      <c r="Q92" s="1167">
        <f t="shared" si="9"/>
        <v>0</v>
      </c>
      <c r="R92" s="1167">
        <f t="shared" si="6"/>
        <v>0</v>
      </c>
      <c r="S92" s="1167">
        <v>0</v>
      </c>
      <c r="T92" s="1167">
        <v>1.5</v>
      </c>
      <c r="U92" s="1167">
        <f t="shared" si="7"/>
        <v>0</v>
      </c>
      <c r="V92" s="437" t="s">
        <v>2912</v>
      </c>
      <c r="W92" s="1168">
        <v>1</v>
      </c>
      <c r="X92" s="1169" t="s">
        <v>2760</v>
      </c>
      <c r="Y92" s="1163"/>
      <c r="AB92" s="1146"/>
    </row>
    <row r="93" spans="3:28" ht="24.95" customHeight="1">
      <c r="C93" s="1163" t="s">
        <v>2488</v>
      </c>
      <c r="D93" s="1164"/>
      <c r="E93" s="1164" t="s">
        <v>2485</v>
      </c>
      <c r="F93" s="1164" t="s">
        <v>2169</v>
      </c>
      <c r="G93" s="1165" t="s">
        <v>2956</v>
      </c>
      <c r="H93" s="1165" t="s">
        <v>2972</v>
      </c>
      <c r="I93" s="1166">
        <v>0.318</v>
      </c>
      <c r="J93" s="1167">
        <v>0.318</v>
      </c>
      <c r="K93" s="1167">
        <v>92.16</v>
      </c>
      <c r="L93" s="1167">
        <v>92.16</v>
      </c>
      <c r="M93" s="1167">
        <v>0.5</v>
      </c>
      <c r="N93" s="1168">
        <v>0</v>
      </c>
      <c r="O93" s="1167">
        <f t="shared" si="8"/>
        <v>0</v>
      </c>
      <c r="P93" s="1168">
        <v>0</v>
      </c>
      <c r="Q93" s="1167">
        <f t="shared" si="9"/>
        <v>0</v>
      </c>
      <c r="R93" s="1167">
        <f t="shared" si="6"/>
        <v>0</v>
      </c>
      <c r="S93" s="1167">
        <v>0</v>
      </c>
      <c r="T93" s="1167">
        <v>0.5</v>
      </c>
      <c r="U93" s="1167">
        <f t="shared" si="7"/>
        <v>0</v>
      </c>
      <c r="V93" s="437" t="s">
        <v>2916</v>
      </c>
      <c r="W93" s="1168" t="s">
        <v>2887</v>
      </c>
      <c r="X93" s="1169" t="s">
        <v>2847</v>
      </c>
      <c r="Y93" s="1163"/>
      <c r="AB93" s="1146"/>
    </row>
    <row r="94" spans="3:28" ht="24.95" customHeight="1">
      <c r="C94" s="1163" t="s">
        <v>2490</v>
      </c>
      <c r="D94" s="1164"/>
      <c r="E94" s="1164" t="s">
        <v>2487</v>
      </c>
      <c r="F94" s="1164" t="s">
        <v>2169</v>
      </c>
      <c r="G94" s="1165" t="s">
        <v>2956</v>
      </c>
      <c r="H94" s="1165" t="s">
        <v>2972</v>
      </c>
      <c r="I94" s="1166">
        <v>0.317</v>
      </c>
      <c r="J94" s="1167">
        <v>0.317</v>
      </c>
      <c r="K94" s="1167"/>
      <c r="L94" s="1167">
        <v>0.317</v>
      </c>
      <c r="M94" s="1167">
        <v>0.5</v>
      </c>
      <c r="N94" s="1168">
        <v>0</v>
      </c>
      <c r="O94" s="1167">
        <f t="shared" si="8"/>
        <v>0</v>
      </c>
      <c r="P94" s="1168">
        <v>0</v>
      </c>
      <c r="Q94" s="1167">
        <f t="shared" si="9"/>
        <v>0</v>
      </c>
      <c r="R94" s="1167">
        <f t="shared" si="6"/>
        <v>0</v>
      </c>
      <c r="S94" s="1167">
        <v>0</v>
      </c>
      <c r="T94" s="1167">
        <v>0.5</v>
      </c>
      <c r="U94" s="1167">
        <f t="shared" si="7"/>
        <v>0</v>
      </c>
      <c r="V94" s="437" t="s">
        <v>2917</v>
      </c>
      <c r="W94" s="1168" t="s">
        <v>2888</v>
      </c>
      <c r="X94" s="1169" t="s">
        <v>2848</v>
      </c>
      <c r="Y94" s="1163"/>
      <c r="AB94" s="1146"/>
    </row>
    <row r="95" spans="3:28" ht="24.95" customHeight="1">
      <c r="C95" s="1163" t="s">
        <v>2492</v>
      </c>
      <c r="D95" s="1164"/>
      <c r="E95" s="1164" t="s">
        <v>2489</v>
      </c>
      <c r="F95" s="1164" t="s">
        <v>2169</v>
      </c>
      <c r="G95" s="1165" t="s">
        <v>2956</v>
      </c>
      <c r="H95" s="1165" t="s">
        <v>2972</v>
      </c>
      <c r="I95" s="1166">
        <v>0.38</v>
      </c>
      <c r="J95" s="1167">
        <v>0.38</v>
      </c>
      <c r="K95" s="1167">
        <v>82.08</v>
      </c>
      <c r="L95" s="1167">
        <v>82.08</v>
      </c>
      <c r="M95" s="1167">
        <v>0.5</v>
      </c>
      <c r="N95" s="1168">
        <v>0</v>
      </c>
      <c r="O95" s="1167">
        <f t="shared" si="8"/>
        <v>0</v>
      </c>
      <c r="P95" s="1168">
        <v>0</v>
      </c>
      <c r="Q95" s="1167">
        <f t="shared" si="9"/>
        <v>0</v>
      </c>
      <c r="R95" s="1167">
        <f t="shared" si="6"/>
        <v>0</v>
      </c>
      <c r="S95" s="1167">
        <v>0</v>
      </c>
      <c r="T95" s="1167">
        <v>0.5</v>
      </c>
      <c r="U95" s="1167">
        <f t="shared" si="7"/>
        <v>0</v>
      </c>
      <c r="V95" s="437" t="s">
        <v>2918</v>
      </c>
      <c r="W95" s="1168" t="s">
        <v>2889</v>
      </c>
      <c r="X95" s="1169" t="s">
        <v>2845</v>
      </c>
      <c r="Y95" s="1163"/>
      <c r="AB95" s="1146"/>
    </row>
    <row r="96" spans="3:28" ht="24.95" customHeight="1">
      <c r="C96" s="1163" t="s">
        <v>2494</v>
      </c>
      <c r="D96" s="1164"/>
      <c r="E96" s="1164" t="s">
        <v>2491</v>
      </c>
      <c r="F96" s="1164" t="s">
        <v>2169</v>
      </c>
      <c r="G96" s="1165" t="s">
        <v>2956</v>
      </c>
      <c r="H96" s="1165" t="s">
        <v>2972</v>
      </c>
      <c r="I96" s="1166">
        <v>0.37</v>
      </c>
      <c r="J96" s="1167">
        <v>0.37</v>
      </c>
      <c r="K96" s="1167">
        <v>99.1</v>
      </c>
      <c r="L96" s="1167">
        <v>99.1</v>
      </c>
      <c r="M96" s="1167">
        <v>0.5</v>
      </c>
      <c r="N96" s="1168">
        <v>0</v>
      </c>
      <c r="O96" s="1167">
        <f t="shared" si="8"/>
        <v>0</v>
      </c>
      <c r="P96" s="1168">
        <v>0</v>
      </c>
      <c r="Q96" s="1167">
        <f t="shared" si="9"/>
        <v>0</v>
      </c>
      <c r="R96" s="1167">
        <f t="shared" si="6"/>
        <v>0</v>
      </c>
      <c r="S96" s="1167">
        <v>0</v>
      </c>
      <c r="T96" s="1167">
        <v>0.5</v>
      </c>
      <c r="U96" s="1167">
        <f t="shared" si="7"/>
        <v>0</v>
      </c>
      <c r="V96" s="437" t="s">
        <v>2919</v>
      </c>
      <c r="W96" s="1168" t="s">
        <v>2890</v>
      </c>
      <c r="X96" s="1169" t="s">
        <v>2846</v>
      </c>
      <c r="Y96" s="1163"/>
      <c r="AB96" s="1146"/>
    </row>
    <row r="97" spans="3:28" ht="24.95" customHeight="1">
      <c r="C97" s="1163" t="s">
        <v>2496</v>
      </c>
      <c r="D97" s="1164"/>
      <c r="E97" s="1164" t="s">
        <v>2493</v>
      </c>
      <c r="F97" s="1164" t="s">
        <v>2169</v>
      </c>
      <c r="G97" s="1165" t="s">
        <v>2951</v>
      </c>
      <c r="H97" s="1165" t="s">
        <v>2974</v>
      </c>
      <c r="I97" s="1166">
        <v>0.18</v>
      </c>
      <c r="J97" s="1167">
        <v>0.18</v>
      </c>
      <c r="K97" s="1167">
        <v>18</v>
      </c>
      <c r="L97" s="1167">
        <v>18</v>
      </c>
      <c r="M97" s="1167">
        <v>0.5</v>
      </c>
      <c r="N97" s="1168">
        <v>0</v>
      </c>
      <c r="O97" s="1167">
        <f t="shared" si="8"/>
        <v>0</v>
      </c>
      <c r="P97" s="1168">
        <v>0</v>
      </c>
      <c r="Q97" s="1167">
        <f t="shared" si="9"/>
        <v>0</v>
      </c>
      <c r="R97" s="1167">
        <f t="shared" si="6"/>
        <v>0</v>
      </c>
      <c r="S97" s="1167">
        <v>0</v>
      </c>
      <c r="T97" s="1167">
        <v>0.5</v>
      </c>
      <c r="U97" s="1167">
        <f t="shared" si="7"/>
        <v>0</v>
      </c>
      <c r="V97" s="437" t="s">
        <v>2920</v>
      </c>
      <c r="W97" s="1168" t="s">
        <v>2891</v>
      </c>
      <c r="X97" s="1169" t="s">
        <v>2724</v>
      </c>
      <c r="Y97" s="1163"/>
      <c r="AB97" s="1146"/>
    </row>
    <row r="98" spans="3:28" ht="24.95" customHeight="1">
      <c r="C98" s="1163" t="s">
        <v>2498</v>
      </c>
      <c r="D98" s="1164"/>
      <c r="E98" s="1164" t="s">
        <v>2495</v>
      </c>
      <c r="F98" s="1164" t="s">
        <v>2169</v>
      </c>
      <c r="G98" s="1165" t="s">
        <v>2955</v>
      </c>
      <c r="H98" s="1165" t="s">
        <v>2974</v>
      </c>
      <c r="I98" s="1166">
        <v>0.2</v>
      </c>
      <c r="J98" s="1167">
        <v>0.2</v>
      </c>
      <c r="K98" s="1167">
        <v>4</v>
      </c>
      <c r="L98" s="1167">
        <v>4</v>
      </c>
      <c r="M98" s="1167">
        <v>0.4</v>
      </c>
      <c r="N98" s="1168">
        <v>0</v>
      </c>
      <c r="O98" s="1167">
        <f t="shared" si="8"/>
        <v>0</v>
      </c>
      <c r="P98" s="1168">
        <v>0</v>
      </c>
      <c r="Q98" s="1167">
        <f t="shared" si="9"/>
        <v>0</v>
      </c>
      <c r="R98" s="1167">
        <f t="shared" si="6"/>
        <v>0</v>
      </c>
      <c r="S98" s="1167">
        <v>0</v>
      </c>
      <c r="T98" s="1167">
        <v>0.4</v>
      </c>
      <c r="U98" s="1167">
        <f t="shared" si="7"/>
        <v>0</v>
      </c>
      <c r="V98" s="437" t="s">
        <v>2921</v>
      </c>
      <c r="W98" s="1168" t="s">
        <v>45</v>
      </c>
      <c r="X98" s="1169" t="s">
        <v>2844</v>
      </c>
      <c r="Y98" s="1163"/>
      <c r="AB98" s="1146"/>
    </row>
    <row r="99" spans="3:28" ht="24.95" customHeight="1">
      <c r="C99" s="1163" t="s">
        <v>2499</v>
      </c>
      <c r="D99" s="1164"/>
      <c r="E99" s="1164" t="s">
        <v>2497</v>
      </c>
      <c r="F99" s="1164" t="s">
        <v>2169</v>
      </c>
      <c r="G99" s="1165" t="s">
        <v>2955</v>
      </c>
      <c r="H99" s="1165" t="s">
        <v>2972</v>
      </c>
      <c r="I99" s="1166">
        <v>0.78</v>
      </c>
      <c r="J99" s="1167">
        <v>0.78</v>
      </c>
      <c r="K99" s="1167"/>
      <c r="L99" s="1167">
        <v>0.78</v>
      </c>
      <c r="M99" s="1167">
        <v>1</v>
      </c>
      <c r="N99" s="1168">
        <v>10</v>
      </c>
      <c r="O99" s="1167">
        <f t="shared" si="8"/>
        <v>7.8000000000000007</v>
      </c>
      <c r="P99" s="1168">
        <v>3</v>
      </c>
      <c r="Q99" s="1167">
        <f t="shared" si="9"/>
        <v>2.34</v>
      </c>
      <c r="R99" s="1167">
        <f t="shared" si="6"/>
        <v>10.14</v>
      </c>
      <c r="S99" s="1167">
        <v>0</v>
      </c>
      <c r="T99" s="1167">
        <v>1</v>
      </c>
      <c r="U99" s="1167">
        <f t="shared" si="7"/>
        <v>3</v>
      </c>
      <c r="V99" s="437" t="s">
        <v>2912</v>
      </c>
      <c r="W99" s="1168">
        <v>1</v>
      </c>
      <c r="X99" s="1169" t="s">
        <v>2760</v>
      </c>
      <c r="Y99" s="1163"/>
      <c r="AB99" s="1146"/>
    </row>
    <row r="100" spans="3:28" ht="24.95" customHeight="1">
      <c r="C100" s="1163" t="s">
        <v>2501</v>
      </c>
      <c r="D100" s="1164"/>
      <c r="E100" s="1164" t="s">
        <v>2940</v>
      </c>
      <c r="F100" s="1164" t="s">
        <v>2169</v>
      </c>
      <c r="G100" s="1165" t="s">
        <v>2951</v>
      </c>
      <c r="H100" s="1165" t="s">
        <v>2974</v>
      </c>
      <c r="I100" s="1166">
        <v>0.49</v>
      </c>
      <c r="J100" s="1167">
        <v>0.49</v>
      </c>
      <c r="K100" s="1167">
        <v>11.76</v>
      </c>
      <c r="L100" s="1167">
        <v>11.76</v>
      </c>
      <c r="M100" s="1167">
        <v>1</v>
      </c>
      <c r="N100" s="1168">
        <v>15</v>
      </c>
      <c r="O100" s="1167">
        <f t="shared" si="8"/>
        <v>7.35</v>
      </c>
      <c r="P100" s="1168">
        <v>2</v>
      </c>
      <c r="Q100" s="1167">
        <f t="shared" si="9"/>
        <v>0.98</v>
      </c>
      <c r="R100" s="1167">
        <f t="shared" si="6"/>
        <v>8.33</v>
      </c>
      <c r="S100" s="1167">
        <v>0</v>
      </c>
      <c r="T100" s="1167">
        <v>1</v>
      </c>
      <c r="U100" s="1167">
        <f t="shared" si="7"/>
        <v>2</v>
      </c>
      <c r="V100" s="437" t="s">
        <v>2915</v>
      </c>
      <c r="W100" s="1168" t="s">
        <v>1897</v>
      </c>
      <c r="X100" s="1169" t="s">
        <v>2722</v>
      </c>
      <c r="Y100" s="1163"/>
      <c r="AB100" s="1146"/>
    </row>
    <row r="101" spans="3:28" ht="24.95" customHeight="1">
      <c r="C101" s="1163" t="s">
        <v>2503</v>
      </c>
      <c r="D101" s="1164"/>
      <c r="E101" s="1164" t="s">
        <v>2500</v>
      </c>
      <c r="F101" s="1164" t="s">
        <v>2169</v>
      </c>
      <c r="G101" s="1165" t="s">
        <v>2956</v>
      </c>
      <c r="H101" s="1165" t="s">
        <v>2972</v>
      </c>
      <c r="I101" s="1166">
        <v>9.6000000000000002E-2</v>
      </c>
      <c r="J101" s="1167">
        <v>9.6000000000000002E-2</v>
      </c>
      <c r="K101" s="1167">
        <v>18</v>
      </c>
      <c r="L101" s="1167">
        <v>18</v>
      </c>
      <c r="M101" s="1167">
        <v>0.13</v>
      </c>
      <c r="N101" s="1168">
        <v>1</v>
      </c>
      <c r="O101" s="1167">
        <f t="shared" si="8"/>
        <v>9.6000000000000002E-2</v>
      </c>
      <c r="P101" s="1168">
        <v>20</v>
      </c>
      <c r="Q101" s="1167">
        <f t="shared" si="9"/>
        <v>1.92</v>
      </c>
      <c r="R101" s="1167">
        <f t="shared" si="6"/>
        <v>2.016</v>
      </c>
      <c r="S101" s="1167">
        <v>0</v>
      </c>
      <c r="T101" s="1167">
        <v>0.13</v>
      </c>
      <c r="U101" s="1167">
        <f t="shared" si="7"/>
        <v>2.6</v>
      </c>
      <c r="V101" s="437" t="s">
        <v>2922</v>
      </c>
      <c r="W101" s="1168" t="s">
        <v>2892</v>
      </c>
      <c r="X101" s="1169" t="s">
        <v>2843</v>
      </c>
      <c r="Y101" s="1163"/>
      <c r="AB101" s="1146"/>
    </row>
    <row r="102" spans="3:28" ht="24.95" customHeight="1">
      <c r="C102" s="1163" t="s">
        <v>2505</v>
      </c>
      <c r="D102" s="1164"/>
      <c r="E102" s="1164" t="s">
        <v>2502</v>
      </c>
      <c r="F102" s="1164" t="s">
        <v>2169</v>
      </c>
      <c r="G102" s="1165" t="s">
        <v>2952</v>
      </c>
      <c r="H102" s="1165" t="s">
        <v>2974</v>
      </c>
      <c r="I102" s="1166">
        <v>0.375</v>
      </c>
      <c r="J102" s="1167">
        <v>0.375</v>
      </c>
      <c r="K102" s="1167">
        <v>4.5599999999999996</v>
      </c>
      <c r="L102" s="1167">
        <v>4.5599999999999996</v>
      </c>
      <c r="M102" s="1167">
        <v>0.75</v>
      </c>
      <c r="N102" s="1168">
        <v>1</v>
      </c>
      <c r="O102" s="1167">
        <f t="shared" si="8"/>
        <v>0.375</v>
      </c>
      <c r="P102" s="1168">
        <v>3</v>
      </c>
      <c r="Q102" s="1167">
        <f t="shared" si="9"/>
        <v>1.125</v>
      </c>
      <c r="R102" s="1167">
        <f t="shared" si="6"/>
        <v>1.5</v>
      </c>
      <c r="S102" s="1167">
        <v>0</v>
      </c>
      <c r="T102" s="1167">
        <v>0.75</v>
      </c>
      <c r="U102" s="1167">
        <f t="shared" si="7"/>
        <v>2.25</v>
      </c>
      <c r="V102" s="437" t="s">
        <v>2778</v>
      </c>
      <c r="W102" s="1168" t="s">
        <v>36</v>
      </c>
      <c r="X102" s="1169" t="s">
        <v>2264</v>
      </c>
      <c r="Y102" s="1163"/>
      <c r="AB102" s="1146"/>
    </row>
    <row r="103" spans="3:28" ht="24.95" customHeight="1">
      <c r="C103" s="1163" t="s">
        <v>2507</v>
      </c>
      <c r="D103" s="1164"/>
      <c r="E103" s="1164" t="s">
        <v>2504</v>
      </c>
      <c r="F103" s="1164" t="s">
        <v>2169</v>
      </c>
      <c r="G103" s="1165" t="s">
        <v>2951</v>
      </c>
      <c r="H103" s="1165" t="s">
        <v>2974</v>
      </c>
      <c r="I103" s="1166">
        <v>0.27</v>
      </c>
      <c r="J103" s="1167">
        <v>0.27</v>
      </c>
      <c r="K103" s="1167">
        <v>3.24</v>
      </c>
      <c r="L103" s="1167">
        <v>3.24</v>
      </c>
      <c r="M103" s="1167">
        <v>0.38</v>
      </c>
      <c r="N103" s="1168">
        <v>1</v>
      </c>
      <c r="O103" s="1167">
        <f t="shared" si="8"/>
        <v>0.27</v>
      </c>
      <c r="P103" s="1168">
        <v>10</v>
      </c>
      <c r="Q103" s="1167">
        <f t="shared" si="9"/>
        <v>2.7</v>
      </c>
      <c r="R103" s="1167">
        <f t="shared" si="6"/>
        <v>2.97</v>
      </c>
      <c r="S103" s="1167">
        <v>0</v>
      </c>
      <c r="T103" s="1167">
        <v>0.38</v>
      </c>
      <c r="U103" s="1167">
        <f t="shared" si="7"/>
        <v>3.8</v>
      </c>
      <c r="V103" s="437" t="s">
        <v>2778</v>
      </c>
      <c r="W103" s="1168" t="s">
        <v>36</v>
      </c>
      <c r="X103" s="1169" t="s">
        <v>2264</v>
      </c>
      <c r="Y103" s="1163"/>
      <c r="AB103" s="1146"/>
    </row>
    <row r="104" spans="3:28" ht="24.95" customHeight="1">
      <c r="C104" s="1163" t="s">
        <v>2509</v>
      </c>
      <c r="D104" s="1164"/>
      <c r="E104" s="1164" t="s">
        <v>2506</v>
      </c>
      <c r="F104" s="1164" t="s">
        <v>2169</v>
      </c>
      <c r="G104" s="1165" t="s">
        <v>2951</v>
      </c>
      <c r="H104" s="1165" t="s">
        <v>2974</v>
      </c>
      <c r="I104" s="1166">
        <v>0.3</v>
      </c>
      <c r="J104" s="1167">
        <v>0.3</v>
      </c>
      <c r="K104" s="1167">
        <v>3.6</v>
      </c>
      <c r="L104" s="1167">
        <v>3.6</v>
      </c>
      <c r="M104" s="1167">
        <v>0.5</v>
      </c>
      <c r="N104" s="1168">
        <v>1</v>
      </c>
      <c r="O104" s="1167">
        <f t="shared" si="8"/>
        <v>0.3</v>
      </c>
      <c r="P104" s="1168">
        <v>4</v>
      </c>
      <c r="Q104" s="1167">
        <f t="shared" si="9"/>
        <v>1.2</v>
      </c>
      <c r="R104" s="1167">
        <f t="shared" ref="R104:R135" si="10">O104+Q104</f>
        <v>1.5</v>
      </c>
      <c r="S104" s="1167">
        <v>0</v>
      </c>
      <c r="T104" s="1167">
        <v>0.5</v>
      </c>
      <c r="U104" s="1167">
        <f t="shared" ref="U104:U135" si="11">P104*T104</f>
        <v>2</v>
      </c>
      <c r="V104" s="437" t="s">
        <v>2778</v>
      </c>
      <c r="W104" s="1168" t="s">
        <v>36</v>
      </c>
      <c r="X104" s="1169" t="s">
        <v>2264</v>
      </c>
      <c r="Y104" s="1163"/>
      <c r="AB104" s="1146"/>
    </row>
    <row r="105" spans="3:28" ht="24.95" customHeight="1">
      <c r="C105" s="1163" t="s">
        <v>2511</v>
      </c>
      <c r="D105" s="1164"/>
      <c r="E105" s="1164" t="s">
        <v>2508</v>
      </c>
      <c r="F105" s="1164" t="s">
        <v>2169</v>
      </c>
      <c r="G105" s="1165" t="s">
        <v>2952</v>
      </c>
      <c r="H105" s="1165" t="s">
        <v>2974</v>
      </c>
      <c r="I105" s="1166">
        <v>0.4</v>
      </c>
      <c r="J105" s="1167">
        <v>0.4</v>
      </c>
      <c r="K105" s="1167">
        <v>9.6</v>
      </c>
      <c r="L105" s="1167">
        <v>9.6</v>
      </c>
      <c r="M105" s="1167">
        <v>0.75</v>
      </c>
      <c r="N105" s="1168">
        <v>1</v>
      </c>
      <c r="O105" s="1167">
        <f t="shared" si="8"/>
        <v>0.4</v>
      </c>
      <c r="P105" s="1168">
        <v>4</v>
      </c>
      <c r="Q105" s="1167">
        <f t="shared" si="9"/>
        <v>1.6</v>
      </c>
      <c r="R105" s="1167">
        <f t="shared" si="10"/>
        <v>2</v>
      </c>
      <c r="S105" s="1167">
        <v>0</v>
      </c>
      <c r="T105" s="1167">
        <v>0.75</v>
      </c>
      <c r="U105" s="1167">
        <f t="shared" si="11"/>
        <v>3</v>
      </c>
      <c r="V105" s="437" t="s">
        <v>2915</v>
      </c>
      <c r="W105" s="1168" t="s">
        <v>1897</v>
      </c>
      <c r="X105" s="1169" t="s">
        <v>2722</v>
      </c>
      <c r="Y105" s="1163"/>
      <c r="AB105" s="1146"/>
    </row>
    <row r="106" spans="3:28" ht="24.95" customHeight="1">
      <c r="C106" s="1163" t="s">
        <v>2514</v>
      </c>
      <c r="D106" s="1164"/>
      <c r="E106" s="1164" t="s">
        <v>2510</v>
      </c>
      <c r="F106" s="1164" t="s">
        <v>2169</v>
      </c>
      <c r="G106" s="1165" t="s">
        <v>2951</v>
      </c>
      <c r="H106" s="1165" t="s">
        <v>2974</v>
      </c>
      <c r="I106" s="1166">
        <v>0.24</v>
      </c>
      <c r="J106" s="1167">
        <v>0.24</v>
      </c>
      <c r="K106" s="1167">
        <v>4.8</v>
      </c>
      <c r="L106" s="1167">
        <v>4.8</v>
      </c>
      <c r="M106" s="1167">
        <v>0.5</v>
      </c>
      <c r="N106" s="1168">
        <v>2</v>
      </c>
      <c r="O106" s="1167">
        <f t="shared" si="8"/>
        <v>0.48</v>
      </c>
      <c r="P106" s="1168">
        <v>15</v>
      </c>
      <c r="Q106" s="1167">
        <f t="shared" si="9"/>
        <v>3.5999999999999996</v>
      </c>
      <c r="R106" s="1167">
        <f t="shared" si="10"/>
        <v>4.08</v>
      </c>
      <c r="S106" s="1167">
        <v>0</v>
      </c>
      <c r="T106" s="1167">
        <v>0.5</v>
      </c>
      <c r="U106" s="1167">
        <f t="shared" si="11"/>
        <v>7.5</v>
      </c>
      <c r="V106" s="437" t="s">
        <v>2921</v>
      </c>
      <c r="W106" s="1168" t="s">
        <v>45</v>
      </c>
      <c r="X106" s="1169" t="s">
        <v>2844</v>
      </c>
      <c r="Y106" s="1163"/>
      <c r="AB106" s="1146"/>
    </row>
    <row r="107" spans="3:28" ht="24.95" customHeight="1">
      <c r="C107" s="1163" t="s">
        <v>2516</v>
      </c>
      <c r="D107" s="1164"/>
      <c r="E107" s="1164" t="s">
        <v>2512</v>
      </c>
      <c r="F107" s="1164" t="s">
        <v>2169</v>
      </c>
      <c r="G107" s="1165" t="s">
        <v>2952</v>
      </c>
      <c r="H107" s="1165" t="s">
        <v>2974</v>
      </c>
      <c r="I107" s="1166">
        <v>5.5</v>
      </c>
      <c r="J107" s="1167">
        <v>5.5</v>
      </c>
      <c r="K107" s="1167">
        <v>66</v>
      </c>
      <c r="L107" s="1167">
        <v>66</v>
      </c>
      <c r="M107" s="1167">
        <v>6</v>
      </c>
      <c r="N107" s="1168">
        <v>8</v>
      </c>
      <c r="O107" s="1167">
        <f t="shared" si="8"/>
        <v>44</v>
      </c>
      <c r="P107" s="1168">
        <v>1</v>
      </c>
      <c r="Q107" s="1167">
        <f t="shared" si="9"/>
        <v>5.5</v>
      </c>
      <c r="R107" s="1167">
        <f t="shared" si="10"/>
        <v>49.5</v>
      </c>
      <c r="S107" s="1167">
        <v>0</v>
      </c>
      <c r="T107" s="1167">
        <v>6</v>
      </c>
      <c r="U107" s="1167">
        <f t="shared" si="11"/>
        <v>6</v>
      </c>
      <c r="V107" s="437" t="s">
        <v>2778</v>
      </c>
      <c r="W107" s="1168" t="s">
        <v>36</v>
      </c>
      <c r="X107" s="1169" t="s">
        <v>2264</v>
      </c>
      <c r="Y107" s="1163"/>
      <c r="AB107" s="1146"/>
    </row>
    <row r="108" spans="3:28" ht="24.95" customHeight="1">
      <c r="C108" s="1155" t="s">
        <v>2518</v>
      </c>
      <c r="D108" s="1156"/>
      <c r="E108" s="1156" t="s">
        <v>2513</v>
      </c>
      <c r="F108" s="1156" t="s">
        <v>2170</v>
      </c>
      <c r="G108" s="1157" t="s">
        <v>2957</v>
      </c>
      <c r="H108" s="1157" t="s">
        <v>2975</v>
      </c>
      <c r="I108" s="1158">
        <v>5</v>
      </c>
      <c r="J108" s="1159">
        <v>5</v>
      </c>
      <c r="K108" s="1159"/>
      <c r="L108" s="1159">
        <v>5</v>
      </c>
      <c r="M108" s="1159">
        <v>5.5</v>
      </c>
      <c r="N108" s="1160">
        <v>30</v>
      </c>
      <c r="O108" s="1159">
        <f t="shared" si="8"/>
        <v>150</v>
      </c>
      <c r="P108" s="1160">
        <v>5</v>
      </c>
      <c r="Q108" s="1159">
        <f t="shared" si="9"/>
        <v>25</v>
      </c>
      <c r="R108" s="1159">
        <f t="shared" si="10"/>
        <v>175</v>
      </c>
      <c r="S108" s="1159">
        <v>0</v>
      </c>
      <c r="T108" s="1159">
        <v>1E-3</v>
      </c>
      <c r="U108" s="1159">
        <f t="shared" si="11"/>
        <v>5.0000000000000001E-3</v>
      </c>
      <c r="V108" s="1161" t="s">
        <v>2923</v>
      </c>
      <c r="W108" s="1160">
        <v>4500</v>
      </c>
      <c r="X108" s="1162" t="s">
        <v>2742</v>
      </c>
      <c r="Y108" s="1155" t="s">
        <v>2174</v>
      </c>
      <c r="AB108" s="1146"/>
    </row>
    <row r="109" spans="3:28" ht="24.95" customHeight="1">
      <c r="C109" s="1155" t="s">
        <v>2520</v>
      </c>
      <c r="D109" s="1156"/>
      <c r="E109" s="1156" t="s">
        <v>2515</v>
      </c>
      <c r="F109" s="1156" t="s">
        <v>2170</v>
      </c>
      <c r="G109" s="1157" t="s">
        <v>2957</v>
      </c>
      <c r="H109" s="1157" t="s">
        <v>2974</v>
      </c>
      <c r="I109" s="1158">
        <v>4.5</v>
      </c>
      <c r="J109" s="1159">
        <v>4.5</v>
      </c>
      <c r="K109" s="1159">
        <v>108</v>
      </c>
      <c r="L109" s="1159">
        <v>108</v>
      </c>
      <c r="M109" s="1159">
        <v>5</v>
      </c>
      <c r="N109" s="1160">
        <v>15</v>
      </c>
      <c r="O109" s="1159">
        <f t="shared" si="8"/>
        <v>67.5</v>
      </c>
      <c r="P109" s="1160">
        <v>4</v>
      </c>
      <c r="Q109" s="1159">
        <f t="shared" si="9"/>
        <v>18</v>
      </c>
      <c r="R109" s="1159">
        <f t="shared" si="10"/>
        <v>85.5</v>
      </c>
      <c r="S109" s="1159">
        <v>0</v>
      </c>
      <c r="T109" s="1159">
        <v>5</v>
      </c>
      <c r="U109" s="1159">
        <f t="shared" si="11"/>
        <v>20</v>
      </c>
      <c r="V109" s="1161" t="s">
        <v>2924</v>
      </c>
      <c r="W109" s="1160" t="s">
        <v>1897</v>
      </c>
      <c r="X109" s="1162" t="s">
        <v>2725</v>
      </c>
      <c r="Y109" s="1155" t="s">
        <v>2174</v>
      </c>
      <c r="AB109" s="1146"/>
    </row>
    <row r="110" spans="3:28" ht="24.95" customHeight="1">
      <c r="C110" s="1155" t="s">
        <v>2522</v>
      </c>
      <c r="D110" s="1156"/>
      <c r="E110" s="1156" t="s">
        <v>2517</v>
      </c>
      <c r="F110" s="1156" t="s">
        <v>2170</v>
      </c>
      <c r="G110" s="1157" t="s">
        <v>2958</v>
      </c>
      <c r="H110" s="1157" t="s">
        <v>2976</v>
      </c>
      <c r="I110" s="1158">
        <v>0.75</v>
      </c>
      <c r="J110" s="1159">
        <v>0.75</v>
      </c>
      <c r="K110" s="1159">
        <v>9</v>
      </c>
      <c r="L110" s="1159">
        <v>9</v>
      </c>
      <c r="M110" s="1159">
        <v>1</v>
      </c>
      <c r="N110" s="1160">
        <v>10</v>
      </c>
      <c r="O110" s="1159">
        <f t="shared" si="8"/>
        <v>7.5</v>
      </c>
      <c r="P110" s="1160">
        <v>3</v>
      </c>
      <c r="Q110" s="1159">
        <f t="shared" si="9"/>
        <v>2.25</v>
      </c>
      <c r="R110" s="1159">
        <f t="shared" si="10"/>
        <v>9.75</v>
      </c>
      <c r="S110" s="1159">
        <v>0</v>
      </c>
      <c r="T110" s="1159">
        <v>1</v>
      </c>
      <c r="U110" s="1159">
        <f t="shared" si="11"/>
        <v>3</v>
      </c>
      <c r="V110" s="1161" t="s">
        <v>2778</v>
      </c>
      <c r="W110" s="1160" t="s">
        <v>36</v>
      </c>
      <c r="X110" s="1162" t="s">
        <v>2264</v>
      </c>
      <c r="Y110" s="1155" t="s">
        <v>2174</v>
      </c>
      <c r="AB110" s="1146"/>
    </row>
    <row r="111" spans="3:28" ht="24.95" customHeight="1">
      <c r="C111" s="1155" t="s">
        <v>2524</v>
      </c>
      <c r="D111" s="1156"/>
      <c r="E111" s="1156" t="s">
        <v>2519</v>
      </c>
      <c r="F111" s="1156" t="s">
        <v>2170</v>
      </c>
      <c r="G111" s="1157" t="s">
        <v>2958</v>
      </c>
      <c r="H111" s="1157" t="s">
        <v>2976</v>
      </c>
      <c r="I111" s="1158">
        <v>0.95</v>
      </c>
      <c r="J111" s="1159">
        <v>0.95</v>
      </c>
      <c r="K111" s="1159">
        <v>11.4</v>
      </c>
      <c r="L111" s="1159">
        <v>11.4</v>
      </c>
      <c r="M111" s="1159">
        <v>1.1000000000000001</v>
      </c>
      <c r="N111" s="1160">
        <v>5</v>
      </c>
      <c r="O111" s="1159">
        <f t="shared" si="8"/>
        <v>4.75</v>
      </c>
      <c r="P111" s="1160">
        <v>2</v>
      </c>
      <c r="Q111" s="1159">
        <f t="shared" si="9"/>
        <v>1.9</v>
      </c>
      <c r="R111" s="1159">
        <f t="shared" si="10"/>
        <v>6.65</v>
      </c>
      <c r="S111" s="1159">
        <v>0</v>
      </c>
      <c r="T111" s="1159">
        <v>1.1000000000000001</v>
      </c>
      <c r="U111" s="1159">
        <f t="shared" si="11"/>
        <v>2.2000000000000002</v>
      </c>
      <c r="V111" s="1161" t="s">
        <v>2778</v>
      </c>
      <c r="W111" s="1160" t="s">
        <v>36</v>
      </c>
      <c r="X111" s="1162" t="s">
        <v>2264</v>
      </c>
      <c r="Y111" s="1155" t="s">
        <v>2174</v>
      </c>
      <c r="AB111" s="1146"/>
    </row>
    <row r="112" spans="3:28" ht="24.95" customHeight="1">
      <c r="C112" s="1155" t="s">
        <v>2526</v>
      </c>
      <c r="D112" s="1156"/>
      <c r="E112" s="1156" t="s">
        <v>2521</v>
      </c>
      <c r="F112" s="1156" t="s">
        <v>2170</v>
      </c>
      <c r="G112" s="1157" t="s">
        <v>2958</v>
      </c>
      <c r="H112" s="1157" t="s">
        <v>2976</v>
      </c>
      <c r="I112" s="1158">
        <v>1.1000000000000001</v>
      </c>
      <c r="J112" s="1159">
        <v>1.1000000000000001</v>
      </c>
      <c r="K112" s="1159">
        <v>13.2</v>
      </c>
      <c r="L112" s="1159">
        <v>13.2</v>
      </c>
      <c r="M112" s="1159">
        <v>1.25</v>
      </c>
      <c r="N112" s="1160">
        <v>10</v>
      </c>
      <c r="O112" s="1159">
        <f t="shared" si="8"/>
        <v>11</v>
      </c>
      <c r="P112" s="1160">
        <v>3</v>
      </c>
      <c r="Q112" s="1159">
        <f t="shared" si="9"/>
        <v>3.3000000000000003</v>
      </c>
      <c r="R112" s="1159">
        <f t="shared" si="10"/>
        <v>14.3</v>
      </c>
      <c r="S112" s="1159">
        <v>0</v>
      </c>
      <c r="T112" s="1159">
        <v>1.25</v>
      </c>
      <c r="U112" s="1159">
        <f t="shared" si="11"/>
        <v>3.75</v>
      </c>
      <c r="V112" s="1161" t="s">
        <v>2778</v>
      </c>
      <c r="W112" s="1160" t="s">
        <v>36</v>
      </c>
      <c r="X112" s="1162" t="s">
        <v>2264</v>
      </c>
      <c r="Y112" s="1155" t="s">
        <v>2174</v>
      </c>
      <c r="AB112" s="1146"/>
    </row>
    <row r="113" spans="3:28" ht="24.95" customHeight="1">
      <c r="C113" s="1155" t="s">
        <v>2528</v>
      </c>
      <c r="D113" s="1156"/>
      <c r="E113" s="1156" t="s">
        <v>2523</v>
      </c>
      <c r="F113" s="1156" t="s">
        <v>2170</v>
      </c>
      <c r="G113" s="1157" t="s">
        <v>2958</v>
      </c>
      <c r="H113" s="1157" t="s">
        <v>2976</v>
      </c>
      <c r="I113" s="1158">
        <v>1.2</v>
      </c>
      <c r="J113" s="1159">
        <v>1.2</v>
      </c>
      <c r="K113" s="1159">
        <v>14.4</v>
      </c>
      <c r="L113" s="1159">
        <v>14.4</v>
      </c>
      <c r="M113" s="1159">
        <v>1.5</v>
      </c>
      <c r="N113" s="1160">
        <v>10</v>
      </c>
      <c r="O113" s="1159">
        <f t="shared" si="8"/>
        <v>12</v>
      </c>
      <c r="P113" s="1160">
        <v>6</v>
      </c>
      <c r="Q113" s="1159">
        <f t="shared" si="9"/>
        <v>7.1999999999999993</v>
      </c>
      <c r="R113" s="1159">
        <f t="shared" si="10"/>
        <v>19.2</v>
      </c>
      <c r="S113" s="1159">
        <v>0</v>
      </c>
      <c r="T113" s="1159">
        <v>1.5</v>
      </c>
      <c r="U113" s="1159">
        <f t="shared" si="11"/>
        <v>9</v>
      </c>
      <c r="V113" s="1161" t="s">
        <v>2778</v>
      </c>
      <c r="W113" s="1160" t="s">
        <v>36</v>
      </c>
      <c r="X113" s="1162" t="s">
        <v>2264</v>
      </c>
      <c r="Y113" s="1155" t="s">
        <v>2174</v>
      </c>
      <c r="AB113" s="1146"/>
    </row>
    <row r="114" spans="3:28" ht="24.95" customHeight="1">
      <c r="C114" s="1155" t="s">
        <v>2530</v>
      </c>
      <c r="D114" s="1156"/>
      <c r="E114" s="1156" t="s">
        <v>2525</v>
      </c>
      <c r="F114" s="1156" t="s">
        <v>2170</v>
      </c>
      <c r="G114" s="1157" t="s">
        <v>2958</v>
      </c>
      <c r="H114" s="1157" t="s">
        <v>2976</v>
      </c>
      <c r="I114" s="1158">
        <v>2.2999999999999998</v>
      </c>
      <c r="J114" s="1159">
        <v>2.2999999999999998</v>
      </c>
      <c r="K114" s="1159"/>
      <c r="L114" s="1159">
        <v>2.2999999999999998</v>
      </c>
      <c r="M114" s="1159">
        <v>2.75</v>
      </c>
      <c r="N114" s="1160">
        <v>0</v>
      </c>
      <c r="O114" s="1159">
        <f t="shared" si="8"/>
        <v>0</v>
      </c>
      <c r="P114" s="1160">
        <v>0</v>
      </c>
      <c r="Q114" s="1159">
        <f t="shared" si="9"/>
        <v>0</v>
      </c>
      <c r="R114" s="1159">
        <f t="shared" si="10"/>
        <v>0</v>
      </c>
      <c r="S114" s="1159">
        <v>0</v>
      </c>
      <c r="T114" s="1159">
        <v>2.75</v>
      </c>
      <c r="U114" s="1159">
        <f t="shared" si="11"/>
        <v>0</v>
      </c>
      <c r="V114" s="1161" t="s">
        <v>2778</v>
      </c>
      <c r="W114" s="1160" t="s">
        <v>36</v>
      </c>
      <c r="X114" s="1162" t="s">
        <v>2264</v>
      </c>
      <c r="Y114" s="1155" t="s">
        <v>2174</v>
      </c>
      <c r="AB114" s="1146"/>
    </row>
    <row r="115" spans="3:28" ht="24.95" customHeight="1">
      <c r="C115" s="1155" t="s">
        <v>2532</v>
      </c>
      <c r="D115" s="1156"/>
      <c r="E115" s="1156" t="s">
        <v>2527</v>
      </c>
      <c r="F115" s="1156" t="s">
        <v>2170</v>
      </c>
      <c r="G115" s="1157" t="s">
        <v>2958</v>
      </c>
      <c r="H115" s="1157" t="s">
        <v>2976</v>
      </c>
      <c r="I115" s="1158">
        <v>2.7</v>
      </c>
      <c r="J115" s="1159">
        <v>2.7</v>
      </c>
      <c r="K115" s="1159"/>
      <c r="L115" s="1159">
        <v>2.7</v>
      </c>
      <c r="M115" s="1159">
        <v>3</v>
      </c>
      <c r="N115" s="1160">
        <v>0</v>
      </c>
      <c r="O115" s="1159">
        <f t="shared" si="8"/>
        <v>0</v>
      </c>
      <c r="P115" s="1160">
        <v>0</v>
      </c>
      <c r="Q115" s="1159">
        <f t="shared" si="9"/>
        <v>0</v>
      </c>
      <c r="R115" s="1159">
        <f t="shared" si="10"/>
        <v>0</v>
      </c>
      <c r="S115" s="1159">
        <v>0</v>
      </c>
      <c r="T115" s="1159">
        <v>3</v>
      </c>
      <c r="U115" s="1159">
        <f t="shared" si="11"/>
        <v>0</v>
      </c>
      <c r="V115" s="1161" t="s">
        <v>2939</v>
      </c>
      <c r="W115" s="1160">
        <v>1</v>
      </c>
      <c r="X115" s="1162" t="s">
        <v>2307</v>
      </c>
      <c r="Y115" s="1155" t="s">
        <v>2174</v>
      </c>
      <c r="AB115" s="1146"/>
    </row>
    <row r="116" spans="3:28" ht="24.95" customHeight="1">
      <c r="C116" s="1155" t="s">
        <v>2534</v>
      </c>
      <c r="D116" s="1156"/>
      <c r="E116" s="1156" t="s">
        <v>2529</v>
      </c>
      <c r="F116" s="1156" t="s">
        <v>2170</v>
      </c>
      <c r="G116" s="1157" t="s">
        <v>2958</v>
      </c>
      <c r="H116" s="1157" t="s">
        <v>2976</v>
      </c>
      <c r="I116" s="1158">
        <v>3.7</v>
      </c>
      <c r="J116" s="1159">
        <v>3.7</v>
      </c>
      <c r="K116" s="1159"/>
      <c r="L116" s="1159">
        <v>3.7</v>
      </c>
      <c r="M116" s="1159">
        <v>4</v>
      </c>
      <c r="N116" s="1160">
        <v>0</v>
      </c>
      <c r="O116" s="1159">
        <f t="shared" si="8"/>
        <v>0</v>
      </c>
      <c r="P116" s="1160">
        <v>0</v>
      </c>
      <c r="Q116" s="1159">
        <f t="shared" si="9"/>
        <v>0</v>
      </c>
      <c r="R116" s="1159">
        <f t="shared" si="10"/>
        <v>0</v>
      </c>
      <c r="S116" s="1159">
        <v>0</v>
      </c>
      <c r="T116" s="1159">
        <v>4</v>
      </c>
      <c r="U116" s="1159">
        <f t="shared" si="11"/>
        <v>0</v>
      </c>
      <c r="V116" s="1161" t="s">
        <v>2939</v>
      </c>
      <c r="W116" s="1160">
        <v>1</v>
      </c>
      <c r="X116" s="1162" t="s">
        <v>2307</v>
      </c>
      <c r="Y116" s="1155" t="s">
        <v>2174</v>
      </c>
      <c r="AB116" s="1146"/>
    </row>
    <row r="117" spans="3:28" ht="24.95" customHeight="1">
      <c r="C117" s="1155" t="s">
        <v>2536</v>
      </c>
      <c r="D117" s="1156"/>
      <c r="E117" s="1156" t="s">
        <v>2531</v>
      </c>
      <c r="F117" s="1156" t="s">
        <v>2170</v>
      </c>
      <c r="G117" s="1157" t="s">
        <v>2959</v>
      </c>
      <c r="H117" s="1157" t="s">
        <v>2976</v>
      </c>
      <c r="I117" s="1158">
        <v>0.35</v>
      </c>
      <c r="J117" s="1159">
        <v>0.35</v>
      </c>
      <c r="K117" s="1159"/>
      <c r="L117" s="1159">
        <v>0.35</v>
      </c>
      <c r="M117" s="1159">
        <v>0.5</v>
      </c>
      <c r="N117" s="1160">
        <v>5</v>
      </c>
      <c r="O117" s="1159">
        <f t="shared" si="8"/>
        <v>1.75</v>
      </c>
      <c r="P117" s="1160">
        <v>2</v>
      </c>
      <c r="Q117" s="1159">
        <f t="shared" si="9"/>
        <v>0.7</v>
      </c>
      <c r="R117" s="1159">
        <f t="shared" si="10"/>
        <v>2.4500000000000002</v>
      </c>
      <c r="S117" s="1159">
        <v>0</v>
      </c>
      <c r="T117" s="1159">
        <v>0.5</v>
      </c>
      <c r="U117" s="1159">
        <f t="shared" si="11"/>
        <v>1</v>
      </c>
      <c r="V117" s="1161" t="s">
        <v>2939</v>
      </c>
      <c r="W117" s="1160">
        <v>1</v>
      </c>
      <c r="X117" s="1162" t="s">
        <v>2307</v>
      </c>
      <c r="Y117" s="1155" t="s">
        <v>2174</v>
      </c>
      <c r="AB117" s="1146"/>
    </row>
    <row r="118" spans="3:28" ht="24.95" customHeight="1">
      <c r="C118" s="1155" t="s">
        <v>2538</v>
      </c>
      <c r="D118" s="1156"/>
      <c r="E118" s="1156" t="s">
        <v>2533</v>
      </c>
      <c r="F118" s="1156" t="s">
        <v>2170</v>
      </c>
      <c r="G118" s="1157" t="s">
        <v>2959</v>
      </c>
      <c r="H118" s="1157" t="s">
        <v>2976</v>
      </c>
      <c r="I118" s="1158">
        <v>0.4</v>
      </c>
      <c r="J118" s="1159">
        <v>0.4</v>
      </c>
      <c r="K118" s="1159"/>
      <c r="L118" s="1159">
        <v>0.4</v>
      </c>
      <c r="M118" s="1159">
        <v>0.5</v>
      </c>
      <c r="N118" s="1160">
        <v>4</v>
      </c>
      <c r="O118" s="1159">
        <f t="shared" si="8"/>
        <v>1.6</v>
      </c>
      <c r="P118" s="1160">
        <v>0</v>
      </c>
      <c r="Q118" s="1159">
        <f t="shared" si="9"/>
        <v>0</v>
      </c>
      <c r="R118" s="1159">
        <f t="shared" si="10"/>
        <v>1.6</v>
      </c>
      <c r="S118" s="1159">
        <v>0</v>
      </c>
      <c r="T118" s="1159">
        <v>0.5</v>
      </c>
      <c r="U118" s="1159">
        <f t="shared" si="11"/>
        <v>0</v>
      </c>
      <c r="V118" s="1161" t="s">
        <v>2939</v>
      </c>
      <c r="W118" s="1160">
        <v>1</v>
      </c>
      <c r="X118" s="1162" t="s">
        <v>2307</v>
      </c>
      <c r="Y118" s="1155" t="s">
        <v>2174</v>
      </c>
      <c r="AB118" s="1146"/>
    </row>
    <row r="119" spans="3:28" ht="24.95" customHeight="1">
      <c r="C119" s="1155" t="s">
        <v>2540</v>
      </c>
      <c r="D119" s="1156"/>
      <c r="E119" s="1156" t="s">
        <v>2535</v>
      </c>
      <c r="F119" s="1156" t="s">
        <v>2170</v>
      </c>
      <c r="G119" s="1157" t="s">
        <v>2959</v>
      </c>
      <c r="H119" s="1157" t="s">
        <v>2976</v>
      </c>
      <c r="I119" s="1158">
        <v>2.6</v>
      </c>
      <c r="J119" s="1159">
        <v>2.6</v>
      </c>
      <c r="K119" s="1159"/>
      <c r="L119" s="1159">
        <v>2.6</v>
      </c>
      <c r="M119" s="1159">
        <v>3</v>
      </c>
      <c r="N119" s="1160">
        <v>7</v>
      </c>
      <c r="O119" s="1159">
        <f t="shared" si="8"/>
        <v>18.2</v>
      </c>
      <c r="P119" s="1160">
        <v>1</v>
      </c>
      <c r="Q119" s="1159">
        <f t="shared" si="9"/>
        <v>2.6</v>
      </c>
      <c r="R119" s="1159">
        <f t="shared" si="10"/>
        <v>20.8</v>
      </c>
      <c r="S119" s="1159">
        <v>0</v>
      </c>
      <c r="T119" s="1159">
        <v>3</v>
      </c>
      <c r="U119" s="1159">
        <f t="shared" si="11"/>
        <v>3</v>
      </c>
      <c r="V119" s="1161" t="s">
        <v>2939</v>
      </c>
      <c r="W119" s="1160">
        <v>1</v>
      </c>
      <c r="X119" s="1162" t="s">
        <v>2307</v>
      </c>
      <c r="Y119" s="1155" t="s">
        <v>2174</v>
      </c>
      <c r="AB119" s="1146"/>
    </row>
    <row r="120" spans="3:28" ht="24.95" customHeight="1">
      <c r="C120" s="1155" t="s">
        <v>2542</v>
      </c>
      <c r="D120" s="1156"/>
      <c r="E120" s="1156" t="s">
        <v>2537</v>
      </c>
      <c r="F120" s="1156" t="s">
        <v>2170</v>
      </c>
      <c r="G120" s="1157" t="s">
        <v>2960</v>
      </c>
      <c r="H120" s="1157" t="s">
        <v>2976</v>
      </c>
      <c r="I120" s="1158">
        <v>1.3</v>
      </c>
      <c r="J120" s="1159">
        <v>1.3</v>
      </c>
      <c r="K120" s="1159"/>
      <c r="L120" s="1159">
        <v>1.3</v>
      </c>
      <c r="M120" s="1159">
        <v>1.75</v>
      </c>
      <c r="N120" s="1160">
        <v>8</v>
      </c>
      <c r="O120" s="1159">
        <f t="shared" si="8"/>
        <v>10.4</v>
      </c>
      <c r="P120" s="1160">
        <v>0</v>
      </c>
      <c r="Q120" s="1159">
        <f t="shared" si="9"/>
        <v>0</v>
      </c>
      <c r="R120" s="1159">
        <f t="shared" si="10"/>
        <v>10.4</v>
      </c>
      <c r="S120" s="1159">
        <v>0</v>
      </c>
      <c r="T120" s="1159">
        <v>1.75</v>
      </c>
      <c r="U120" s="1159">
        <f t="shared" si="11"/>
        <v>0</v>
      </c>
      <c r="V120" s="1161" t="s">
        <v>2939</v>
      </c>
      <c r="W120" s="1160">
        <v>1</v>
      </c>
      <c r="X120" s="1162" t="s">
        <v>2307</v>
      </c>
      <c r="Y120" s="1155" t="s">
        <v>2174</v>
      </c>
      <c r="AB120" s="1146"/>
    </row>
    <row r="121" spans="3:28" ht="24.95" customHeight="1">
      <c r="C121" s="1155" t="s">
        <v>2544</v>
      </c>
      <c r="D121" s="1156"/>
      <c r="E121" s="1156" t="s">
        <v>2539</v>
      </c>
      <c r="F121" s="1156" t="s">
        <v>2170</v>
      </c>
      <c r="G121" s="1157" t="s">
        <v>2960</v>
      </c>
      <c r="H121" s="1157" t="s">
        <v>2976</v>
      </c>
      <c r="I121" s="1158">
        <v>1.5</v>
      </c>
      <c r="J121" s="1159">
        <v>1.5</v>
      </c>
      <c r="K121" s="1159"/>
      <c r="L121" s="1159">
        <v>1.5</v>
      </c>
      <c r="M121" s="1159">
        <v>2</v>
      </c>
      <c r="N121" s="1160">
        <v>0</v>
      </c>
      <c r="O121" s="1159">
        <f t="shared" si="8"/>
        <v>0</v>
      </c>
      <c r="P121" s="1160">
        <v>0</v>
      </c>
      <c r="Q121" s="1159">
        <f t="shared" si="9"/>
        <v>0</v>
      </c>
      <c r="R121" s="1159">
        <f t="shared" si="10"/>
        <v>0</v>
      </c>
      <c r="S121" s="1159">
        <v>0</v>
      </c>
      <c r="T121" s="1159">
        <v>2</v>
      </c>
      <c r="U121" s="1159">
        <f t="shared" si="11"/>
        <v>0</v>
      </c>
      <c r="V121" s="1161" t="s">
        <v>2939</v>
      </c>
      <c r="W121" s="1160">
        <v>1</v>
      </c>
      <c r="X121" s="1162" t="s">
        <v>2307</v>
      </c>
      <c r="Y121" s="1155" t="s">
        <v>2174</v>
      </c>
      <c r="AB121" s="1146"/>
    </row>
    <row r="122" spans="3:28" ht="24.95" customHeight="1">
      <c r="C122" s="1155" t="s">
        <v>2546</v>
      </c>
      <c r="D122" s="1156"/>
      <c r="E122" s="1156" t="s">
        <v>2541</v>
      </c>
      <c r="F122" s="1156" t="s">
        <v>2170</v>
      </c>
      <c r="G122" s="1157" t="s">
        <v>2961</v>
      </c>
      <c r="H122" s="1157" t="s">
        <v>2976</v>
      </c>
      <c r="I122" s="1158">
        <v>0.85</v>
      </c>
      <c r="J122" s="1159">
        <v>0.85</v>
      </c>
      <c r="K122" s="1159"/>
      <c r="L122" s="1159">
        <v>0.85</v>
      </c>
      <c r="M122" s="1159">
        <v>1.5</v>
      </c>
      <c r="N122" s="1160">
        <v>0</v>
      </c>
      <c r="O122" s="1159">
        <f t="shared" si="8"/>
        <v>0</v>
      </c>
      <c r="P122" s="1160">
        <v>2</v>
      </c>
      <c r="Q122" s="1159">
        <f t="shared" si="9"/>
        <v>1.7</v>
      </c>
      <c r="R122" s="1159">
        <f t="shared" si="10"/>
        <v>1.7</v>
      </c>
      <c r="S122" s="1159">
        <v>0</v>
      </c>
      <c r="T122" s="1159">
        <v>1.5</v>
      </c>
      <c r="U122" s="1159">
        <f t="shared" si="11"/>
        <v>3</v>
      </c>
      <c r="V122" s="1161" t="s">
        <v>2939</v>
      </c>
      <c r="W122" s="1160">
        <v>1</v>
      </c>
      <c r="X122" s="1162" t="s">
        <v>2307</v>
      </c>
      <c r="Y122" s="1155" t="s">
        <v>2174</v>
      </c>
      <c r="AB122" s="1146"/>
    </row>
    <row r="123" spans="3:28" ht="24.95" customHeight="1">
      <c r="C123" s="1155" t="s">
        <v>2548</v>
      </c>
      <c r="D123" s="1156"/>
      <c r="E123" s="1156" t="s">
        <v>2543</v>
      </c>
      <c r="F123" s="1156" t="s">
        <v>2170</v>
      </c>
      <c r="G123" s="1157" t="s">
        <v>2961</v>
      </c>
      <c r="H123" s="1157" t="s">
        <v>2976</v>
      </c>
      <c r="I123" s="1158">
        <v>0.95</v>
      </c>
      <c r="J123" s="1159">
        <v>0.95</v>
      </c>
      <c r="K123" s="1159"/>
      <c r="L123" s="1159">
        <v>0.95</v>
      </c>
      <c r="M123" s="1159">
        <v>1.5</v>
      </c>
      <c r="N123" s="1160">
        <v>0</v>
      </c>
      <c r="O123" s="1159">
        <f t="shared" si="8"/>
        <v>0</v>
      </c>
      <c r="P123" s="1160">
        <v>0</v>
      </c>
      <c r="Q123" s="1159">
        <f t="shared" si="9"/>
        <v>0</v>
      </c>
      <c r="R123" s="1159">
        <f t="shared" si="10"/>
        <v>0</v>
      </c>
      <c r="S123" s="1159">
        <v>0</v>
      </c>
      <c r="T123" s="1159">
        <v>1.5</v>
      </c>
      <c r="U123" s="1159">
        <f t="shared" si="11"/>
        <v>0</v>
      </c>
      <c r="V123" s="1161" t="s">
        <v>2939</v>
      </c>
      <c r="W123" s="1160">
        <v>1</v>
      </c>
      <c r="X123" s="1162" t="s">
        <v>2307</v>
      </c>
      <c r="Y123" s="1155" t="s">
        <v>2174</v>
      </c>
      <c r="AB123" s="1146"/>
    </row>
    <row r="124" spans="3:28" ht="24.95" customHeight="1">
      <c r="C124" s="1155" t="s">
        <v>2550</v>
      </c>
      <c r="D124" s="1156"/>
      <c r="E124" s="1156" t="s">
        <v>2545</v>
      </c>
      <c r="F124" s="1156" t="s">
        <v>2170</v>
      </c>
      <c r="G124" s="1157" t="s">
        <v>2959</v>
      </c>
      <c r="H124" s="1157" t="s">
        <v>2976</v>
      </c>
      <c r="I124" s="1158">
        <v>1.1000000000000001</v>
      </c>
      <c r="J124" s="1159">
        <v>1.1000000000000001</v>
      </c>
      <c r="K124" s="1159">
        <v>6.6</v>
      </c>
      <c r="L124" s="1159">
        <v>6.6</v>
      </c>
      <c r="M124" s="1159">
        <v>1.35</v>
      </c>
      <c r="N124" s="1160">
        <v>5</v>
      </c>
      <c r="O124" s="1159">
        <f t="shared" si="8"/>
        <v>5.5</v>
      </c>
      <c r="P124" s="1160">
        <v>3</v>
      </c>
      <c r="Q124" s="1159">
        <f t="shared" si="9"/>
        <v>3.3000000000000003</v>
      </c>
      <c r="R124" s="1159">
        <f t="shared" si="10"/>
        <v>8.8000000000000007</v>
      </c>
      <c r="S124" s="1159">
        <v>0</v>
      </c>
      <c r="T124" s="1159">
        <v>1.35</v>
      </c>
      <c r="U124" s="1159">
        <f t="shared" si="11"/>
        <v>4.0500000000000007</v>
      </c>
      <c r="V124" s="1161" t="s">
        <v>2814</v>
      </c>
      <c r="W124" s="1160" t="s">
        <v>58</v>
      </c>
      <c r="X124" s="1162" t="s">
        <v>2265</v>
      </c>
      <c r="Y124" s="1155" t="s">
        <v>2174</v>
      </c>
      <c r="AB124" s="1146"/>
    </row>
    <row r="125" spans="3:28" ht="24.95" customHeight="1">
      <c r="C125" s="1155" t="s">
        <v>2552</v>
      </c>
      <c r="D125" s="1156"/>
      <c r="E125" s="1156" t="s">
        <v>2547</v>
      </c>
      <c r="F125" s="1156" t="s">
        <v>2170</v>
      </c>
      <c r="G125" s="1157" t="s">
        <v>2959</v>
      </c>
      <c r="H125" s="1157" t="s">
        <v>2976</v>
      </c>
      <c r="I125" s="1158">
        <v>1.2</v>
      </c>
      <c r="J125" s="1159">
        <v>1.2</v>
      </c>
      <c r="K125" s="1159">
        <v>7.2</v>
      </c>
      <c r="L125" s="1159">
        <v>7.2</v>
      </c>
      <c r="M125" s="1159">
        <v>1.5</v>
      </c>
      <c r="N125" s="1160">
        <v>7</v>
      </c>
      <c r="O125" s="1159">
        <f t="shared" si="8"/>
        <v>8.4</v>
      </c>
      <c r="P125" s="1160">
        <v>2</v>
      </c>
      <c r="Q125" s="1159">
        <f t="shared" si="9"/>
        <v>2.4</v>
      </c>
      <c r="R125" s="1159">
        <f t="shared" si="10"/>
        <v>10.8</v>
      </c>
      <c r="S125" s="1159">
        <v>0</v>
      </c>
      <c r="T125" s="1159">
        <v>1.5</v>
      </c>
      <c r="U125" s="1159">
        <f t="shared" si="11"/>
        <v>3</v>
      </c>
      <c r="V125" s="1161" t="s">
        <v>2814</v>
      </c>
      <c r="W125" s="1160" t="s">
        <v>58</v>
      </c>
      <c r="X125" s="1162" t="s">
        <v>2265</v>
      </c>
      <c r="Y125" s="1155" t="s">
        <v>2174</v>
      </c>
      <c r="AB125" s="1146"/>
    </row>
    <row r="126" spans="3:28" ht="24.95" customHeight="1">
      <c r="C126" s="1155" t="s">
        <v>2554</v>
      </c>
      <c r="D126" s="1156"/>
      <c r="E126" s="1156" t="s">
        <v>2549</v>
      </c>
      <c r="F126" s="1156" t="s">
        <v>2170</v>
      </c>
      <c r="G126" s="1157" t="s">
        <v>2959</v>
      </c>
      <c r="H126" s="1157" t="s">
        <v>2976</v>
      </c>
      <c r="I126" s="1158">
        <v>1.3</v>
      </c>
      <c r="J126" s="1159">
        <v>1.3</v>
      </c>
      <c r="K126" s="1159">
        <v>7.8</v>
      </c>
      <c r="L126" s="1159">
        <v>7.8</v>
      </c>
      <c r="M126" s="1159">
        <v>1.75</v>
      </c>
      <c r="N126" s="1160">
        <v>8</v>
      </c>
      <c r="O126" s="1159">
        <f t="shared" si="8"/>
        <v>10.4</v>
      </c>
      <c r="P126" s="1160">
        <v>3</v>
      </c>
      <c r="Q126" s="1159">
        <f t="shared" si="9"/>
        <v>3.9000000000000004</v>
      </c>
      <c r="R126" s="1159">
        <f t="shared" si="10"/>
        <v>14.3</v>
      </c>
      <c r="S126" s="1159">
        <v>0</v>
      </c>
      <c r="T126" s="1159">
        <v>1.75</v>
      </c>
      <c r="U126" s="1159">
        <f t="shared" si="11"/>
        <v>5.25</v>
      </c>
      <c r="V126" s="1161" t="s">
        <v>2814</v>
      </c>
      <c r="W126" s="1160" t="s">
        <v>58</v>
      </c>
      <c r="X126" s="1162" t="s">
        <v>2265</v>
      </c>
      <c r="Y126" s="1155" t="s">
        <v>2174</v>
      </c>
      <c r="AB126" s="1146"/>
    </row>
    <row r="127" spans="3:28" ht="24.95" customHeight="1">
      <c r="C127" s="1155" t="s">
        <v>2556</v>
      </c>
      <c r="D127" s="1156"/>
      <c r="E127" s="1156" t="s">
        <v>2551</v>
      </c>
      <c r="F127" s="1156" t="s">
        <v>2170</v>
      </c>
      <c r="G127" s="1157" t="s">
        <v>2959</v>
      </c>
      <c r="H127" s="1157" t="s">
        <v>2976</v>
      </c>
      <c r="I127" s="1158">
        <v>1.4</v>
      </c>
      <c r="J127" s="1159">
        <v>1.4</v>
      </c>
      <c r="K127" s="1159">
        <v>8.4</v>
      </c>
      <c r="L127" s="1159">
        <v>8.4</v>
      </c>
      <c r="M127" s="1159">
        <v>1.8</v>
      </c>
      <c r="N127" s="1160">
        <v>6</v>
      </c>
      <c r="O127" s="1159">
        <f t="shared" si="8"/>
        <v>8.3999999999999986</v>
      </c>
      <c r="P127" s="1160">
        <v>1</v>
      </c>
      <c r="Q127" s="1159">
        <f t="shared" si="9"/>
        <v>1.4</v>
      </c>
      <c r="R127" s="1159">
        <f t="shared" si="10"/>
        <v>9.7999999999999989</v>
      </c>
      <c r="S127" s="1159">
        <v>0</v>
      </c>
      <c r="T127" s="1159">
        <v>1.8</v>
      </c>
      <c r="U127" s="1159">
        <f t="shared" si="11"/>
        <v>1.8</v>
      </c>
      <c r="V127" s="1161" t="s">
        <v>2814</v>
      </c>
      <c r="W127" s="1160" t="s">
        <v>58</v>
      </c>
      <c r="X127" s="1162" t="s">
        <v>2265</v>
      </c>
      <c r="Y127" s="1155" t="s">
        <v>2174</v>
      </c>
      <c r="AB127" s="1146"/>
    </row>
    <row r="128" spans="3:28" ht="24.95" customHeight="1">
      <c r="C128" s="1155" t="s">
        <v>2558</v>
      </c>
      <c r="D128" s="1156"/>
      <c r="E128" s="1156" t="s">
        <v>2553</v>
      </c>
      <c r="F128" s="1156" t="s">
        <v>2170</v>
      </c>
      <c r="G128" s="1157" t="s">
        <v>2959</v>
      </c>
      <c r="H128" s="1157" t="s">
        <v>2976</v>
      </c>
      <c r="I128" s="1158">
        <v>1.5</v>
      </c>
      <c r="J128" s="1159">
        <v>1.5</v>
      </c>
      <c r="K128" s="1159">
        <v>9</v>
      </c>
      <c r="L128" s="1159">
        <v>9</v>
      </c>
      <c r="M128" s="1159">
        <v>1.8</v>
      </c>
      <c r="N128" s="1160">
        <v>4</v>
      </c>
      <c r="O128" s="1159">
        <f t="shared" si="8"/>
        <v>6</v>
      </c>
      <c r="P128" s="1160">
        <v>3</v>
      </c>
      <c r="Q128" s="1159">
        <f t="shared" si="9"/>
        <v>4.5</v>
      </c>
      <c r="R128" s="1159">
        <f t="shared" si="10"/>
        <v>10.5</v>
      </c>
      <c r="S128" s="1159">
        <v>0</v>
      </c>
      <c r="T128" s="1159">
        <v>1.8</v>
      </c>
      <c r="U128" s="1159">
        <f t="shared" si="11"/>
        <v>5.4</v>
      </c>
      <c r="V128" s="1161" t="s">
        <v>2814</v>
      </c>
      <c r="W128" s="1160" t="s">
        <v>58</v>
      </c>
      <c r="X128" s="1162" t="s">
        <v>2265</v>
      </c>
      <c r="Y128" s="1155" t="s">
        <v>2174</v>
      </c>
      <c r="AB128" s="1146"/>
    </row>
    <row r="129" spans="3:28" ht="24.95" customHeight="1">
      <c r="C129" s="1155" t="s">
        <v>2560</v>
      </c>
      <c r="D129" s="1156"/>
      <c r="E129" s="1156" t="s">
        <v>2555</v>
      </c>
      <c r="F129" s="1156" t="s">
        <v>2170</v>
      </c>
      <c r="G129" s="1157" t="s">
        <v>2962</v>
      </c>
      <c r="H129" s="1157" t="s">
        <v>2976</v>
      </c>
      <c r="I129" s="1158">
        <v>1.3</v>
      </c>
      <c r="J129" s="1159">
        <v>1.3</v>
      </c>
      <c r="K129" s="1159">
        <v>31.2</v>
      </c>
      <c r="L129" s="1159">
        <v>31.2</v>
      </c>
      <c r="M129" s="1159">
        <v>36</v>
      </c>
      <c r="N129" s="1160">
        <v>14</v>
      </c>
      <c r="O129" s="1159">
        <f t="shared" si="8"/>
        <v>18.2</v>
      </c>
      <c r="P129" s="1160">
        <v>2</v>
      </c>
      <c r="Q129" s="1159">
        <f t="shared" si="9"/>
        <v>2.6</v>
      </c>
      <c r="R129" s="1159">
        <f t="shared" si="10"/>
        <v>20.8</v>
      </c>
      <c r="S129" s="1159">
        <v>0</v>
      </c>
      <c r="T129" s="1159">
        <v>1.5</v>
      </c>
      <c r="U129" s="1159">
        <f t="shared" si="11"/>
        <v>3</v>
      </c>
      <c r="V129" s="1161" t="s">
        <v>2915</v>
      </c>
      <c r="W129" s="1160">
        <v>24</v>
      </c>
      <c r="X129" s="1162" t="s">
        <v>2722</v>
      </c>
      <c r="Y129" s="1155" t="s">
        <v>2174</v>
      </c>
      <c r="AB129" s="1146"/>
    </row>
    <row r="130" spans="3:28" ht="24.95" customHeight="1">
      <c r="C130" s="1155" t="s">
        <v>2562</v>
      </c>
      <c r="D130" s="1156"/>
      <c r="E130" s="1156" t="s">
        <v>2557</v>
      </c>
      <c r="F130" s="1156" t="s">
        <v>2170</v>
      </c>
      <c r="G130" s="1157" t="s">
        <v>2962</v>
      </c>
      <c r="H130" s="1157" t="s">
        <v>2976</v>
      </c>
      <c r="I130" s="1158">
        <v>1.08</v>
      </c>
      <c r="J130" s="1159">
        <v>1.08</v>
      </c>
      <c r="K130" s="1159">
        <v>25.92</v>
      </c>
      <c r="L130" s="1159">
        <v>25.92</v>
      </c>
      <c r="M130" s="1159">
        <v>1.5</v>
      </c>
      <c r="N130" s="1160">
        <v>2</v>
      </c>
      <c r="O130" s="1159">
        <f t="shared" si="8"/>
        <v>2.16</v>
      </c>
      <c r="P130" s="1160">
        <v>8</v>
      </c>
      <c r="Q130" s="1159">
        <f t="shared" si="9"/>
        <v>8.64</v>
      </c>
      <c r="R130" s="1159">
        <f t="shared" si="10"/>
        <v>10.8</v>
      </c>
      <c r="S130" s="1159">
        <v>0</v>
      </c>
      <c r="T130" s="1159">
        <v>1.5</v>
      </c>
      <c r="U130" s="1159">
        <f t="shared" si="11"/>
        <v>12</v>
      </c>
      <c r="V130" s="1161" t="s">
        <v>2925</v>
      </c>
      <c r="W130" s="1160" t="s">
        <v>55</v>
      </c>
      <c r="X130" s="1162" t="s">
        <v>2723</v>
      </c>
      <c r="Y130" s="1155" t="s">
        <v>2174</v>
      </c>
      <c r="AB130" s="1146"/>
    </row>
    <row r="131" spans="3:28" ht="24.95" customHeight="1">
      <c r="C131" s="1155" t="s">
        <v>2564</v>
      </c>
      <c r="D131" s="1156"/>
      <c r="E131" s="1156" t="s">
        <v>2559</v>
      </c>
      <c r="F131" s="1156" t="s">
        <v>2170</v>
      </c>
      <c r="G131" s="1157" t="s">
        <v>2962</v>
      </c>
      <c r="H131" s="1157" t="s">
        <v>2976</v>
      </c>
      <c r="I131" s="1158">
        <v>2</v>
      </c>
      <c r="J131" s="1159">
        <v>2</v>
      </c>
      <c r="K131" s="1159"/>
      <c r="L131" s="1159">
        <v>2</v>
      </c>
      <c r="M131" s="1159">
        <v>2.5</v>
      </c>
      <c r="N131" s="1160">
        <v>0</v>
      </c>
      <c r="O131" s="1159">
        <f t="shared" si="8"/>
        <v>0</v>
      </c>
      <c r="P131" s="1160">
        <v>0</v>
      </c>
      <c r="Q131" s="1159">
        <f t="shared" si="9"/>
        <v>0</v>
      </c>
      <c r="R131" s="1159">
        <f t="shared" si="10"/>
        <v>0</v>
      </c>
      <c r="S131" s="1159">
        <v>0</v>
      </c>
      <c r="T131" s="1159">
        <v>2.5</v>
      </c>
      <c r="U131" s="1159">
        <f t="shared" si="11"/>
        <v>0</v>
      </c>
      <c r="V131" s="1161" t="s">
        <v>2939</v>
      </c>
      <c r="W131" s="1160">
        <v>1</v>
      </c>
      <c r="X131" s="1162" t="s">
        <v>2307</v>
      </c>
      <c r="Y131" s="1155" t="s">
        <v>2174</v>
      </c>
      <c r="AB131" s="1146"/>
    </row>
    <row r="132" spans="3:28" ht="24.95" customHeight="1">
      <c r="C132" s="1155" t="s">
        <v>2566</v>
      </c>
      <c r="D132" s="1156"/>
      <c r="E132" s="1156" t="s">
        <v>2561</v>
      </c>
      <c r="F132" s="1156" t="s">
        <v>2170</v>
      </c>
      <c r="G132" s="1157" t="s">
        <v>2962</v>
      </c>
      <c r="H132" s="1157" t="s">
        <v>2976</v>
      </c>
      <c r="I132" s="1158">
        <v>4</v>
      </c>
      <c r="J132" s="1159">
        <v>4</v>
      </c>
      <c r="K132" s="1159"/>
      <c r="L132" s="1159">
        <v>4</v>
      </c>
      <c r="M132" s="1159">
        <v>0.04</v>
      </c>
      <c r="N132" s="1160">
        <v>20</v>
      </c>
      <c r="O132" s="1159">
        <f t="shared" si="8"/>
        <v>80</v>
      </c>
      <c r="P132" s="1160">
        <v>7</v>
      </c>
      <c r="Q132" s="1159">
        <f t="shared" si="9"/>
        <v>28</v>
      </c>
      <c r="R132" s="1159">
        <f t="shared" si="10"/>
        <v>108</v>
      </c>
      <c r="S132" s="1159">
        <v>0</v>
      </c>
      <c r="T132" s="1159">
        <v>0.04</v>
      </c>
      <c r="U132" s="1159">
        <f t="shared" si="11"/>
        <v>0.28000000000000003</v>
      </c>
      <c r="V132" s="1161" t="s">
        <v>2920</v>
      </c>
      <c r="W132" s="1160" t="s">
        <v>2891</v>
      </c>
      <c r="X132" s="1162" t="s">
        <v>2724</v>
      </c>
      <c r="Y132" s="1155" t="s">
        <v>2174</v>
      </c>
      <c r="AB132" s="1146"/>
    </row>
    <row r="133" spans="3:28" ht="24.95" customHeight="1">
      <c r="C133" s="1163" t="s">
        <v>2568</v>
      </c>
      <c r="D133" s="1164"/>
      <c r="E133" s="1164" t="s">
        <v>2563</v>
      </c>
      <c r="F133" s="1164" t="s">
        <v>2170</v>
      </c>
      <c r="G133" s="1165" t="s">
        <v>2963</v>
      </c>
      <c r="H133" s="1165" t="s">
        <v>2976</v>
      </c>
      <c r="I133" s="1166">
        <v>2.6</v>
      </c>
      <c r="J133" s="1167">
        <v>2.6</v>
      </c>
      <c r="K133" s="1167">
        <v>31.2</v>
      </c>
      <c r="L133" s="1167">
        <v>31.2</v>
      </c>
      <c r="M133" s="1167">
        <v>3.5</v>
      </c>
      <c r="N133" s="1168">
        <v>10</v>
      </c>
      <c r="O133" s="1167">
        <f t="shared" si="8"/>
        <v>26</v>
      </c>
      <c r="P133" s="1168">
        <v>4</v>
      </c>
      <c r="Q133" s="1167">
        <f t="shared" si="9"/>
        <v>10.4</v>
      </c>
      <c r="R133" s="1167">
        <f t="shared" si="10"/>
        <v>36.4</v>
      </c>
      <c r="S133" s="1167">
        <v>0</v>
      </c>
      <c r="T133" s="1167">
        <v>3.5</v>
      </c>
      <c r="U133" s="1167">
        <f t="shared" si="11"/>
        <v>14</v>
      </c>
      <c r="V133" s="437" t="s">
        <v>2778</v>
      </c>
      <c r="W133" s="1168" t="s">
        <v>36</v>
      </c>
      <c r="X133" s="1169" t="s">
        <v>2264</v>
      </c>
      <c r="Y133" s="1163" t="s">
        <v>2174</v>
      </c>
      <c r="AB133" s="1146"/>
    </row>
    <row r="134" spans="3:28" ht="24.95" customHeight="1">
      <c r="C134" s="1163" t="s">
        <v>2570</v>
      </c>
      <c r="D134" s="1164"/>
      <c r="E134" s="1164" t="s">
        <v>2565</v>
      </c>
      <c r="F134" s="1164" t="s">
        <v>2170</v>
      </c>
      <c r="G134" s="1165" t="s">
        <v>2959</v>
      </c>
      <c r="H134" s="1165" t="s">
        <v>2976</v>
      </c>
      <c r="I134" s="1166">
        <v>2.2000000000000002</v>
      </c>
      <c r="J134" s="1167">
        <v>2.2000000000000002</v>
      </c>
      <c r="K134" s="1167">
        <v>26.4</v>
      </c>
      <c r="L134" s="1167">
        <v>26.4</v>
      </c>
      <c r="M134" s="1167">
        <v>3</v>
      </c>
      <c r="N134" s="1168">
        <v>10</v>
      </c>
      <c r="O134" s="1167">
        <f t="shared" si="8"/>
        <v>22</v>
      </c>
      <c r="P134" s="1168">
        <v>5</v>
      </c>
      <c r="Q134" s="1167">
        <f t="shared" si="9"/>
        <v>11</v>
      </c>
      <c r="R134" s="1167">
        <f t="shared" si="10"/>
        <v>33</v>
      </c>
      <c r="S134" s="1167">
        <v>0</v>
      </c>
      <c r="T134" s="1167">
        <v>3</v>
      </c>
      <c r="U134" s="1167">
        <f t="shared" si="11"/>
        <v>15</v>
      </c>
      <c r="V134" s="437" t="s">
        <v>2778</v>
      </c>
      <c r="W134" s="1168" t="s">
        <v>36</v>
      </c>
      <c r="X134" s="1169" t="s">
        <v>2264</v>
      </c>
      <c r="Y134" s="1163" t="s">
        <v>2174</v>
      </c>
      <c r="AB134" s="1146"/>
    </row>
    <row r="135" spans="3:28" ht="24.95" customHeight="1">
      <c r="C135" s="1163" t="s">
        <v>2572</v>
      </c>
      <c r="D135" s="1164"/>
      <c r="E135" s="1164" t="s">
        <v>2567</v>
      </c>
      <c r="F135" s="1164" t="s">
        <v>2170</v>
      </c>
      <c r="G135" s="1165" t="s">
        <v>2959</v>
      </c>
      <c r="H135" s="1165" t="s">
        <v>2976</v>
      </c>
      <c r="I135" s="1166">
        <v>3.1</v>
      </c>
      <c r="J135" s="1167">
        <v>3.1</v>
      </c>
      <c r="K135" s="1167">
        <v>37.200000000000003</v>
      </c>
      <c r="L135" s="1167">
        <v>37.200000000000003</v>
      </c>
      <c r="M135" s="1167">
        <v>3.5</v>
      </c>
      <c r="N135" s="1168">
        <v>10</v>
      </c>
      <c r="O135" s="1167">
        <f t="shared" si="8"/>
        <v>31</v>
      </c>
      <c r="P135" s="1168">
        <v>2</v>
      </c>
      <c r="Q135" s="1167">
        <f t="shared" si="9"/>
        <v>6.2</v>
      </c>
      <c r="R135" s="1167">
        <f t="shared" si="10"/>
        <v>37.200000000000003</v>
      </c>
      <c r="S135" s="1167">
        <v>0</v>
      </c>
      <c r="T135" s="1167">
        <v>3.5</v>
      </c>
      <c r="U135" s="1167">
        <f t="shared" si="11"/>
        <v>7</v>
      </c>
      <c r="V135" s="437" t="s">
        <v>2778</v>
      </c>
      <c r="W135" s="1168" t="s">
        <v>36</v>
      </c>
      <c r="X135" s="1169" t="s">
        <v>2264</v>
      </c>
      <c r="Y135" s="1163" t="s">
        <v>2174</v>
      </c>
      <c r="AB135" s="1146"/>
    </row>
    <row r="136" spans="3:28" ht="24.95" customHeight="1">
      <c r="C136" s="1163" t="s">
        <v>2574</v>
      </c>
      <c r="D136" s="1164"/>
      <c r="E136" s="1164" t="s">
        <v>2569</v>
      </c>
      <c r="F136" s="1164" t="s">
        <v>2170</v>
      </c>
      <c r="G136" s="1165" t="s">
        <v>2959</v>
      </c>
      <c r="H136" s="1165" t="s">
        <v>2976</v>
      </c>
      <c r="I136" s="1166">
        <v>3.9</v>
      </c>
      <c r="J136" s="1167">
        <v>3.9</v>
      </c>
      <c r="K136" s="1167">
        <v>46.8</v>
      </c>
      <c r="L136" s="1167">
        <v>46.8</v>
      </c>
      <c r="M136" s="1167">
        <v>4.5</v>
      </c>
      <c r="N136" s="1168">
        <v>0</v>
      </c>
      <c r="O136" s="1167">
        <f t="shared" si="8"/>
        <v>0</v>
      </c>
      <c r="P136" s="1168">
        <v>0</v>
      </c>
      <c r="Q136" s="1167">
        <f t="shared" si="9"/>
        <v>0</v>
      </c>
      <c r="R136" s="1167">
        <f t="shared" ref="R136:R167" si="12">O136+Q136</f>
        <v>0</v>
      </c>
      <c r="S136" s="1167">
        <v>0</v>
      </c>
      <c r="T136" s="1167">
        <v>4.5</v>
      </c>
      <c r="U136" s="1167">
        <f t="shared" ref="U136:U167" si="13">P136*T136</f>
        <v>0</v>
      </c>
      <c r="V136" s="437" t="s">
        <v>2778</v>
      </c>
      <c r="W136" s="1168" t="s">
        <v>36</v>
      </c>
      <c r="X136" s="1169" t="s">
        <v>2264</v>
      </c>
      <c r="Y136" s="1163" t="s">
        <v>2174</v>
      </c>
      <c r="AB136" s="1146"/>
    </row>
    <row r="137" spans="3:28" ht="24.95" customHeight="1">
      <c r="C137" s="1163" t="s">
        <v>2576</v>
      </c>
      <c r="D137" s="1164"/>
      <c r="E137" s="1164" t="s">
        <v>2571</v>
      </c>
      <c r="F137" s="1164" t="s">
        <v>2170</v>
      </c>
      <c r="G137" s="1165" t="s">
        <v>2959</v>
      </c>
      <c r="H137" s="1165" t="s">
        <v>2976</v>
      </c>
      <c r="I137" s="1166">
        <v>1.8</v>
      </c>
      <c r="J137" s="1167">
        <v>1.8</v>
      </c>
      <c r="K137" s="1167"/>
      <c r="L137" s="1167">
        <v>1.8</v>
      </c>
      <c r="M137" s="1167">
        <v>2.25</v>
      </c>
      <c r="N137" s="1168">
        <v>5</v>
      </c>
      <c r="O137" s="1167">
        <f t="shared" ref="O137:O200" si="14">I137*N137</f>
        <v>9</v>
      </c>
      <c r="P137" s="1168">
        <v>0</v>
      </c>
      <c r="Q137" s="1167">
        <f t="shared" ref="Q137:Q200" si="15">P137*I137</f>
        <v>0</v>
      </c>
      <c r="R137" s="1167">
        <f t="shared" si="12"/>
        <v>9</v>
      </c>
      <c r="S137" s="1167">
        <v>0</v>
      </c>
      <c r="T137" s="1167">
        <v>2.25</v>
      </c>
      <c r="U137" s="1167">
        <f t="shared" si="13"/>
        <v>0</v>
      </c>
      <c r="V137" s="437" t="s">
        <v>2939</v>
      </c>
      <c r="W137" s="1168">
        <v>1</v>
      </c>
      <c r="X137" s="1169" t="s">
        <v>2893</v>
      </c>
      <c r="Y137" s="1163" t="s">
        <v>2174</v>
      </c>
      <c r="AB137" s="1146"/>
    </row>
    <row r="138" spans="3:28" ht="24.95" customHeight="1">
      <c r="C138" s="1163" t="s">
        <v>2578</v>
      </c>
      <c r="D138" s="1164"/>
      <c r="E138" s="1164" t="s">
        <v>2573</v>
      </c>
      <c r="F138" s="1164" t="s">
        <v>2170</v>
      </c>
      <c r="G138" s="1165" t="s">
        <v>2964</v>
      </c>
      <c r="H138" s="1165" t="s">
        <v>2976</v>
      </c>
      <c r="I138" s="1166">
        <v>0.7</v>
      </c>
      <c r="J138" s="1167">
        <v>0.7</v>
      </c>
      <c r="K138" s="1167"/>
      <c r="L138" s="1167">
        <v>0.7</v>
      </c>
      <c r="M138" s="1167">
        <v>1.25</v>
      </c>
      <c r="N138" s="1168">
        <v>0</v>
      </c>
      <c r="O138" s="1167">
        <f t="shared" si="14"/>
        <v>0</v>
      </c>
      <c r="P138" s="1168">
        <v>0</v>
      </c>
      <c r="Q138" s="1167">
        <f t="shared" si="15"/>
        <v>0</v>
      </c>
      <c r="R138" s="1167">
        <f t="shared" si="12"/>
        <v>0</v>
      </c>
      <c r="S138" s="1167">
        <v>0</v>
      </c>
      <c r="T138" s="1167">
        <v>1.25</v>
      </c>
      <c r="U138" s="1167">
        <f t="shared" si="13"/>
        <v>0</v>
      </c>
      <c r="V138" s="437" t="s">
        <v>2939</v>
      </c>
      <c r="W138" s="1168">
        <v>1</v>
      </c>
      <c r="X138" s="1169" t="s">
        <v>2307</v>
      </c>
      <c r="Y138" s="1163" t="s">
        <v>2174</v>
      </c>
      <c r="AB138" s="1146"/>
    </row>
    <row r="139" spans="3:28" ht="24.95" customHeight="1">
      <c r="C139" s="1163" t="s">
        <v>2580</v>
      </c>
      <c r="D139" s="1164"/>
      <c r="E139" s="1164" t="s">
        <v>2575</v>
      </c>
      <c r="F139" s="1164" t="s">
        <v>2170</v>
      </c>
      <c r="G139" s="1165" t="s">
        <v>2964</v>
      </c>
      <c r="H139" s="1165" t="s">
        <v>2976</v>
      </c>
      <c r="I139" s="1166">
        <v>2.2000000000000002</v>
      </c>
      <c r="J139" s="1167">
        <v>2.2000000000000002</v>
      </c>
      <c r="K139" s="1167"/>
      <c r="L139" s="1167">
        <v>2.2000000000000002</v>
      </c>
      <c r="M139" s="1167">
        <v>2.75</v>
      </c>
      <c r="N139" s="1168">
        <v>0</v>
      </c>
      <c r="O139" s="1167">
        <f t="shared" si="14"/>
        <v>0</v>
      </c>
      <c r="P139" s="1168">
        <v>0</v>
      </c>
      <c r="Q139" s="1167">
        <f t="shared" si="15"/>
        <v>0</v>
      </c>
      <c r="R139" s="1167">
        <f t="shared" si="12"/>
        <v>0</v>
      </c>
      <c r="S139" s="1167">
        <v>0</v>
      </c>
      <c r="T139" s="1167">
        <v>2.75</v>
      </c>
      <c r="U139" s="1167">
        <f t="shared" si="13"/>
        <v>0</v>
      </c>
      <c r="V139" s="437" t="s">
        <v>2939</v>
      </c>
      <c r="W139" s="1168">
        <v>1</v>
      </c>
      <c r="X139" s="1169" t="s">
        <v>2307</v>
      </c>
      <c r="Y139" s="1163" t="s">
        <v>2174</v>
      </c>
      <c r="AB139" s="1146"/>
    </row>
    <row r="140" spans="3:28" ht="24.95" customHeight="1">
      <c r="C140" s="1163" t="s">
        <v>2582</v>
      </c>
      <c r="D140" s="1164"/>
      <c r="E140" s="1164" t="s">
        <v>2577</v>
      </c>
      <c r="F140" s="1164" t="s">
        <v>2170</v>
      </c>
      <c r="G140" s="1165" t="s">
        <v>2960</v>
      </c>
      <c r="H140" s="1165" t="s">
        <v>2976</v>
      </c>
      <c r="I140" s="1166">
        <v>9.5</v>
      </c>
      <c r="J140" s="1167">
        <v>9.5</v>
      </c>
      <c r="K140" s="1167"/>
      <c r="L140" s="1167">
        <v>9.5</v>
      </c>
      <c r="M140" s="1167">
        <v>10.5</v>
      </c>
      <c r="N140" s="1168">
        <v>0</v>
      </c>
      <c r="O140" s="1167">
        <f t="shared" si="14"/>
        <v>0</v>
      </c>
      <c r="P140" s="1168">
        <v>0</v>
      </c>
      <c r="Q140" s="1167">
        <f t="shared" si="15"/>
        <v>0</v>
      </c>
      <c r="R140" s="1167">
        <f t="shared" si="12"/>
        <v>0</v>
      </c>
      <c r="S140" s="1167">
        <v>0</v>
      </c>
      <c r="T140" s="1167">
        <v>10.5</v>
      </c>
      <c r="U140" s="1167">
        <f t="shared" si="13"/>
        <v>0</v>
      </c>
      <c r="V140" s="437" t="s">
        <v>2939</v>
      </c>
      <c r="W140" s="1168">
        <v>1</v>
      </c>
      <c r="X140" s="1169" t="s">
        <v>2307</v>
      </c>
      <c r="Y140" s="1163" t="s">
        <v>2174</v>
      </c>
      <c r="AB140" s="1146"/>
    </row>
    <row r="141" spans="3:28" ht="24.95" customHeight="1">
      <c r="C141" s="1163" t="s">
        <v>2584</v>
      </c>
      <c r="D141" s="1164"/>
      <c r="E141" s="1164" t="s">
        <v>2579</v>
      </c>
      <c r="F141" s="1164" t="s">
        <v>2170</v>
      </c>
      <c r="G141" s="1165" t="s">
        <v>2960</v>
      </c>
      <c r="H141" s="1165" t="s">
        <v>2976</v>
      </c>
      <c r="I141" s="1166">
        <v>1</v>
      </c>
      <c r="J141" s="1167">
        <v>1</v>
      </c>
      <c r="K141" s="1167"/>
      <c r="L141" s="1167">
        <v>1</v>
      </c>
      <c r="M141" s="1167">
        <v>1.5</v>
      </c>
      <c r="N141" s="1168">
        <v>0</v>
      </c>
      <c r="O141" s="1167">
        <f t="shared" si="14"/>
        <v>0</v>
      </c>
      <c r="P141" s="1168">
        <v>0</v>
      </c>
      <c r="Q141" s="1167">
        <f t="shared" si="15"/>
        <v>0</v>
      </c>
      <c r="R141" s="1167">
        <f t="shared" si="12"/>
        <v>0</v>
      </c>
      <c r="S141" s="1167">
        <v>0</v>
      </c>
      <c r="T141" s="1167">
        <v>1.5</v>
      </c>
      <c r="U141" s="1167">
        <f t="shared" si="13"/>
        <v>0</v>
      </c>
      <c r="V141" s="437" t="s">
        <v>2939</v>
      </c>
      <c r="W141" s="1168">
        <v>1</v>
      </c>
      <c r="X141" s="1169" t="s">
        <v>2307</v>
      </c>
      <c r="Y141" s="1163" t="s">
        <v>2174</v>
      </c>
      <c r="AB141" s="1146"/>
    </row>
    <row r="142" spans="3:28" ht="24.95" customHeight="1">
      <c r="C142" s="1163" t="s">
        <v>2586</v>
      </c>
      <c r="D142" s="1164"/>
      <c r="E142" s="1164" t="s">
        <v>2581</v>
      </c>
      <c r="F142" s="1164" t="s">
        <v>2170</v>
      </c>
      <c r="G142" s="1165" t="s">
        <v>2965</v>
      </c>
      <c r="H142" s="1165" t="s">
        <v>2976</v>
      </c>
      <c r="I142" s="1166">
        <v>0.65</v>
      </c>
      <c r="J142" s="1167">
        <v>0.65</v>
      </c>
      <c r="K142" s="1167"/>
      <c r="L142" s="1167">
        <v>0.65</v>
      </c>
      <c r="M142" s="1167">
        <v>1</v>
      </c>
      <c r="N142" s="1168">
        <v>10</v>
      </c>
      <c r="O142" s="1167">
        <f t="shared" si="14"/>
        <v>6.5</v>
      </c>
      <c r="P142" s="1168">
        <v>4</v>
      </c>
      <c r="Q142" s="1167">
        <f t="shared" si="15"/>
        <v>2.6</v>
      </c>
      <c r="R142" s="1167">
        <f t="shared" si="12"/>
        <v>9.1</v>
      </c>
      <c r="S142" s="1167">
        <v>0</v>
      </c>
      <c r="T142" s="1167">
        <v>1</v>
      </c>
      <c r="U142" s="1167">
        <f t="shared" si="13"/>
        <v>4</v>
      </c>
      <c r="V142" s="437" t="s">
        <v>2939</v>
      </c>
      <c r="W142" s="1168">
        <v>1</v>
      </c>
      <c r="X142" s="1169" t="s">
        <v>2307</v>
      </c>
      <c r="Y142" s="1163" t="s">
        <v>2174</v>
      </c>
      <c r="AB142" s="1146"/>
    </row>
    <row r="143" spans="3:28" ht="24.95" customHeight="1">
      <c r="C143" s="1163" t="s">
        <v>2588</v>
      </c>
      <c r="D143" s="1164"/>
      <c r="E143" s="1164" t="s">
        <v>2583</v>
      </c>
      <c r="F143" s="1164" t="s">
        <v>2170</v>
      </c>
      <c r="G143" s="1165" t="s">
        <v>2965</v>
      </c>
      <c r="H143" s="1165" t="s">
        <v>2976</v>
      </c>
      <c r="I143" s="1166">
        <v>0.38</v>
      </c>
      <c r="J143" s="1167">
        <v>0.38</v>
      </c>
      <c r="K143" s="1167"/>
      <c r="L143" s="1167">
        <v>0.38</v>
      </c>
      <c r="M143" s="1167">
        <v>0.75</v>
      </c>
      <c r="N143" s="1168">
        <v>1</v>
      </c>
      <c r="O143" s="1167">
        <f t="shared" si="14"/>
        <v>0.38</v>
      </c>
      <c r="P143" s="1168">
        <v>5</v>
      </c>
      <c r="Q143" s="1167">
        <f t="shared" si="15"/>
        <v>1.9</v>
      </c>
      <c r="R143" s="1167">
        <f t="shared" si="12"/>
        <v>2.2799999999999998</v>
      </c>
      <c r="S143" s="1167">
        <v>0</v>
      </c>
      <c r="T143" s="1167">
        <v>0.75</v>
      </c>
      <c r="U143" s="1167">
        <f t="shared" si="13"/>
        <v>3.75</v>
      </c>
      <c r="V143" s="437" t="s">
        <v>2939</v>
      </c>
      <c r="W143" s="1168">
        <v>1</v>
      </c>
      <c r="X143" s="1169" t="s">
        <v>2307</v>
      </c>
      <c r="Y143" s="1163" t="s">
        <v>2174</v>
      </c>
      <c r="AB143" s="1146"/>
    </row>
    <row r="144" spans="3:28" ht="24.95" customHeight="1">
      <c r="C144" s="1163" t="s">
        <v>2590</v>
      </c>
      <c r="D144" s="1164"/>
      <c r="E144" s="1164" t="s">
        <v>2585</v>
      </c>
      <c r="F144" s="1164" t="s">
        <v>2170</v>
      </c>
      <c r="G144" s="1165" t="s">
        <v>2959</v>
      </c>
      <c r="H144" s="1165" t="s">
        <v>2976</v>
      </c>
      <c r="I144" s="1166">
        <v>2.9</v>
      </c>
      <c r="J144" s="1167">
        <v>2.9</v>
      </c>
      <c r="K144" s="1167"/>
      <c r="L144" s="1167">
        <v>2.9</v>
      </c>
      <c r="M144" s="1167">
        <v>3.25</v>
      </c>
      <c r="N144" s="1168">
        <v>6</v>
      </c>
      <c r="O144" s="1167">
        <f t="shared" si="14"/>
        <v>17.399999999999999</v>
      </c>
      <c r="P144" s="1168">
        <v>1</v>
      </c>
      <c r="Q144" s="1167">
        <f t="shared" si="15"/>
        <v>2.9</v>
      </c>
      <c r="R144" s="1167">
        <f t="shared" si="12"/>
        <v>20.299999999999997</v>
      </c>
      <c r="S144" s="1167">
        <v>0</v>
      </c>
      <c r="T144" s="1167">
        <v>3.25</v>
      </c>
      <c r="U144" s="1167">
        <f t="shared" si="13"/>
        <v>3.25</v>
      </c>
      <c r="V144" s="437" t="s">
        <v>2939</v>
      </c>
      <c r="W144" s="1168">
        <v>1</v>
      </c>
      <c r="X144" s="1169" t="s">
        <v>2307</v>
      </c>
      <c r="Y144" s="1163" t="s">
        <v>2174</v>
      </c>
      <c r="AB144" s="1146"/>
    </row>
    <row r="145" spans="3:28" ht="24.95" customHeight="1">
      <c r="C145" s="1163" t="s">
        <v>2592</v>
      </c>
      <c r="D145" s="1164"/>
      <c r="E145" s="1164" t="s">
        <v>2587</v>
      </c>
      <c r="F145" s="1164" t="s">
        <v>2170</v>
      </c>
      <c r="G145" s="1165" t="s">
        <v>2959</v>
      </c>
      <c r="H145" s="1165" t="s">
        <v>2976</v>
      </c>
      <c r="I145" s="1166">
        <v>3.8</v>
      </c>
      <c r="J145" s="1167">
        <v>3.8</v>
      </c>
      <c r="K145" s="1167"/>
      <c r="L145" s="1167">
        <v>3.8</v>
      </c>
      <c r="M145" s="1167">
        <v>4.2</v>
      </c>
      <c r="N145" s="1168">
        <v>6</v>
      </c>
      <c r="O145" s="1167">
        <f t="shared" si="14"/>
        <v>22.799999999999997</v>
      </c>
      <c r="P145" s="1168">
        <v>1</v>
      </c>
      <c r="Q145" s="1167">
        <f t="shared" si="15"/>
        <v>3.8</v>
      </c>
      <c r="R145" s="1167">
        <f t="shared" si="12"/>
        <v>26.599999999999998</v>
      </c>
      <c r="S145" s="1167">
        <v>0</v>
      </c>
      <c r="T145" s="1167">
        <v>4.2</v>
      </c>
      <c r="U145" s="1167">
        <f t="shared" si="13"/>
        <v>4.2</v>
      </c>
      <c r="V145" s="437" t="s">
        <v>2939</v>
      </c>
      <c r="W145" s="1168">
        <v>1</v>
      </c>
      <c r="X145" s="1169" t="s">
        <v>2307</v>
      </c>
      <c r="Y145" s="1163" t="s">
        <v>2174</v>
      </c>
      <c r="AB145" s="1146"/>
    </row>
    <row r="146" spans="3:28" ht="24.95" customHeight="1">
      <c r="C146" s="1163" t="s">
        <v>2593</v>
      </c>
      <c r="D146" s="1164"/>
      <c r="E146" s="1164" t="s">
        <v>2589</v>
      </c>
      <c r="F146" s="1164" t="s">
        <v>2170</v>
      </c>
      <c r="G146" s="1165" t="s">
        <v>2959</v>
      </c>
      <c r="H146" s="1165" t="s">
        <v>2976</v>
      </c>
      <c r="I146" s="1166">
        <v>3.4</v>
      </c>
      <c r="J146" s="1167">
        <v>3.4</v>
      </c>
      <c r="K146" s="1167"/>
      <c r="L146" s="1167">
        <v>3.4</v>
      </c>
      <c r="M146" s="1167">
        <v>4</v>
      </c>
      <c r="N146" s="1168">
        <v>6</v>
      </c>
      <c r="O146" s="1167">
        <f t="shared" si="14"/>
        <v>20.399999999999999</v>
      </c>
      <c r="P146" s="1168">
        <v>1</v>
      </c>
      <c r="Q146" s="1167">
        <f t="shared" si="15"/>
        <v>3.4</v>
      </c>
      <c r="R146" s="1167">
        <f t="shared" si="12"/>
        <v>23.799999999999997</v>
      </c>
      <c r="S146" s="1167">
        <v>0</v>
      </c>
      <c r="T146" s="1167">
        <v>4</v>
      </c>
      <c r="U146" s="1167">
        <f t="shared" si="13"/>
        <v>4</v>
      </c>
      <c r="V146" s="437" t="s">
        <v>2939</v>
      </c>
      <c r="W146" s="1168">
        <v>1</v>
      </c>
      <c r="X146" s="1169" t="s">
        <v>2307</v>
      </c>
      <c r="Y146" s="1163" t="s">
        <v>2174</v>
      </c>
      <c r="AB146" s="1146"/>
    </row>
    <row r="147" spans="3:28" ht="24.95" customHeight="1">
      <c r="C147" s="1163" t="s">
        <v>2595</v>
      </c>
      <c r="D147" s="1164"/>
      <c r="E147" s="1164" t="s">
        <v>2591</v>
      </c>
      <c r="F147" s="1164" t="s">
        <v>2170</v>
      </c>
      <c r="G147" s="1165" t="s">
        <v>2959</v>
      </c>
      <c r="H147" s="1165" t="s">
        <v>2976</v>
      </c>
      <c r="I147" s="1166">
        <v>7.5</v>
      </c>
      <c r="J147" s="1167">
        <v>7.5</v>
      </c>
      <c r="K147" s="1167"/>
      <c r="L147" s="1167">
        <v>7.5</v>
      </c>
      <c r="M147" s="1167">
        <v>8.5</v>
      </c>
      <c r="N147" s="1168">
        <v>0</v>
      </c>
      <c r="O147" s="1167">
        <f t="shared" si="14"/>
        <v>0</v>
      </c>
      <c r="P147" s="1168">
        <v>0</v>
      </c>
      <c r="Q147" s="1167">
        <f t="shared" si="15"/>
        <v>0</v>
      </c>
      <c r="R147" s="1167">
        <f t="shared" si="12"/>
        <v>0</v>
      </c>
      <c r="S147" s="1167">
        <v>0</v>
      </c>
      <c r="T147" s="1167">
        <v>8.5</v>
      </c>
      <c r="U147" s="1167">
        <f t="shared" si="13"/>
        <v>0</v>
      </c>
      <c r="V147" s="437" t="s">
        <v>2939</v>
      </c>
      <c r="W147" s="1168">
        <v>1</v>
      </c>
      <c r="X147" s="1169" t="s">
        <v>2307</v>
      </c>
      <c r="Y147" s="1163" t="s">
        <v>2174</v>
      </c>
      <c r="AB147" s="1146"/>
    </row>
    <row r="148" spans="3:28" ht="24.95" customHeight="1">
      <c r="C148" s="1163" t="s">
        <v>2597</v>
      </c>
      <c r="D148" s="1164"/>
      <c r="E148" s="1164" t="s">
        <v>2946</v>
      </c>
      <c r="F148" s="1164" t="s">
        <v>2170</v>
      </c>
      <c r="G148" s="1165" t="s">
        <v>2962</v>
      </c>
      <c r="H148" s="1165" t="s">
        <v>2976</v>
      </c>
      <c r="I148" s="1166">
        <v>1.35</v>
      </c>
      <c r="J148" s="1167">
        <v>1.35</v>
      </c>
      <c r="K148" s="1167"/>
      <c r="L148" s="1167">
        <v>1.35</v>
      </c>
      <c r="M148" s="1167">
        <v>2</v>
      </c>
      <c r="N148" s="1168">
        <v>1</v>
      </c>
      <c r="O148" s="1167">
        <f t="shared" si="14"/>
        <v>1.35</v>
      </c>
      <c r="P148" s="1168">
        <v>4</v>
      </c>
      <c r="Q148" s="1167">
        <f t="shared" si="15"/>
        <v>5.4</v>
      </c>
      <c r="R148" s="1167">
        <f t="shared" si="12"/>
        <v>6.75</v>
      </c>
      <c r="S148" s="1167">
        <v>0</v>
      </c>
      <c r="T148" s="1167">
        <v>2</v>
      </c>
      <c r="U148" s="1167">
        <f t="shared" si="13"/>
        <v>8</v>
      </c>
      <c r="V148" s="437" t="s">
        <v>2939</v>
      </c>
      <c r="W148" s="1168">
        <v>1</v>
      </c>
      <c r="X148" s="1169" t="s">
        <v>2307</v>
      </c>
      <c r="Y148" s="1163" t="s">
        <v>2174</v>
      </c>
      <c r="AB148" s="1146"/>
    </row>
    <row r="149" spans="3:28" ht="24.95" customHeight="1">
      <c r="C149" s="1163" t="s">
        <v>2599</v>
      </c>
      <c r="D149" s="1164"/>
      <c r="E149" s="1164" t="s">
        <v>2594</v>
      </c>
      <c r="F149" s="1164" t="s">
        <v>2170</v>
      </c>
      <c r="G149" s="1165" t="s">
        <v>2965</v>
      </c>
      <c r="H149" s="1165" t="s">
        <v>2976</v>
      </c>
      <c r="I149" s="1166">
        <v>0.34</v>
      </c>
      <c r="J149" s="1167">
        <v>0.34</v>
      </c>
      <c r="K149" s="1167">
        <v>4.08</v>
      </c>
      <c r="L149" s="1167">
        <v>4.08</v>
      </c>
      <c r="M149" s="1167">
        <v>0.75</v>
      </c>
      <c r="N149" s="1168">
        <v>10</v>
      </c>
      <c r="O149" s="1167">
        <f t="shared" si="14"/>
        <v>3.4000000000000004</v>
      </c>
      <c r="P149" s="1168">
        <v>3</v>
      </c>
      <c r="Q149" s="1167">
        <f t="shared" si="15"/>
        <v>1.02</v>
      </c>
      <c r="R149" s="1167">
        <f t="shared" si="12"/>
        <v>4.42</v>
      </c>
      <c r="S149" s="1167">
        <v>0</v>
      </c>
      <c r="T149" s="1167">
        <v>0.75</v>
      </c>
      <c r="U149" s="1167">
        <f t="shared" si="13"/>
        <v>2.25</v>
      </c>
      <c r="V149" s="437" t="s">
        <v>2778</v>
      </c>
      <c r="W149" s="1168" t="s">
        <v>36</v>
      </c>
      <c r="X149" s="1169" t="s">
        <v>2264</v>
      </c>
      <c r="Y149" s="1163" t="s">
        <v>2174</v>
      </c>
      <c r="AB149" s="1146"/>
    </row>
    <row r="150" spans="3:28" ht="24.95" customHeight="1">
      <c r="C150" s="1163" t="s">
        <v>2601</v>
      </c>
      <c r="D150" s="1164"/>
      <c r="E150" s="1164" t="s">
        <v>2596</v>
      </c>
      <c r="F150" s="1164" t="s">
        <v>2170</v>
      </c>
      <c r="G150" s="1165" t="s">
        <v>2965</v>
      </c>
      <c r="H150" s="1165" t="s">
        <v>2976</v>
      </c>
      <c r="I150" s="1166">
        <v>2.9</v>
      </c>
      <c r="J150" s="1167">
        <v>2.9</v>
      </c>
      <c r="K150" s="1167">
        <v>38.799999999999997</v>
      </c>
      <c r="L150" s="1167">
        <v>38.799999999999997</v>
      </c>
      <c r="M150" s="1167">
        <v>3.5</v>
      </c>
      <c r="N150" s="1168">
        <v>7</v>
      </c>
      <c r="O150" s="1167">
        <f t="shared" si="14"/>
        <v>20.3</v>
      </c>
      <c r="P150" s="1168">
        <v>2</v>
      </c>
      <c r="Q150" s="1167">
        <f t="shared" si="15"/>
        <v>5.8</v>
      </c>
      <c r="R150" s="1167">
        <f t="shared" si="12"/>
        <v>26.1</v>
      </c>
      <c r="S150" s="1167">
        <v>0</v>
      </c>
      <c r="T150" s="1167">
        <v>3.5</v>
      </c>
      <c r="U150" s="1167">
        <f t="shared" si="13"/>
        <v>7</v>
      </c>
      <c r="V150" s="437" t="s">
        <v>2778</v>
      </c>
      <c r="W150" s="1168" t="s">
        <v>36</v>
      </c>
      <c r="X150" s="1169" t="s">
        <v>2264</v>
      </c>
      <c r="Y150" s="1163" t="s">
        <v>2174</v>
      </c>
      <c r="AB150" s="1146"/>
    </row>
    <row r="151" spans="3:28" ht="24.95" customHeight="1">
      <c r="C151" s="1163" t="s">
        <v>2603</v>
      </c>
      <c r="D151" s="1164"/>
      <c r="E151" s="1164" t="s">
        <v>2598</v>
      </c>
      <c r="F151" s="1164" t="s">
        <v>2170</v>
      </c>
      <c r="G151" s="1165" t="s">
        <v>2965</v>
      </c>
      <c r="H151" s="1165" t="s">
        <v>2976</v>
      </c>
      <c r="I151" s="1166">
        <v>0.3</v>
      </c>
      <c r="J151" s="1167">
        <v>0.3</v>
      </c>
      <c r="K151" s="1167">
        <v>15</v>
      </c>
      <c r="L151" s="1167">
        <v>15</v>
      </c>
      <c r="M151" s="1167">
        <v>0.65</v>
      </c>
      <c r="N151" s="1168">
        <v>20</v>
      </c>
      <c r="O151" s="1167">
        <f t="shared" si="14"/>
        <v>6</v>
      </c>
      <c r="P151" s="1168">
        <v>6</v>
      </c>
      <c r="Q151" s="1167">
        <f t="shared" si="15"/>
        <v>1.7999999999999998</v>
      </c>
      <c r="R151" s="1167">
        <f t="shared" si="12"/>
        <v>7.8</v>
      </c>
      <c r="S151" s="1167">
        <v>0</v>
      </c>
      <c r="T151" s="1167">
        <v>0.65</v>
      </c>
      <c r="U151" s="1167">
        <f t="shared" si="13"/>
        <v>3.9000000000000004</v>
      </c>
      <c r="V151" s="437" t="s">
        <v>2926</v>
      </c>
      <c r="W151" s="1168" t="s">
        <v>2894</v>
      </c>
      <c r="X151" s="1169" t="s">
        <v>2850</v>
      </c>
      <c r="Y151" s="1163" t="s">
        <v>2174</v>
      </c>
      <c r="AB151" s="1146"/>
    </row>
    <row r="152" spans="3:28" ht="24.95" customHeight="1">
      <c r="C152" s="1163" t="s">
        <v>2605</v>
      </c>
      <c r="D152" s="1164"/>
      <c r="E152" s="1164" t="s">
        <v>2600</v>
      </c>
      <c r="F152" s="1164" t="s">
        <v>2170</v>
      </c>
      <c r="G152" s="1165" t="s">
        <v>2965</v>
      </c>
      <c r="H152" s="1165" t="s">
        <v>2976</v>
      </c>
      <c r="I152" s="1166">
        <v>0.28999999999999998</v>
      </c>
      <c r="J152" s="1167">
        <v>0.28999999999999998</v>
      </c>
      <c r="K152" s="1167">
        <v>3.48</v>
      </c>
      <c r="L152" s="1167">
        <v>3.48</v>
      </c>
      <c r="M152" s="1167">
        <v>0.5</v>
      </c>
      <c r="N152" s="1168">
        <v>20</v>
      </c>
      <c r="O152" s="1167">
        <f t="shared" si="14"/>
        <v>5.8</v>
      </c>
      <c r="P152" s="1168">
        <v>9</v>
      </c>
      <c r="Q152" s="1167">
        <f t="shared" si="15"/>
        <v>2.61</v>
      </c>
      <c r="R152" s="1167">
        <f t="shared" si="12"/>
        <v>8.41</v>
      </c>
      <c r="S152" s="1167">
        <v>0</v>
      </c>
      <c r="T152" s="1167">
        <v>0.5</v>
      </c>
      <c r="U152" s="1167">
        <f t="shared" si="13"/>
        <v>4.5</v>
      </c>
      <c r="V152" s="437" t="s">
        <v>2778</v>
      </c>
      <c r="W152" s="1168" t="s">
        <v>36</v>
      </c>
      <c r="X152" s="1169" t="s">
        <v>2264</v>
      </c>
      <c r="Y152" s="1163" t="s">
        <v>2174</v>
      </c>
      <c r="AB152" s="1146"/>
    </row>
    <row r="153" spans="3:28" ht="24.95" customHeight="1">
      <c r="C153" s="1163" t="s">
        <v>2607</v>
      </c>
      <c r="D153" s="1164"/>
      <c r="E153" s="1164" t="s">
        <v>2602</v>
      </c>
      <c r="F153" s="1164" t="s">
        <v>2170</v>
      </c>
      <c r="G153" s="1165" t="s">
        <v>2965</v>
      </c>
      <c r="H153" s="1165" t="s">
        <v>2976</v>
      </c>
      <c r="I153" s="1166">
        <v>0.04</v>
      </c>
      <c r="J153" s="1167">
        <v>0.04</v>
      </c>
      <c r="K153" s="1167"/>
      <c r="L153" s="1167">
        <v>0.04</v>
      </c>
      <c r="M153" s="1167">
        <v>0.125</v>
      </c>
      <c r="N153" s="1168">
        <v>120</v>
      </c>
      <c r="O153" s="1167">
        <f t="shared" si="14"/>
        <v>4.8</v>
      </c>
      <c r="P153" s="1168">
        <v>30</v>
      </c>
      <c r="Q153" s="1167">
        <f t="shared" si="15"/>
        <v>1.2</v>
      </c>
      <c r="R153" s="1167">
        <f t="shared" si="12"/>
        <v>6</v>
      </c>
      <c r="S153" s="1167">
        <v>0</v>
      </c>
      <c r="T153" s="1167">
        <v>0.125</v>
      </c>
      <c r="U153" s="1167">
        <f t="shared" si="13"/>
        <v>3.75</v>
      </c>
      <c r="V153" s="437" t="s">
        <v>2939</v>
      </c>
      <c r="W153" s="1168">
        <v>1</v>
      </c>
      <c r="X153" s="1169" t="s">
        <v>2307</v>
      </c>
      <c r="Y153" s="1163" t="s">
        <v>2174</v>
      </c>
      <c r="AB153" s="1146"/>
    </row>
    <row r="154" spans="3:28" ht="24.95" customHeight="1">
      <c r="C154" s="1163" t="s">
        <v>2609</v>
      </c>
      <c r="D154" s="1164"/>
      <c r="E154" s="1164" t="s">
        <v>2604</v>
      </c>
      <c r="F154" s="1164" t="s">
        <v>2170</v>
      </c>
      <c r="G154" s="1165" t="s">
        <v>2962</v>
      </c>
      <c r="H154" s="1165" t="s">
        <v>2976</v>
      </c>
      <c r="I154" s="1166">
        <v>1</v>
      </c>
      <c r="J154" s="1167">
        <v>1</v>
      </c>
      <c r="K154" s="1167">
        <v>6</v>
      </c>
      <c r="L154" s="1167">
        <v>6</v>
      </c>
      <c r="M154" s="1167">
        <v>1.5</v>
      </c>
      <c r="N154" s="1168">
        <v>2</v>
      </c>
      <c r="O154" s="1167">
        <f t="shared" si="14"/>
        <v>2</v>
      </c>
      <c r="P154" s="1168">
        <v>3</v>
      </c>
      <c r="Q154" s="1167">
        <f t="shared" si="15"/>
        <v>3</v>
      </c>
      <c r="R154" s="1167">
        <f t="shared" si="12"/>
        <v>5</v>
      </c>
      <c r="S154" s="1167">
        <v>0</v>
      </c>
      <c r="T154" s="1167">
        <v>1.5</v>
      </c>
      <c r="U154" s="1167">
        <f t="shared" si="13"/>
        <v>4.5</v>
      </c>
      <c r="V154" s="437" t="s">
        <v>2927</v>
      </c>
      <c r="W154" s="1168" t="s">
        <v>58</v>
      </c>
      <c r="X154" s="1169" t="s">
        <v>2269</v>
      </c>
      <c r="Y154" s="1163" t="s">
        <v>2174</v>
      </c>
      <c r="AB154" s="1146"/>
    </row>
    <row r="155" spans="3:28" ht="24.95" customHeight="1">
      <c r="C155" s="1163" t="s">
        <v>2611</v>
      </c>
      <c r="D155" s="1164"/>
      <c r="E155" s="1164" t="s">
        <v>2606</v>
      </c>
      <c r="F155" s="1164" t="s">
        <v>2170</v>
      </c>
      <c r="G155" s="1165" t="s">
        <v>2965</v>
      </c>
      <c r="H155" s="1165" t="s">
        <v>2976</v>
      </c>
      <c r="I155" s="1166">
        <v>0.9</v>
      </c>
      <c r="J155" s="1167">
        <v>0.9</v>
      </c>
      <c r="K155" s="1167"/>
      <c r="L155" s="1167">
        <v>0.9</v>
      </c>
      <c r="M155" s="1167">
        <v>1.5</v>
      </c>
      <c r="N155" s="1168">
        <v>0</v>
      </c>
      <c r="O155" s="1167">
        <f t="shared" si="14"/>
        <v>0</v>
      </c>
      <c r="P155" s="1168">
        <v>0</v>
      </c>
      <c r="Q155" s="1167">
        <f t="shared" si="15"/>
        <v>0</v>
      </c>
      <c r="R155" s="1167">
        <f t="shared" si="12"/>
        <v>0</v>
      </c>
      <c r="S155" s="1167">
        <v>0</v>
      </c>
      <c r="T155" s="1167">
        <v>1.5</v>
      </c>
      <c r="U155" s="1167">
        <f t="shared" si="13"/>
        <v>0</v>
      </c>
      <c r="V155" s="437" t="s">
        <v>2939</v>
      </c>
      <c r="W155" s="1168">
        <v>1</v>
      </c>
      <c r="X155" s="1169" t="s">
        <v>2307</v>
      </c>
      <c r="Y155" s="1163" t="s">
        <v>2174</v>
      </c>
      <c r="AB155" s="1146"/>
    </row>
    <row r="156" spans="3:28" ht="24.95" customHeight="1">
      <c r="C156" s="1163" t="s">
        <v>2614</v>
      </c>
      <c r="D156" s="1164"/>
      <c r="E156" s="1164" t="s">
        <v>2608</v>
      </c>
      <c r="F156" s="1164" t="s">
        <v>2170</v>
      </c>
      <c r="G156" s="1165" t="s">
        <v>2966</v>
      </c>
      <c r="H156" s="1165" t="s">
        <v>2976</v>
      </c>
      <c r="I156" s="1166">
        <v>0.4</v>
      </c>
      <c r="J156" s="1167">
        <v>0.4</v>
      </c>
      <c r="K156" s="1167">
        <v>4.8</v>
      </c>
      <c r="L156" s="1167">
        <v>4.8</v>
      </c>
      <c r="M156" s="1167">
        <v>0.5</v>
      </c>
      <c r="N156" s="1168">
        <v>2</v>
      </c>
      <c r="O156" s="1167">
        <f t="shared" si="14"/>
        <v>0.8</v>
      </c>
      <c r="P156" s="1168">
        <v>8</v>
      </c>
      <c r="Q156" s="1167">
        <f t="shared" si="15"/>
        <v>3.2</v>
      </c>
      <c r="R156" s="1167">
        <f t="shared" si="12"/>
        <v>4</v>
      </c>
      <c r="S156" s="1167">
        <v>0</v>
      </c>
      <c r="T156" s="1167">
        <v>0.5</v>
      </c>
      <c r="U156" s="1167">
        <f t="shared" si="13"/>
        <v>4</v>
      </c>
      <c r="V156" s="437" t="s">
        <v>2928</v>
      </c>
      <c r="W156" s="1168" t="s">
        <v>36</v>
      </c>
      <c r="X156" s="1169" t="s">
        <v>2729</v>
      </c>
      <c r="Y156" s="1163" t="s">
        <v>2174</v>
      </c>
      <c r="AB156" s="1146"/>
    </row>
    <row r="157" spans="3:28" ht="24.95" customHeight="1">
      <c r="C157" s="1163" t="s">
        <v>2616</v>
      </c>
      <c r="D157" s="1164"/>
      <c r="E157" s="1164" t="s">
        <v>2610</v>
      </c>
      <c r="F157" s="1164" t="s">
        <v>2170</v>
      </c>
      <c r="G157" s="1165" t="s">
        <v>2966</v>
      </c>
      <c r="H157" s="1165" t="s">
        <v>2976</v>
      </c>
      <c r="I157" s="1166">
        <v>0.125</v>
      </c>
      <c r="J157" s="1167">
        <v>0.125</v>
      </c>
      <c r="K157" s="1167">
        <v>1.56</v>
      </c>
      <c r="L157" s="1167">
        <v>1.56</v>
      </c>
      <c r="M157" s="1167">
        <v>0.25</v>
      </c>
      <c r="N157" s="1168">
        <v>2</v>
      </c>
      <c r="O157" s="1167">
        <f t="shared" si="14"/>
        <v>0.25</v>
      </c>
      <c r="P157" s="1168">
        <v>10</v>
      </c>
      <c r="Q157" s="1167">
        <f t="shared" si="15"/>
        <v>1.25</v>
      </c>
      <c r="R157" s="1167">
        <f t="shared" si="12"/>
        <v>1.5</v>
      </c>
      <c r="S157" s="1167">
        <v>0</v>
      </c>
      <c r="T157" s="1167">
        <v>0.25</v>
      </c>
      <c r="U157" s="1167">
        <f t="shared" si="13"/>
        <v>2.5</v>
      </c>
      <c r="V157" s="437" t="s">
        <v>2928</v>
      </c>
      <c r="W157" s="1168" t="s">
        <v>36</v>
      </c>
      <c r="X157" s="1169" t="s">
        <v>2729</v>
      </c>
      <c r="Y157" s="1163" t="s">
        <v>2174</v>
      </c>
      <c r="AB157" s="1146"/>
    </row>
    <row r="158" spans="3:28" ht="24.95" customHeight="1">
      <c r="C158" s="1163" t="s">
        <v>2948</v>
      </c>
      <c r="D158" s="1164"/>
      <c r="E158" s="1164" t="s">
        <v>2612</v>
      </c>
      <c r="F158" s="1164" t="s">
        <v>2613</v>
      </c>
      <c r="G158" s="1165" t="s">
        <v>2967</v>
      </c>
      <c r="H158" s="1165" t="s">
        <v>2977</v>
      </c>
      <c r="I158" s="1166">
        <v>49</v>
      </c>
      <c r="J158" s="1167">
        <v>49</v>
      </c>
      <c r="K158" s="1167"/>
      <c r="L158" s="1167">
        <v>49</v>
      </c>
      <c r="M158" s="1167">
        <v>52</v>
      </c>
      <c r="N158" s="1168">
        <v>0</v>
      </c>
      <c r="O158" s="1167">
        <f t="shared" si="14"/>
        <v>0</v>
      </c>
      <c r="P158" s="1168">
        <v>0</v>
      </c>
      <c r="Q158" s="1167">
        <f t="shared" si="15"/>
        <v>0</v>
      </c>
      <c r="R158" s="1167">
        <f t="shared" si="12"/>
        <v>0</v>
      </c>
      <c r="S158" s="1167">
        <v>0</v>
      </c>
      <c r="T158" s="1167">
        <v>52</v>
      </c>
      <c r="U158" s="1167">
        <f t="shared" si="13"/>
        <v>0</v>
      </c>
      <c r="V158" s="437" t="s">
        <v>2929</v>
      </c>
      <c r="W158" s="1168">
        <v>1</v>
      </c>
      <c r="X158" s="1169" t="s">
        <v>2840</v>
      </c>
      <c r="Y158" s="1163" t="s">
        <v>2309</v>
      </c>
      <c r="AB158" s="1146"/>
    </row>
    <row r="159" spans="3:28" ht="24.95" customHeight="1">
      <c r="C159" s="1163" t="s">
        <v>2619</v>
      </c>
      <c r="D159" s="1164"/>
      <c r="E159" s="1164" t="s">
        <v>2615</v>
      </c>
      <c r="F159" s="1164" t="s">
        <v>2613</v>
      </c>
      <c r="G159" s="1165" t="s">
        <v>2967</v>
      </c>
      <c r="H159" s="1165" t="s">
        <v>2977</v>
      </c>
      <c r="I159" s="1166">
        <v>11.25</v>
      </c>
      <c r="J159" s="1167">
        <v>11.25</v>
      </c>
      <c r="K159" s="1167">
        <v>45</v>
      </c>
      <c r="L159" s="1167">
        <v>45</v>
      </c>
      <c r="M159" s="1167">
        <v>11.5</v>
      </c>
      <c r="N159" s="1168">
        <v>8</v>
      </c>
      <c r="O159" s="1167">
        <f t="shared" si="14"/>
        <v>90</v>
      </c>
      <c r="P159" s="1168">
        <v>3</v>
      </c>
      <c r="Q159" s="1167">
        <f t="shared" si="15"/>
        <v>33.75</v>
      </c>
      <c r="R159" s="1167">
        <f t="shared" si="12"/>
        <v>123.75</v>
      </c>
      <c r="S159" s="1167">
        <v>0</v>
      </c>
      <c r="T159" s="1167">
        <v>11.5</v>
      </c>
      <c r="U159" s="1167">
        <f t="shared" si="13"/>
        <v>34.5</v>
      </c>
      <c r="V159" s="437" t="s">
        <v>2930</v>
      </c>
      <c r="W159" s="1168" t="s">
        <v>56</v>
      </c>
      <c r="X159" s="1169" t="s">
        <v>2849</v>
      </c>
      <c r="Y159" s="1163" t="s">
        <v>2309</v>
      </c>
      <c r="AB159" s="1146"/>
    </row>
    <row r="160" spans="3:28" ht="24.95" customHeight="1">
      <c r="C160" s="1163" t="s">
        <v>2621</v>
      </c>
      <c r="D160" s="1164"/>
      <c r="E160" s="1164" t="s">
        <v>2617</v>
      </c>
      <c r="F160" s="1164" t="s">
        <v>2613</v>
      </c>
      <c r="G160" s="1165" t="s">
        <v>2967</v>
      </c>
      <c r="H160" s="1165" t="s">
        <v>2977</v>
      </c>
      <c r="I160" s="1166">
        <v>3.3</v>
      </c>
      <c r="J160" s="1167">
        <v>3.3</v>
      </c>
      <c r="K160" s="1167">
        <v>39.6</v>
      </c>
      <c r="L160" s="1167">
        <v>39.6</v>
      </c>
      <c r="M160" s="1167">
        <v>3.75</v>
      </c>
      <c r="N160" s="1168">
        <v>12</v>
      </c>
      <c r="O160" s="1167">
        <f t="shared" si="14"/>
        <v>39.599999999999994</v>
      </c>
      <c r="P160" s="1168">
        <v>2</v>
      </c>
      <c r="Q160" s="1167">
        <f>P160*I160</f>
        <v>6.6</v>
      </c>
      <c r="R160" s="1167">
        <f t="shared" si="12"/>
        <v>46.199999999999996</v>
      </c>
      <c r="S160" s="1167">
        <v>0</v>
      </c>
      <c r="T160" s="1167">
        <v>3.75</v>
      </c>
      <c r="U160" s="1167">
        <f t="shared" si="13"/>
        <v>7.5</v>
      </c>
      <c r="V160" s="437" t="s">
        <v>2931</v>
      </c>
      <c r="W160" s="1168" t="s">
        <v>36</v>
      </c>
      <c r="X160" s="1169" t="s">
        <v>2841</v>
      </c>
      <c r="Y160" s="1163" t="s">
        <v>2309</v>
      </c>
      <c r="AB160" s="1146"/>
    </row>
    <row r="161" spans="3:28" ht="24.95" customHeight="1">
      <c r="C161" s="1163" t="s">
        <v>2623</v>
      </c>
      <c r="D161" s="1164"/>
      <c r="E161" s="1164" t="s">
        <v>2618</v>
      </c>
      <c r="F161" s="1164" t="s">
        <v>2613</v>
      </c>
      <c r="G161" s="1165" t="s">
        <v>2967</v>
      </c>
      <c r="H161" s="1165" t="s">
        <v>2977</v>
      </c>
      <c r="I161" s="1166">
        <v>66</v>
      </c>
      <c r="J161" s="1167">
        <v>66</v>
      </c>
      <c r="K161" s="1167"/>
      <c r="L161" s="1167">
        <v>66</v>
      </c>
      <c r="M161" s="1167">
        <v>68</v>
      </c>
      <c r="N161" s="1168">
        <v>0</v>
      </c>
      <c r="O161" s="1167">
        <f t="shared" si="14"/>
        <v>0</v>
      </c>
      <c r="P161" s="1168">
        <v>0</v>
      </c>
      <c r="Q161" s="1167">
        <f t="shared" si="15"/>
        <v>0</v>
      </c>
      <c r="R161" s="1167">
        <f t="shared" si="12"/>
        <v>0</v>
      </c>
      <c r="S161" s="1167">
        <v>0</v>
      </c>
      <c r="T161" s="1167">
        <v>68</v>
      </c>
      <c r="U161" s="1167">
        <f t="shared" si="13"/>
        <v>0</v>
      </c>
      <c r="V161" s="437" t="s">
        <v>2932</v>
      </c>
      <c r="W161" s="1168">
        <v>1</v>
      </c>
      <c r="X161" s="1169" t="s">
        <v>2839</v>
      </c>
      <c r="Y161" s="1163" t="s">
        <v>2309</v>
      </c>
      <c r="AB161" s="1146"/>
    </row>
    <row r="162" spans="3:28" ht="24.95" customHeight="1">
      <c r="C162" s="1163" t="s">
        <v>2625</v>
      </c>
      <c r="D162" s="1164"/>
      <c r="E162" s="1164" t="s">
        <v>2620</v>
      </c>
      <c r="F162" s="1164" t="s">
        <v>2613</v>
      </c>
      <c r="G162" s="1165" t="s">
        <v>2967</v>
      </c>
      <c r="H162" s="1165" t="s">
        <v>2977</v>
      </c>
      <c r="I162" s="1166">
        <v>14.5</v>
      </c>
      <c r="J162" s="1167">
        <v>14.5</v>
      </c>
      <c r="K162" s="1167">
        <v>58</v>
      </c>
      <c r="L162" s="1167">
        <v>58</v>
      </c>
      <c r="M162" s="1167">
        <v>15</v>
      </c>
      <c r="N162" s="1168">
        <v>20</v>
      </c>
      <c r="O162" s="1167">
        <f t="shared" si="14"/>
        <v>290</v>
      </c>
      <c r="P162" s="1168">
        <v>3</v>
      </c>
      <c r="Q162" s="1167">
        <f t="shared" si="15"/>
        <v>43.5</v>
      </c>
      <c r="R162" s="1167">
        <f t="shared" si="12"/>
        <v>333.5</v>
      </c>
      <c r="S162" s="1167">
        <v>0</v>
      </c>
      <c r="T162" s="1167">
        <v>15</v>
      </c>
      <c r="U162" s="1167">
        <f t="shared" si="13"/>
        <v>45</v>
      </c>
      <c r="V162" s="437" t="s">
        <v>2933</v>
      </c>
      <c r="W162" s="1168" t="s">
        <v>56</v>
      </c>
      <c r="X162" s="1169" t="s">
        <v>2849</v>
      </c>
      <c r="Y162" s="1163" t="s">
        <v>2309</v>
      </c>
      <c r="AB162" s="1146"/>
    </row>
    <row r="163" spans="3:28" ht="24.95" customHeight="1">
      <c r="C163" s="1163" t="s">
        <v>2627</v>
      </c>
      <c r="D163" s="1164"/>
      <c r="E163" s="1164" t="s">
        <v>2624</v>
      </c>
      <c r="F163" s="1164" t="s">
        <v>2613</v>
      </c>
      <c r="G163" s="1165" t="s">
        <v>2967</v>
      </c>
      <c r="H163" s="1165" t="s">
        <v>2977</v>
      </c>
      <c r="I163" s="1166">
        <v>4.41</v>
      </c>
      <c r="J163" s="1167">
        <v>4.41</v>
      </c>
      <c r="K163" s="1167">
        <v>52.92</v>
      </c>
      <c r="L163" s="1167">
        <v>52.92</v>
      </c>
      <c r="M163" s="1167">
        <v>4.8</v>
      </c>
      <c r="N163" s="1168">
        <v>30</v>
      </c>
      <c r="O163" s="1167">
        <f t="shared" si="14"/>
        <v>132.30000000000001</v>
      </c>
      <c r="P163" s="1168">
        <v>5</v>
      </c>
      <c r="Q163" s="1167">
        <f t="shared" si="15"/>
        <v>22.05</v>
      </c>
      <c r="R163" s="1167">
        <f t="shared" si="12"/>
        <v>154.35000000000002</v>
      </c>
      <c r="S163" s="1167">
        <v>0</v>
      </c>
      <c r="T163" s="1167">
        <v>4.8</v>
      </c>
      <c r="U163" s="1167">
        <f t="shared" si="13"/>
        <v>24</v>
      </c>
      <c r="V163" s="437" t="s">
        <v>2934</v>
      </c>
      <c r="W163" s="1168" t="s">
        <v>36</v>
      </c>
      <c r="X163" s="1169" t="s">
        <v>2841</v>
      </c>
      <c r="Y163" s="1163" t="s">
        <v>2309</v>
      </c>
      <c r="AB163" s="1146"/>
    </row>
    <row r="164" spans="3:28" ht="24.95" customHeight="1">
      <c r="C164" s="1163" t="s">
        <v>2629</v>
      </c>
      <c r="D164" s="1164"/>
      <c r="E164" s="1164" t="s">
        <v>2622</v>
      </c>
      <c r="F164" s="1164" t="s">
        <v>2613</v>
      </c>
      <c r="G164" s="1165" t="s">
        <v>2967</v>
      </c>
      <c r="H164" s="1165" t="s">
        <v>2977</v>
      </c>
      <c r="I164" s="1166">
        <v>1.75</v>
      </c>
      <c r="J164" s="1167">
        <v>1.75</v>
      </c>
      <c r="K164" s="1167">
        <v>21</v>
      </c>
      <c r="L164" s="1167">
        <v>21</v>
      </c>
      <c r="M164" s="1167">
        <v>2</v>
      </c>
      <c r="N164" s="1168">
        <v>0</v>
      </c>
      <c r="O164" s="1167">
        <f t="shared" si="14"/>
        <v>0</v>
      </c>
      <c r="P164" s="1168">
        <v>0</v>
      </c>
      <c r="Q164" s="1167">
        <f t="shared" si="15"/>
        <v>0</v>
      </c>
      <c r="R164" s="1167">
        <f t="shared" si="12"/>
        <v>0</v>
      </c>
      <c r="S164" s="1167">
        <v>0</v>
      </c>
      <c r="T164" s="1167">
        <v>2</v>
      </c>
      <c r="U164" s="1167">
        <f t="shared" si="13"/>
        <v>0</v>
      </c>
      <c r="V164" s="437" t="s">
        <v>2934</v>
      </c>
      <c r="W164" s="1168" t="s">
        <v>36</v>
      </c>
      <c r="X164" s="1169" t="s">
        <v>2841</v>
      </c>
      <c r="Y164" s="1163" t="s">
        <v>2309</v>
      </c>
      <c r="AB164" s="1146"/>
    </row>
    <row r="165" spans="3:28" ht="24.95" customHeight="1">
      <c r="C165" s="1163" t="s">
        <v>2631</v>
      </c>
      <c r="D165" s="1164"/>
      <c r="E165" s="1164" t="s">
        <v>2626</v>
      </c>
      <c r="F165" s="1164" t="s">
        <v>2613</v>
      </c>
      <c r="G165" s="1165" t="s">
        <v>2967</v>
      </c>
      <c r="H165" s="1165" t="s">
        <v>2977</v>
      </c>
      <c r="I165" s="1166">
        <v>53</v>
      </c>
      <c r="J165" s="1167">
        <v>53</v>
      </c>
      <c r="K165" s="1167"/>
      <c r="L165" s="1167">
        <v>53</v>
      </c>
      <c r="M165" s="1167">
        <v>55</v>
      </c>
      <c r="N165" s="1168">
        <v>0</v>
      </c>
      <c r="O165" s="1167">
        <f t="shared" si="14"/>
        <v>0</v>
      </c>
      <c r="P165" s="1168">
        <v>0</v>
      </c>
      <c r="Q165" s="1167">
        <f t="shared" si="15"/>
        <v>0</v>
      </c>
      <c r="R165" s="1167">
        <f t="shared" si="12"/>
        <v>0</v>
      </c>
      <c r="S165" s="1167">
        <v>0</v>
      </c>
      <c r="T165" s="1167">
        <v>55</v>
      </c>
      <c r="U165" s="1167">
        <f t="shared" si="13"/>
        <v>0</v>
      </c>
      <c r="V165" s="437" t="s">
        <v>2932</v>
      </c>
      <c r="W165" s="1168">
        <v>1</v>
      </c>
      <c r="X165" s="1169" t="s">
        <v>2839</v>
      </c>
      <c r="Y165" s="1163" t="s">
        <v>2309</v>
      </c>
      <c r="AB165" s="1146"/>
    </row>
    <row r="166" spans="3:28" ht="24.95" customHeight="1">
      <c r="C166" s="1163" t="s">
        <v>2633</v>
      </c>
      <c r="D166" s="1164"/>
      <c r="E166" s="1164" t="s">
        <v>2628</v>
      </c>
      <c r="F166" s="1164" t="s">
        <v>2613</v>
      </c>
      <c r="G166" s="1165" t="s">
        <v>2967</v>
      </c>
      <c r="H166" s="1165" t="s">
        <v>2977</v>
      </c>
      <c r="I166" s="1166">
        <v>49</v>
      </c>
      <c r="J166" s="1167">
        <v>49</v>
      </c>
      <c r="K166" s="1167"/>
      <c r="L166" s="1167">
        <v>49</v>
      </c>
      <c r="M166" s="1167">
        <v>52</v>
      </c>
      <c r="N166" s="1168">
        <v>0</v>
      </c>
      <c r="O166" s="1167">
        <f t="shared" si="14"/>
        <v>0</v>
      </c>
      <c r="P166" s="1168">
        <v>0</v>
      </c>
      <c r="Q166" s="1167">
        <f t="shared" si="15"/>
        <v>0</v>
      </c>
      <c r="R166" s="1167">
        <f t="shared" si="12"/>
        <v>0</v>
      </c>
      <c r="S166" s="1167">
        <v>0</v>
      </c>
      <c r="T166" s="1167">
        <v>52</v>
      </c>
      <c r="U166" s="1167">
        <f t="shared" si="13"/>
        <v>0</v>
      </c>
      <c r="V166" s="437" t="s">
        <v>2932</v>
      </c>
      <c r="W166" s="1168">
        <v>1</v>
      </c>
      <c r="X166" s="1169" t="s">
        <v>2839</v>
      </c>
      <c r="Y166" s="1163" t="s">
        <v>2309</v>
      </c>
      <c r="AB166" s="1146"/>
    </row>
    <row r="167" spans="3:28" ht="24.95" customHeight="1">
      <c r="C167" s="1163" t="s">
        <v>2635</v>
      </c>
      <c r="D167" s="1164"/>
      <c r="E167" s="1164" t="s">
        <v>2630</v>
      </c>
      <c r="F167" s="1164" t="s">
        <v>2613</v>
      </c>
      <c r="G167" s="1165" t="s">
        <v>2967</v>
      </c>
      <c r="H167" s="1165" t="s">
        <v>2977</v>
      </c>
      <c r="I167" s="1166">
        <v>11.75</v>
      </c>
      <c r="J167" s="1167">
        <v>11.75</v>
      </c>
      <c r="K167" s="1167">
        <v>47</v>
      </c>
      <c r="L167" s="1167">
        <v>47</v>
      </c>
      <c r="M167" s="1167">
        <v>12</v>
      </c>
      <c r="N167" s="1168">
        <v>4</v>
      </c>
      <c r="O167" s="1167">
        <f t="shared" si="14"/>
        <v>47</v>
      </c>
      <c r="P167" s="1168">
        <v>2</v>
      </c>
      <c r="Q167" s="1167">
        <f t="shared" si="15"/>
        <v>23.5</v>
      </c>
      <c r="R167" s="1167">
        <f t="shared" si="12"/>
        <v>70.5</v>
      </c>
      <c r="S167" s="1167">
        <v>0</v>
      </c>
      <c r="T167" s="1167">
        <v>12</v>
      </c>
      <c r="U167" s="1167">
        <f t="shared" si="13"/>
        <v>24</v>
      </c>
      <c r="V167" s="437" t="s">
        <v>2933</v>
      </c>
      <c r="W167" s="1168" t="s">
        <v>56</v>
      </c>
      <c r="X167" s="1169" t="s">
        <v>2849</v>
      </c>
      <c r="Y167" s="1163" t="s">
        <v>2309</v>
      </c>
      <c r="AB167" s="1146"/>
    </row>
    <row r="168" spans="3:28" ht="24.95" customHeight="1">
      <c r="C168" s="1163" t="s">
        <v>2637</v>
      </c>
      <c r="D168" s="1164"/>
      <c r="E168" s="1164" t="s">
        <v>2632</v>
      </c>
      <c r="F168" s="1164" t="s">
        <v>2613</v>
      </c>
      <c r="G168" s="1165" t="s">
        <v>2967</v>
      </c>
      <c r="H168" s="1165" t="s">
        <v>2977</v>
      </c>
      <c r="I168" s="1166">
        <v>3.6</v>
      </c>
      <c r="J168" s="1167">
        <v>3.6</v>
      </c>
      <c r="K168" s="1167">
        <v>43.2</v>
      </c>
      <c r="L168" s="1167">
        <v>43.2</v>
      </c>
      <c r="M168" s="1167">
        <v>4</v>
      </c>
      <c r="N168" s="1168">
        <v>4</v>
      </c>
      <c r="O168" s="1167">
        <f t="shared" si="14"/>
        <v>14.4</v>
      </c>
      <c r="P168" s="1168">
        <v>0</v>
      </c>
      <c r="Q168" s="1167">
        <f t="shared" si="15"/>
        <v>0</v>
      </c>
      <c r="R168" s="1167">
        <f t="shared" ref="R168:R199" si="16">O168+Q168</f>
        <v>14.4</v>
      </c>
      <c r="S168" s="1167">
        <v>0</v>
      </c>
      <c r="T168" s="1167">
        <v>4</v>
      </c>
      <c r="U168" s="1167">
        <f t="shared" ref="U168:U199" si="17">P168*T168</f>
        <v>0</v>
      </c>
      <c r="V168" s="437" t="s">
        <v>2934</v>
      </c>
      <c r="W168" s="1168" t="s">
        <v>36</v>
      </c>
      <c r="X168" s="1169" t="s">
        <v>2841</v>
      </c>
      <c r="Y168" s="1163" t="s">
        <v>2309</v>
      </c>
      <c r="AB168" s="1146"/>
    </row>
    <row r="169" spans="3:28" ht="24.95" customHeight="1">
      <c r="C169" s="1163" t="s">
        <v>2639</v>
      </c>
      <c r="D169" s="1164"/>
      <c r="E169" s="1164" t="s">
        <v>2634</v>
      </c>
      <c r="F169" s="1164" t="s">
        <v>2613</v>
      </c>
      <c r="G169" s="1165" t="s">
        <v>2967</v>
      </c>
      <c r="H169" s="1165" t="s">
        <v>2977</v>
      </c>
      <c r="I169" s="1166">
        <v>53</v>
      </c>
      <c r="J169" s="1167">
        <v>53</v>
      </c>
      <c r="K169" s="1167"/>
      <c r="L169" s="1167">
        <v>53</v>
      </c>
      <c r="M169" s="1167">
        <v>55</v>
      </c>
      <c r="N169" s="1168">
        <v>3</v>
      </c>
      <c r="O169" s="1167">
        <f t="shared" si="14"/>
        <v>159</v>
      </c>
      <c r="P169" s="1168">
        <v>2</v>
      </c>
      <c r="Q169" s="1167">
        <f t="shared" si="15"/>
        <v>106</v>
      </c>
      <c r="R169" s="1167">
        <f t="shared" si="16"/>
        <v>265</v>
      </c>
      <c r="S169" s="1167">
        <v>0</v>
      </c>
      <c r="T169" s="1167">
        <v>55</v>
      </c>
      <c r="U169" s="1167">
        <f t="shared" si="17"/>
        <v>110</v>
      </c>
      <c r="V169" s="437" t="s">
        <v>2932</v>
      </c>
      <c r="W169" s="1168">
        <v>1</v>
      </c>
      <c r="X169" s="1169" t="s">
        <v>2839</v>
      </c>
      <c r="Y169" s="1163" t="s">
        <v>2309</v>
      </c>
      <c r="AB169" s="1146"/>
    </row>
    <row r="170" spans="3:28" ht="24.95" customHeight="1">
      <c r="C170" s="1163" t="s">
        <v>2641</v>
      </c>
      <c r="D170" s="1164"/>
      <c r="E170" s="1164" t="s">
        <v>2636</v>
      </c>
      <c r="F170" s="1164" t="s">
        <v>2613</v>
      </c>
      <c r="G170" s="1165" t="s">
        <v>2967</v>
      </c>
      <c r="H170" s="1165" t="s">
        <v>2977</v>
      </c>
      <c r="I170" s="1166">
        <v>12.75</v>
      </c>
      <c r="J170" s="1167">
        <v>12.75</v>
      </c>
      <c r="K170" s="1167">
        <v>51</v>
      </c>
      <c r="L170" s="1167">
        <v>51</v>
      </c>
      <c r="M170" s="1167">
        <v>13.25</v>
      </c>
      <c r="N170" s="1168">
        <v>4</v>
      </c>
      <c r="O170" s="1167">
        <f t="shared" si="14"/>
        <v>51</v>
      </c>
      <c r="P170" s="1168">
        <v>2</v>
      </c>
      <c r="Q170" s="1167">
        <f t="shared" si="15"/>
        <v>25.5</v>
      </c>
      <c r="R170" s="1167">
        <f t="shared" si="16"/>
        <v>76.5</v>
      </c>
      <c r="S170" s="1167">
        <v>0</v>
      </c>
      <c r="T170" s="1167">
        <v>13.25</v>
      </c>
      <c r="U170" s="1167">
        <f t="shared" si="17"/>
        <v>26.5</v>
      </c>
      <c r="V170" s="437" t="s">
        <v>2933</v>
      </c>
      <c r="W170" s="1168" t="s">
        <v>56</v>
      </c>
      <c r="X170" s="1169" t="s">
        <v>2849</v>
      </c>
      <c r="Y170" s="1163" t="s">
        <v>2309</v>
      </c>
      <c r="AB170" s="1146"/>
    </row>
    <row r="171" spans="3:28" ht="24.95" customHeight="1">
      <c r="C171" s="1163" t="s">
        <v>2642</v>
      </c>
      <c r="D171" s="1164"/>
      <c r="E171" s="1164" t="s">
        <v>2638</v>
      </c>
      <c r="F171" s="1164" t="s">
        <v>2613</v>
      </c>
      <c r="G171" s="1165" t="s">
        <v>2967</v>
      </c>
      <c r="H171" s="1165" t="s">
        <v>2977</v>
      </c>
      <c r="I171" s="1166">
        <v>88</v>
      </c>
      <c r="J171" s="1167">
        <v>88</v>
      </c>
      <c r="K171" s="1167"/>
      <c r="L171" s="1167">
        <v>88</v>
      </c>
      <c r="M171" s="1167">
        <v>90</v>
      </c>
      <c r="N171" s="1168">
        <v>0</v>
      </c>
      <c r="O171" s="1167">
        <f t="shared" si="14"/>
        <v>0</v>
      </c>
      <c r="P171" s="1168">
        <v>0</v>
      </c>
      <c r="Q171" s="1167">
        <f t="shared" si="15"/>
        <v>0</v>
      </c>
      <c r="R171" s="1167">
        <f t="shared" si="16"/>
        <v>0</v>
      </c>
      <c r="S171" s="1167">
        <v>0</v>
      </c>
      <c r="T171" s="1167">
        <v>90</v>
      </c>
      <c r="U171" s="1167">
        <f t="shared" si="17"/>
        <v>0</v>
      </c>
      <c r="V171" s="437" t="s">
        <v>2932</v>
      </c>
      <c r="W171" s="1168">
        <v>1</v>
      </c>
      <c r="X171" s="1169" t="s">
        <v>2839</v>
      </c>
      <c r="Y171" s="1163" t="s">
        <v>2309</v>
      </c>
      <c r="AB171" s="1146"/>
    </row>
    <row r="172" spans="3:28" ht="24.95" customHeight="1">
      <c r="C172" s="1163" t="s">
        <v>2643</v>
      </c>
      <c r="D172" s="1164"/>
      <c r="E172" s="1164" t="s">
        <v>2640</v>
      </c>
      <c r="F172" s="1164" t="s">
        <v>2613</v>
      </c>
      <c r="G172" s="1165" t="s">
        <v>2967</v>
      </c>
      <c r="H172" s="1165" t="s">
        <v>2977</v>
      </c>
      <c r="I172" s="1166">
        <v>20.25</v>
      </c>
      <c r="J172" s="1167">
        <v>20.25</v>
      </c>
      <c r="K172" s="1167">
        <v>81</v>
      </c>
      <c r="L172" s="1167">
        <v>81</v>
      </c>
      <c r="M172" s="1167">
        <v>21.25</v>
      </c>
      <c r="N172" s="1168">
        <v>2</v>
      </c>
      <c r="O172" s="1167">
        <f t="shared" si="14"/>
        <v>40.5</v>
      </c>
      <c r="P172" s="1168">
        <v>0</v>
      </c>
      <c r="Q172" s="1167">
        <f t="shared" si="15"/>
        <v>0</v>
      </c>
      <c r="R172" s="1167">
        <f t="shared" si="16"/>
        <v>40.5</v>
      </c>
      <c r="S172" s="1167">
        <v>0</v>
      </c>
      <c r="T172" s="1167">
        <v>21.25</v>
      </c>
      <c r="U172" s="1167">
        <f t="shared" si="17"/>
        <v>0</v>
      </c>
      <c r="V172" s="437" t="s">
        <v>2933</v>
      </c>
      <c r="W172" s="1168" t="s">
        <v>56</v>
      </c>
      <c r="X172" s="1169" t="s">
        <v>2849</v>
      </c>
      <c r="Y172" s="1163" t="s">
        <v>2309</v>
      </c>
      <c r="AB172" s="1146"/>
    </row>
    <row r="173" spans="3:28" ht="24.95" customHeight="1">
      <c r="C173" s="1163" t="s">
        <v>2644</v>
      </c>
      <c r="D173" s="1164"/>
      <c r="E173" s="1164" t="s">
        <v>2941</v>
      </c>
      <c r="F173" s="1164" t="s">
        <v>2613</v>
      </c>
      <c r="G173" s="1165" t="s">
        <v>2968</v>
      </c>
      <c r="H173" s="1165" t="s">
        <v>2976</v>
      </c>
      <c r="I173" s="1166">
        <v>0.75</v>
      </c>
      <c r="J173" s="1167">
        <v>0.75</v>
      </c>
      <c r="K173" s="1167"/>
      <c r="L173" s="1167">
        <v>0.75</v>
      </c>
      <c r="M173" s="1167">
        <v>1</v>
      </c>
      <c r="N173" s="1168">
        <v>2</v>
      </c>
      <c r="O173" s="1167">
        <f t="shared" si="14"/>
        <v>1.5</v>
      </c>
      <c r="P173" s="1168">
        <v>5</v>
      </c>
      <c r="Q173" s="1167">
        <f t="shared" si="15"/>
        <v>3.75</v>
      </c>
      <c r="R173" s="1167">
        <f t="shared" si="16"/>
        <v>5.25</v>
      </c>
      <c r="S173" s="1167">
        <v>0</v>
      </c>
      <c r="T173" s="1167">
        <v>1</v>
      </c>
      <c r="U173" s="1167">
        <f t="shared" si="17"/>
        <v>5</v>
      </c>
      <c r="V173" s="437" t="s">
        <v>2939</v>
      </c>
      <c r="W173" s="1168">
        <v>1</v>
      </c>
      <c r="X173" s="1169" t="s">
        <v>2307</v>
      </c>
      <c r="Y173" s="1163" t="s">
        <v>2174</v>
      </c>
      <c r="AB173" s="1146"/>
    </row>
    <row r="174" spans="3:28" ht="24.95" customHeight="1">
      <c r="C174" s="1163" t="s">
        <v>2645</v>
      </c>
      <c r="D174" s="1164"/>
      <c r="E174" s="1164" t="s">
        <v>2942</v>
      </c>
      <c r="F174" s="1164" t="s">
        <v>2613</v>
      </c>
      <c r="G174" s="1165" t="s">
        <v>2968</v>
      </c>
      <c r="H174" s="1165" t="s">
        <v>2976</v>
      </c>
      <c r="I174" s="1166">
        <v>0.85</v>
      </c>
      <c r="J174" s="1167">
        <v>0.85</v>
      </c>
      <c r="K174" s="1167"/>
      <c r="L174" s="1167">
        <v>0.85</v>
      </c>
      <c r="M174" s="1167">
        <v>1</v>
      </c>
      <c r="N174" s="1168">
        <v>0</v>
      </c>
      <c r="O174" s="1167">
        <f t="shared" si="14"/>
        <v>0</v>
      </c>
      <c r="P174" s="1168">
        <v>0</v>
      </c>
      <c r="Q174" s="1167">
        <f t="shared" si="15"/>
        <v>0</v>
      </c>
      <c r="R174" s="1167">
        <f t="shared" si="16"/>
        <v>0</v>
      </c>
      <c r="S174" s="1167">
        <v>0</v>
      </c>
      <c r="T174" s="1167">
        <v>1</v>
      </c>
      <c r="U174" s="1167">
        <f t="shared" si="17"/>
        <v>0</v>
      </c>
      <c r="V174" s="437" t="s">
        <v>2939</v>
      </c>
      <c r="W174" s="1168">
        <v>1</v>
      </c>
      <c r="X174" s="1169" t="s">
        <v>2307</v>
      </c>
      <c r="Y174" s="1163" t="s">
        <v>2174</v>
      </c>
      <c r="AB174" s="1146"/>
    </row>
    <row r="175" spans="3:28" ht="24.95" customHeight="1">
      <c r="C175" s="1163" t="s">
        <v>2646</v>
      </c>
      <c r="D175" s="1164"/>
      <c r="E175" s="1164" t="s">
        <v>2943</v>
      </c>
      <c r="F175" s="1164" t="s">
        <v>2613</v>
      </c>
      <c r="G175" s="1165" t="s">
        <v>2968</v>
      </c>
      <c r="H175" s="1165" t="s">
        <v>2976</v>
      </c>
      <c r="I175" s="1166">
        <v>1.2</v>
      </c>
      <c r="J175" s="1167">
        <v>1.2</v>
      </c>
      <c r="K175" s="1167"/>
      <c r="L175" s="1167">
        <v>1.2</v>
      </c>
      <c r="M175" s="1167">
        <v>1.5</v>
      </c>
      <c r="N175" s="1168">
        <v>3</v>
      </c>
      <c r="O175" s="1167">
        <f t="shared" si="14"/>
        <v>3.5999999999999996</v>
      </c>
      <c r="P175" s="1168">
        <v>1</v>
      </c>
      <c r="Q175" s="1167">
        <f t="shared" si="15"/>
        <v>1.2</v>
      </c>
      <c r="R175" s="1167">
        <f t="shared" si="16"/>
        <v>4.8</v>
      </c>
      <c r="S175" s="1167">
        <v>0</v>
      </c>
      <c r="T175" s="1167">
        <v>1.5</v>
      </c>
      <c r="U175" s="1167">
        <f t="shared" si="17"/>
        <v>1.5</v>
      </c>
      <c r="V175" s="437" t="s">
        <v>2939</v>
      </c>
      <c r="W175" s="1168">
        <v>1</v>
      </c>
      <c r="X175" s="1169" t="s">
        <v>2307</v>
      </c>
      <c r="Y175" s="1163" t="s">
        <v>2174</v>
      </c>
      <c r="AB175" s="1146"/>
    </row>
    <row r="176" spans="3:28" ht="24.95" customHeight="1">
      <c r="C176" s="1163" t="s">
        <v>2648</v>
      </c>
      <c r="D176" s="1164"/>
      <c r="E176" s="1164" t="s">
        <v>2944</v>
      </c>
      <c r="F176" s="1164" t="s">
        <v>2613</v>
      </c>
      <c r="G176" s="1165" t="s">
        <v>2968</v>
      </c>
      <c r="H176" s="1165" t="s">
        <v>2976</v>
      </c>
      <c r="I176" s="1166">
        <v>0.5</v>
      </c>
      <c r="J176" s="1167">
        <v>0.5</v>
      </c>
      <c r="K176" s="1167"/>
      <c r="L176" s="1167">
        <v>0.5</v>
      </c>
      <c r="M176" s="1167">
        <v>0.65</v>
      </c>
      <c r="N176" s="1168">
        <v>2</v>
      </c>
      <c r="O176" s="1167">
        <f t="shared" si="14"/>
        <v>1</v>
      </c>
      <c r="P176" s="1168">
        <v>1</v>
      </c>
      <c r="Q176" s="1167">
        <f t="shared" si="15"/>
        <v>0.5</v>
      </c>
      <c r="R176" s="1167">
        <f t="shared" si="16"/>
        <v>1.5</v>
      </c>
      <c r="S176" s="1167">
        <v>0</v>
      </c>
      <c r="T176" s="1167">
        <v>0.65</v>
      </c>
      <c r="U176" s="1167">
        <f t="shared" si="17"/>
        <v>0.65</v>
      </c>
      <c r="V176" s="437" t="s">
        <v>2939</v>
      </c>
      <c r="W176" s="1168">
        <v>1</v>
      </c>
      <c r="X176" s="1169" t="s">
        <v>2307</v>
      </c>
      <c r="Y176" s="1163" t="s">
        <v>2174</v>
      </c>
      <c r="AB176" s="1146"/>
    </row>
    <row r="177" spans="3:29" ht="24.95" customHeight="1">
      <c r="C177" s="1163" t="s">
        <v>2650</v>
      </c>
      <c r="D177" s="1164"/>
      <c r="E177" s="1164" t="s">
        <v>2945</v>
      </c>
      <c r="F177" s="1164" t="s">
        <v>2613</v>
      </c>
      <c r="G177" s="1165" t="s">
        <v>2968</v>
      </c>
      <c r="H177" s="1165" t="s">
        <v>2976</v>
      </c>
      <c r="I177" s="1166">
        <v>0.4</v>
      </c>
      <c r="J177" s="1167">
        <v>0.4</v>
      </c>
      <c r="K177" s="1167"/>
      <c r="L177" s="1167">
        <v>0.4</v>
      </c>
      <c r="M177" s="1167">
        <v>0.13</v>
      </c>
      <c r="N177" s="1168">
        <v>2</v>
      </c>
      <c r="O177" s="1167">
        <f t="shared" si="14"/>
        <v>0.8</v>
      </c>
      <c r="P177" s="1168">
        <v>1</v>
      </c>
      <c r="Q177" s="1167">
        <f t="shared" si="15"/>
        <v>0.4</v>
      </c>
      <c r="R177" s="1167">
        <f t="shared" si="16"/>
        <v>1.2000000000000002</v>
      </c>
      <c r="S177" s="1167">
        <v>0</v>
      </c>
      <c r="T177" s="1167">
        <v>0.13</v>
      </c>
      <c r="U177" s="1167">
        <f t="shared" si="17"/>
        <v>0.13</v>
      </c>
      <c r="V177" s="437" t="s">
        <v>2939</v>
      </c>
      <c r="W177" s="1168">
        <v>1</v>
      </c>
      <c r="X177" s="1169" t="s">
        <v>2307</v>
      </c>
      <c r="Y177" s="1163" t="s">
        <v>2174</v>
      </c>
      <c r="AB177" s="1146"/>
    </row>
    <row r="178" spans="3:29" ht="24.95" customHeight="1">
      <c r="C178" s="1163" t="s">
        <v>2652</v>
      </c>
      <c r="D178" s="1164"/>
      <c r="E178" s="1164" t="s">
        <v>2647</v>
      </c>
      <c r="F178" s="1164" t="s">
        <v>2613</v>
      </c>
      <c r="G178" s="1165" t="s">
        <v>2968</v>
      </c>
      <c r="H178" s="1165" t="s">
        <v>2976</v>
      </c>
      <c r="I178" s="1166">
        <v>8.3000000000000004E-2</v>
      </c>
      <c r="J178" s="1167">
        <v>8.3000000000000004E-2</v>
      </c>
      <c r="K178" s="1167">
        <v>0.96</v>
      </c>
      <c r="L178" s="1167">
        <v>0.96</v>
      </c>
      <c r="M178" s="1167">
        <v>1.5</v>
      </c>
      <c r="N178" s="1168">
        <v>3</v>
      </c>
      <c r="O178" s="1167">
        <f t="shared" si="14"/>
        <v>0.249</v>
      </c>
      <c r="P178" s="1168">
        <v>1</v>
      </c>
      <c r="Q178" s="1167">
        <f t="shared" si="15"/>
        <v>8.3000000000000004E-2</v>
      </c>
      <c r="R178" s="1167">
        <f t="shared" si="16"/>
        <v>0.33200000000000002</v>
      </c>
      <c r="S178" s="1167">
        <v>0</v>
      </c>
      <c r="T178" s="1167">
        <v>0.125</v>
      </c>
      <c r="U178" s="1167">
        <f t="shared" si="17"/>
        <v>0.125</v>
      </c>
      <c r="V178" s="437" t="s">
        <v>2935</v>
      </c>
      <c r="W178" s="1168">
        <v>12</v>
      </c>
      <c r="X178" s="1169" t="s">
        <v>2266</v>
      </c>
      <c r="Y178" s="1163" t="s">
        <v>2174</v>
      </c>
      <c r="AB178" s="1146"/>
    </row>
    <row r="179" spans="3:29" ht="24.95" customHeight="1">
      <c r="C179" s="1163" t="s">
        <v>2654</v>
      </c>
      <c r="D179" s="1164"/>
      <c r="E179" s="1164" t="s">
        <v>2649</v>
      </c>
      <c r="F179" s="1164" t="s">
        <v>2613</v>
      </c>
      <c r="G179" s="1165" t="s">
        <v>2968</v>
      </c>
      <c r="H179" s="1165" t="s">
        <v>2976</v>
      </c>
      <c r="I179" s="1166">
        <v>9.5000000000000001E-2</v>
      </c>
      <c r="J179" s="1167">
        <v>9.5000000000000001E-2</v>
      </c>
      <c r="K179" s="1167">
        <v>1.2</v>
      </c>
      <c r="L179" s="1167">
        <v>1.2</v>
      </c>
      <c r="M179" s="1167">
        <v>3</v>
      </c>
      <c r="N179" s="1168">
        <v>2</v>
      </c>
      <c r="O179" s="1167">
        <f t="shared" si="14"/>
        <v>0.19</v>
      </c>
      <c r="P179" s="1168">
        <v>1</v>
      </c>
      <c r="Q179" s="1167">
        <f t="shared" si="15"/>
        <v>9.5000000000000001E-2</v>
      </c>
      <c r="R179" s="1167">
        <f t="shared" si="16"/>
        <v>0.28500000000000003</v>
      </c>
      <c r="S179" s="1167">
        <v>0</v>
      </c>
      <c r="T179" s="1167">
        <v>0.25</v>
      </c>
      <c r="U179" s="1167">
        <f t="shared" si="17"/>
        <v>0.25</v>
      </c>
      <c r="V179" s="437" t="s">
        <v>2935</v>
      </c>
      <c r="W179" s="1168">
        <v>12</v>
      </c>
      <c r="X179" s="1169" t="s">
        <v>2266</v>
      </c>
      <c r="Y179" s="1163" t="s">
        <v>2174</v>
      </c>
      <c r="AB179" s="1146"/>
    </row>
    <row r="180" spans="3:29" ht="24.95" customHeight="1">
      <c r="C180" s="1163" t="s">
        <v>2656</v>
      </c>
      <c r="D180" s="1164"/>
      <c r="E180" s="1164" t="s">
        <v>2651</v>
      </c>
      <c r="F180" s="1164" t="s">
        <v>2613</v>
      </c>
      <c r="G180" s="1165" t="s">
        <v>2968</v>
      </c>
      <c r="H180" s="1165" t="s">
        <v>2976</v>
      </c>
      <c r="I180" s="1166">
        <v>0.14000000000000001</v>
      </c>
      <c r="J180" s="1167">
        <v>0.14000000000000001</v>
      </c>
      <c r="K180" s="1167">
        <v>1.68</v>
      </c>
      <c r="L180" s="1167">
        <v>1.68</v>
      </c>
      <c r="M180" s="1167">
        <v>4.4399999999999995</v>
      </c>
      <c r="N180" s="1168">
        <v>3</v>
      </c>
      <c r="O180" s="1167">
        <f t="shared" si="14"/>
        <v>0.42000000000000004</v>
      </c>
      <c r="P180" s="1168">
        <v>1</v>
      </c>
      <c r="Q180" s="1167">
        <f t="shared" si="15"/>
        <v>0.14000000000000001</v>
      </c>
      <c r="R180" s="1167">
        <f t="shared" si="16"/>
        <v>0.56000000000000005</v>
      </c>
      <c r="S180" s="1167">
        <v>0</v>
      </c>
      <c r="T180" s="1167">
        <v>0.37</v>
      </c>
      <c r="U180" s="1167">
        <f t="shared" si="17"/>
        <v>0.37</v>
      </c>
      <c r="V180" s="437" t="s">
        <v>2935</v>
      </c>
      <c r="W180" s="1168">
        <v>12</v>
      </c>
      <c r="X180" s="1169" t="s">
        <v>2266</v>
      </c>
      <c r="Y180" s="1163" t="s">
        <v>2174</v>
      </c>
      <c r="AB180" s="1146"/>
    </row>
    <row r="181" spans="3:29" ht="24.95" customHeight="1">
      <c r="C181" s="1163" t="s">
        <v>2659</v>
      </c>
      <c r="D181" s="1164"/>
      <c r="E181" s="1164" t="s">
        <v>2653</v>
      </c>
      <c r="F181" s="1164" t="s">
        <v>2613</v>
      </c>
      <c r="G181" s="1165" t="s">
        <v>2968</v>
      </c>
      <c r="H181" s="1165" t="s">
        <v>2976</v>
      </c>
      <c r="I181" s="1166">
        <v>0.2</v>
      </c>
      <c r="J181" s="1167">
        <v>0.2</v>
      </c>
      <c r="K181" s="1167">
        <v>2.4</v>
      </c>
      <c r="L181" s="1167">
        <v>2.4</v>
      </c>
      <c r="M181" s="1167">
        <v>6</v>
      </c>
      <c r="N181" s="1168">
        <v>3</v>
      </c>
      <c r="O181" s="1167">
        <f t="shared" si="14"/>
        <v>0.60000000000000009</v>
      </c>
      <c r="P181" s="1168">
        <v>1</v>
      </c>
      <c r="Q181" s="1167">
        <f t="shared" si="15"/>
        <v>0.2</v>
      </c>
      <c r="R181" s="1167">
        <f t="shared" si="16"/>
        <v>0.8</v>
      </c>
      <c r="S181" s="1167">
        <v>0</v>
      </c>
      <c r="T181" s="1167">
        <v>0.5</v>
      </c>
      <c r="U181" s="1167">
        <f t="shared" si="17"/>
        <v>0.5</v>
      </c>
      <c r="V181" s="437" t="s">
        <v>2935</v>
      </c>
      <c r="W181" s="1168">
        <v>12</v>
      </c>
      <c r="X181" s="1169" t="s">
        <v>2266</v>
      </c>
      <c r="Y181" s="1163" t="s">
        <v>2174</v>
      </c>
      <c r="AB181" s="1146"/>
    </row>
    <row r="182" spans="3:29" ht="24.95" customHeight="1">
      <c r="C182" s="1163" t="s">
        <v>2661</v>
      </c>
      <c r="D182" s="1164"/>
      <c r="E182" s="1164" t="s">
        <v>2655</v>
      </c>
      <c r="F182" s="1164" t="s">
        <v>2613</v>
      </c>
      <c r="G182" s="1165" t="s">
        <v>2968</v>
      </c>
      <c r="H182" s="1165" t="s">
        <v>2976</v>
      </c>
      <c r="I182" s="1166">
        <v>0.24</v>
      </c>
      <c r="J182" s="1167">
        <v>0.24</v>
      </c>
      <c r="K182" s="1167">
        <v>2.88</v>
      </c>
      <c r="L182" s="1167">
        <v>2.88</v>
      </c>
      <c r="M182" s="1167">
        <v>7.8</v>
      </c>
      <c r="N182" s="1168">
        <v>2</v>
      </c>
      <c r="O182" s="1167">
        <f t="shared" si="14"/>
        <v>0.48</v>
      </c>
      <c r="P182" s="1168">
        <v>1</v>
      </c>
      <c r="Q182" s="1167">
        <f t="shared" si="15"/>
        <v>0.24</v>
      </c>
      <c r="R182" s="1167">
        <f t="shared" si="16"/>
        <v>0.72</v>
      </c>
      <c r="S182" s="1167">
        <v>0</v>
      </c>
      <c r="T182" s="1167">
        <v>0.65</v>
      </c>
      <c r="U182" s="1167">
        <f t="shared" si="17"/>
        <v>0.65</v>
      </c>
      <c r="V182" s="437" t="s">
        <v>2935</v>
      </c>
      <c r="W182" s="1168">
        <v>12</v>
      </c>
      <c r="X182" s="1169" t="s">
        <v>2266</v>
      </c>
      <c r="Y182" s="1163" t="s">
        <v>2174</v>
      </c>
      <c r="AB182" s="1146"/>
    </row>
    <row r="183" spans="3:29" ht="24.95" customHeight="1">
      <c r="C183" s="1155" t="s">
        <v>2663</v>
      </c>
      <c r="D183" s="1156"/>
      <c r="E183" s="1156" t="s">
        <v>2657</v>
      </c>
      <c r="F183" s="1156" t="s">
        <v>2171</v>
      </c>
      <c r="G183" s="1157" t="s">
        <v>2969</v>
      </c>
      <c r="H183" s="1157" t="s">
        <v>2972</v>
      </c>
      <c r="I183" s="1158">
        <v>85</v>
      </c>
      <c r="J183" s="1159">
        <v>4.25</v>
      </c>
      <c r="K183" s="1159">
        <v>85</v>
      </c>
      <c r="L183" s="1159">
        <v>85</v>
      </c>
      <c r="M183" s="1159">
        <v>90</v>
      </c>
      <c r="N183" s="1160">
        <v>20</v>
      </c>
      <c r="O183" s="1159">
        <f t="shared" si="14"/>
        <v>1700</v>
      </c>
      <c r="P183" s="1160">
        <v>5</v>
      </c>
      <c r="Q183" s="1159">
        <f t="shared" si="15"/>
        <v>425</v>
      </c>
      <c r="R183" s="1159">
        <f t="shared" si="16"/>
        <v>2125</v>
      </c>
      <c r="S183" s="1159">
        <v>0</v>
      </c>
      <c r="T183" s="1159">
        <v>0.09</v>
      </c>
      <c r="U183" s="1159">
        <f t="shared" si="17"/>
        <v>0.44999999999999996</v>
      </c>
      <c r="V183" s="1161" t="s">
        <v>2936</v>
      </c>
      <c r="W183" s="1160">
        <v>1000</v>
      </c>
      <c r="X183" s="1162" t="s">
        <v>2757</v>
      </c>
      <c r="Y183" s="1155" t="s">
        <v>2658</v>
      </c>
      <c r="AB183" s="1146"/>
      <c r="AC183" s="1148">
        <f t="shared" ref="AC183:AC207" si="18">O183-AB183</f>
        <v>1700</v>
      </c>
    </row>
    <row r="184" spans="3:29" ht="24.95" customHeight="1">
      <c r="C184" s="1155" t="s">
        <v>2665</v>
      </c>
      <c r="D184" s="1156"/>
      <c r="E184" s="1156" t="s">
        <v>2660</v>
      </c>
      <c r="F184" s="1156" t="s">
        <v>2171</v>
      </c>
      <c r="G184" s="1157" t="s">
        <v>2969</v>
      </c>
      <c r="H184" s="1157" t="s">
        <v>2972</v>
      </c>
      <c r="I184" s="1158">
        <v>83</v>
      </c>
      <c r="J184" s="1159">
        <v>4.1500000000000004</v>
      </c>
      <c r="K184" s="1159">
        <v>83</v>
      </c>
      <c r="L184" s="1159">
        <v>83</v>
      </c>
      <c r="M184" s="1159">
        <v>88</v>
      </c>
      <c r="N184" s="1160">
        <v>25</v>
      </c>
      <c r="O184" s="1159">
        <f t="shared" si="14"/>
        <v>2075</v>
      </c>
      <c r="P184" s="1160">
        <v>12</v>
      </c>
      <c r="Q184" s="1159">
        <f t="shared" si="15"/>
        <v>996</v>
      </c>
      <c r="R184" s="1159">
        <f t="shared" si="16"/>
        <v>3071</v>
      </c>
      <c r="S184" s="1159">
        <v>0</v>
      </c>
      <c r="T184" s="1159">
        <v>8.7999999999999995E-2</v>
      </c>
      <c r="U184" s="1159">
        <f t="shared" si="17"/>
        <v>1.056</v>
      </c>
      <c r="V184" s="1161" t="s">
        <v>2936</v>
      </c>
      <c r="W184" s="1160">
        <v>1000</v>
      </c>
      <c r="X184" s="1162" t="s">
        <v>2757</v>
      </c>
      <c r="Y184" s="1155" t="s">
        <v>2658</v>
      </c>
      <c r="AB184" s="1146"/>
      <c r="AC184" s="1148">
        <f t="shared" si="18"/>
        <v>2075</v>
      </c>
    </row>
    <row r="185" spans="3:29" ht="24.95" customHeight="1">
      <c r="C185" s="1155" t="s">
        <v>2668</v>
      </c>
      <c r="D185" s="1156"/>
      <c r="E185" s="1156" t="s">
        <v>2662</v>
      </c>
      <c r="F185" s="1156" t="s">
        <v>2171</v>
      </c>
      <c r="G185" s="1157" t="s">
        <v>2969</v>
      </c>
      <c r="H185" s="1157" t="s">
        <v>2972</v>
      </c>
      <c r="I185" s="1158">
        <v>95</v>
      </c>
      <c r="J185" s="1159">
        <v>4.75</v>
      </c>
      <c r="K185" s="1159">
        <v>95</v>
      </c>
      <c r="L185" s="1159">
        <v>95</v>
      </c>
      <c r="M185" s="1159">
        <v>100</v>
      </c>
      <c r="N185" s="1160">
        <v>10</v>
      </c>
      <c r="O185" s="1159">
        <f t="shared" si="14"/>
        <v>950</v>
      </c>
      <c r="P185" s="1160">
        <v>6</v>
      </c>
      <c r="Q185" s="1159">
        <f t="shared" si="15"/>
        <v>570</v>
      </c>
      <c r="R185" s="1159">
        <f t="shared" si="16"/>
        <v>1520</v>
      </c>
      <c r="S185" s="1159">
        <v>0</v>
      </c>
      <c r="T185" s="1159">
        <v>0.1</v>
      </c>
      <c r="U185" s="1159">
        <f t="shared" si="17"/>
        <v>0.60000000000000009</v>
      </c>
      <c r="V185" s="1161" t="s">
        <v>2936</v>
      </c>
      <c r="W185" s="1160">
        <v>1000</v>
      </c>
      <c r="X185" s="1162" t="s">
        <v>2757</v>
      </c>
      <c r="Y185" s="1155" t="s">
        <v>2658</v>
      </c>
      <c r="AB185" s="1146"/>
      <c r="AC185" s="1148">
        <f t="shared" si="18"/>
        <v>950</v>
      </c>
    </row>
    <row r="186" spans="3:29" ht="24.95" customHeight="1">
      <c r="C186" s="1155" t="s">
        <v>2670</v>
      </c>
      <c r="D186" s="1156"/>
      <c r="E186" s="1156" t="s">
        <v>2664</v>
      </c>
      <c r="F186" s="1156" t="s">
        <v>2171</v>
      </c>
      <c r="G186" s="1157" t="s">
        <v>2969</v>
      </c>
      <c r="H186" s="1157" t="s">
        <v>2972</v>
      </c>
      <c r="I186" s="1158">
        <v>95</v>
      </c>
      <c r="J186" s="1159">
        <v>4.75</v>
      </c>
      <c r="K186" s="1159">
        <v>95</v>
      </c>
      <c r="L186" s="1159">
        <v>95</v>
      </c>
      <c r="M186" s="1159">
        <v>100</v>
      </c>
      <c r="N186" s="1160">
        <v>20</v>
      </c>
      <c r="O186" s="1159">
        <f t="shared" si="14"/>
        <v>1900</v>
      </c>
      <c r="P186" s="1160">
        <v>4</v>
      </c>
      <c r="Q186" s="1159">
        <f t="shared" si="15"/>
        <v>380</v>
      </c>
      <c r="R186" s="1159">
        <f t="shared" si="16"/>
        <v>2280</v>
      </c>
      <c r="S186" s="1159">
        <v>0</v>
      </c>
      <c r="T186" s="1159">
        <v>0.1</v>
      </c>
      <c r="U186" s="1159">
        <f t="shared" si="17"/>
        <v>0.4</v>
      </c>
      <c r="V186" s="1161" t="s">
        <v>2936</v>
      </c>
      <c r="W186" s="1160">
        <v>1000</v>
      </c>
      <c r="X186" s="1162" t="s">
        <v>2757</v>
      </c>
      <c r="Y186" s="1155" t="s">
        <v>2658</v>
      </c>
      <c r="AB186" s="1146"/>
      <c r="AC186" s="1148">
        <f t="shared" si="18"/>
        <v>1900</v>
      </c>
    </row>
    <row r="187" spans="3:29" ht="24.95" customHeight="1">
      <c r="C187" s="1155" t="s">
        <v>2672</v>
      </c>
      <c r="D187" s="1156"/>
      <c r="E187" s="1156" t="s">
        <v>2666</v>
      </c>
      <c r="F187" s="1156" t="s">
        <v>2667</v>
      </c>
      <c r="G187" s="1157" t="s">
        <v>2970</v>
      </c>
      <c r="H187" s="1157" t="s">
        <v>2972</v>
      </c>
      <c r="I187" s="1158">
        <v>0.5</v>
      </c>
      <c r="J187" s="1159">
        <v>0.5</v>
      </c>
      <c r="K187" s="1159"/>
      <c r="L187" s="1159">
        <v>0.5</v>
      </c>
      <c r="M187" s="1159">
        <v>1</v>
      </c>
      <c r="N187" s="1160">
        <v>30</v>
      </c>
      <c r="O187" s="1159">
        <f t="shared" si="14"/>
        <v>15</v>
      </c>
      <c r="P187" s="1160">
        <v>20</v>
      </c>
      <c r="Q187" s="1159">
        <f t="shared" si="15"/>
        <v>10</v>
      </c>
      <c r="R187" s="1159">
        <f t="shared" si="16"/>
        <v>25</v>
      </c>
      <c r="S187" s="1159">
        <v>0</v>
      </c>
      <c r="T187" s="1159">
        <v>8.3333333333333329E-2</v>
      </c>
      <c r="U187" s="1159">
        <f t="shared" si="17"/>
        <v>1.6666666666666665</v>
      </c>
      <c r="V187" s="1161" t="s">
        <v>2937</v>
      </c>
      <c r="W187" s="1160">
        <v>12</v>
      </c>
      <c r="X187" s="1162" t="s">
        <v>2759</v>
      </c>
      <c r="Y187" s="1155" t="s">
        <v>2658</v>
      </c>
      <c r="AB187" s="1146"/>
      <c r="AC187" s="1148">
        <f t="shared" si="18"/>
        <v>15</v>
      </c>
    </row>
    <row r="188" spans="3:29" ht="24.95" customHeight="1">
      <c r="C188" s="1155" t="s">
        <v>2674</v>
      </c>
      <c r="D188" s="1156"/>
      <c r="E188" s="1156" t="s">
        <v>2669</v>
      </c>
      <c r="F188" s="1156" t="s">
        <v>2667</v>
      </c>
      <c r="G188" s="1157" t="s">
        <v>2970</v>
      </c>
      <c r="H188" s="1157" t="s">
        <v>2972</v>
      </c>
      <c r="I188" s="1158">
        <v>1</v>
      </c>
      <c r="J188" s="1159">
        <v>1</v>
      </c>
      <c r="K188" s="1159"/>
      <c r="L188" s="1159">
        <v>1</v>
      </c>
      <c r="M188" s="1159">
        <v>1.5</v>
      </c>
      <c r="N188" s="1160">
        <v>100</v>
      </c>
      <c r="O188" s="1159">
        <f t="shared" si="14"/>
        <v>100</v>
      </c>
      <c r="P188" s="1160">
        <v>15</v>
      </c>
      <c r="Q188" s="1159">
        <f t="shared" si="15"/>
        <v>15</v>
      </c>
      <c r="R188" s="1159">
        <f t="shared" si="16"/>
        <v>115</v>
      </c>
      <c r="S188" s="1159">
        <v>0</v>
      </c>
      <c r="T188" s="1159">
        <v>0.125</v>
      </c>
      <c r="U188" s="1159">
        <f t="shared" si="17"/>
        <v>1.875</v>
      </c>
      <c r="V188" s="1161" t="s">
        <v>2937</v>
      </c>
      <c r="W188" s="1160">
        <v>12</v>
      </c>
      <c r="X188" s="1162" t="s">
        <v>2759</v>
      </c>
      <c r="Y188" s="1155" t="s">
        <v>2658</v>
      </c>
      <c r="AB188" s="1146"/>
      <c r="AC188" s="1148">
        <f t="shared" si="18"/>
        <v>100</v>
      </c>
    </row>
    <row r="189" spans="3:29" ht="24.95" customHeight="1">
      <c r="C189" s="1155" t="s">
        <v>2676</v>
      </c>
      <c r="D189" s="1156"/>
      <c r="E189" s="1156" t="s">
        <v>2671</v>
      </c>
      <c r="F189" s="1156" t="s">
        <v>2667</v>
      </c>
      <c r="G189" s="1157" t="s">
        <v>2970</v>
      </c>
      <c r="H189" s="1157" t="s">
        <v>2972</v>
      </c>
      <c r="I189" s="1158">
        <v>2</v>
      </c>
      <c r="J189" s="1159">
        <v>2</v>
      </c>
      <c r="K189" s="1159"/>
      <c r="L189" s="1159">
        <v>2</v>
      </c>
      <c r="M189" s="1159">
        <v>2.5</v>
      </c>
      <c r="N189" s="1160">
        <v>100</v>
      </c>
      <c r="O189" s="1159">
        <f t="shared" si="14"/>
        <v>200</v>
      </c>
      <c r="P189" s="1160">
        <v>10</v>
      </c>
      <c r="Q189" s="1159">
        <f t="shared" si="15"/>
        <v>20</v>
      </c>
      <c r="R189" s="1159">
        <f t="shared" si="16"/>
        <v>220</v>
      </c>
      <c r="S189" s="1159">
        <v>0</v>
      </c>
      <c r="T189" s="1159">
        <v>0.20833333333333334</v>
      </c>
      <c r="U189" s="1159">
        <f t="shared" si="17"/>
        <v>2.0833333333333335</v>
      </c>
      <c r="V189" s="1161" t="s">
        <v>2937</v>
      </c>
      <c r="W189" s="1160">
        <v>12</v>
      </c>
      <c r="X189" s="1162" t="s">
        <v>2759</v>
      </c>
      <c r="Y189" s="1155" t="s">
        <v>2658</v>
      </c>
      <c r="AB189" s="1146"/>
      <c r="AC189" s="1148">
        <f t="shared" si="18"/>
        <v>200</v>
      </c>
    </row>
    <row r="190" spans="3:29" ht="24.95" customHeight="1">
      <c r="C190" s="1155" t="s">
        <v>2678</v>
      </c>
      <c r="D190" s="1156"/>
      <c r="E190" s="1156" t="s">
        <v>2673</v>
      </c>
      <c r="F190" s="1156" t="s">
        <v>2667</v>
      </c>
      <c r="G190" s="1157" t="s">
        <v>2970</v>
      </c>
      <c r="H190" s="1157" t="s">
        <v>2972</v>
      </c>
      <c r="I190" s="1158">
        <v>4</v>
      </c>
      <c r="J190" s="1159">
        <v>4</v>
      </c>
      <c r="K190" s="1159"/>
      <c r="L190" s="1159">
        <v>4</v>
      </c>
      <c r="M190" s="1159">
        <v>4.5</v>
      </c>
      <c r="N190" s="1160">
        <v>200</v>
      </c>
      <c r="O190" s="1159">
        <f t="shared" si="14"/>
        <v>800</v>
      </c>
      <c r="P190" s="1160">
        <v>20</v>
      </c>
      <c r="Q190" s="1159">
        <f t="shared" si="15"/>
        <v>80</v>
      </c>
      <c r="R190" s="1159">
        <f t="shared" si="16"/>
        <v>880</v>
      </c>
      <c r="S190" s="1159">
        <v>0</v>
      </c>
      <c r="T190" s="1159">
        <v>0.375</v>
      </c>
      <c r="U190" s="1159">
        <f t="shared" si="17"/>
        <v>7.5</v>
      </c>
      <c r="V190" s="1161" t="s">
        <v>2937</v>
      </c>
      <c r="W190" s="1160">
        <v>12</v>
      </c>
      <c r="X190" s="1162" t="s">
        <v>2759</v>
      </c>
      <c r="Y190" s="1155" t="s">
        <v>2658</v>
      </c>
      <c r="AB190" s="1146"/>
      <c r="AC190" s="1148">
        <f t="shared" si="18"/>
        <v>800</v>
      </c>
    </row>
    <row r="191" spans="3:29" ht="24.95" customHeight="1">
      <c r="C191" s="1155" t="s">
        <v>2680</v>
      </c>
      <c r="D191" s="1156"/>
      <c r="E191" s="1156" t="s">
        <v>2675</v>
      </c>
      <c r="F191" s="1156" t="s">
        <v>2667</v>
      </c>
      <c r="G191" s="1157" t="s">
        <v>2970</v>
      </c>
      <c r="H191" s="1157" t="s">
        <v>2972</v>
      </c>
      <c r="I191" s="1158">
        <v>6</v>
      </c>
      <c r="J191" s="1159">
        <v>6</v>
      </c>
      <c r="K191" s="1159"/>
      <c r="L191" s="1159">
        <v>6</v>
      </c>
      <c r="M191" s="1159">
        <v>6.5</v>
      </c>
      <c r="N191" s="1160">
        <v>150</v>
      </c>
      <c r="O191" s="1159">
        <f t="shared" si="14"/>
        <v>900</v>
      </c>
      <c r="P191" s="1160">
        <v>14</v>
      </c>
      <c r="Q191" s="1159">
        <f t="shared" si="15"/>
        <v>84</v>
      </c>
      <c r="R191" s="1159">
        <f t="shared" si="16"/>
        <v>984</v>
      </c>
      <c r="S191" s="1159">
        <v>0</v>
      </c>
      <c r="T191" s="1159">
        <v>0.54166666666666663</v>
      </c>
      <c r="U191" s="1159">
        <f t="shared" si="17"/>
        <v>7.583333333333333</v>
      </c>
      <c r="V191" s="1161" t="s">
        <v>2937</v>
      </c>
      <c r="W191" s="1160">
        <v>12</v>
      </c>
      <c r="X191" s="1162" t="s">
        <v>2759</v>
      </c>
      <c r="Y191" s="1155" t="s">
        <v>2658</v>
      </c>
      <c r="AB191" s="1146"/>
      <c r="AC191" s="1148">
        <f t="shared" si="18"/>
        <v>900</v>
      </c>
    </row>
    <row r="192" spans="3:29" ht="24.95" customHeight="1">
      <c r="C192" s="1155" t="s">
        <v>2682</v>
      </c>
      <c r="D192" s="1156"/>
      <c r="E192" s="1156" t="s">
        <v>2677</v>
      </c>
      <c r="F192" s="1156" t="s">
        <v>2667</v>
      </c>
      <c r="G192" s="1157" t="s">
        <v>2970</v>
      </c>
      <c r="H192" s="1157" t="s">
        <v>2972</v>
      </c>
      <c r="I192" s="1158">
        <v>8</v>
      </c>
      <c r="J192" s="1159">
        <v>8</v>
      </c>
      <c r="K192" s="1159"/>
      <c r="L192" s="1159">
        <v>8</v>
      </c>
      <c r="M192" s="1159">
        <v>8.5</v>
      </c>
      <c r="N192" s="1160">
        <v>100</v>
      </c>
      <c r="O192" s="1159">
        <f t="shared" si="14"/>
        <v>800</v>
      </c>
      <c r="P192" s="1160">
        <v>5</v>
      </c>
      <c r="Q192" s="1159">
        <f t="shared" si="15"/>
        <v>40</v>
      </c>
      <c r="R192" s="1159">
        <f t="shared" si="16"/>
        <v>840</v>
      </c>
      <c r="S192" s="1159">
        <v>0</v>
      </c>
      <c r="T192" s="1159">
        <v>0.70833333333333337</v>
      </c>
      <c r="U192" s="1159">
        <f t="shared" si="17"/>
        <v>3.541666666666667</v>
      </c>
      <c r="V192" s="1161" t="s">
        <v>2937</v>
      </c>
      <c r="W192" s="1160">
        <v>12</v>
      </c>
      <c r="X192" s="1162" t="s">
        <v>2759</v>
      </c>
      <c r="Y192" s="1155" t="s">
        <v>2658</v>
      </c>
      <c r="AB192" s="1146"/>
      <c r="AC192" s="1148">
        <f t="shared" si="18"/>
        <v>800</v>
      </c>
    </row>
    <row r="193" spans="3:29" ht="24.95" customHeight="1">
      <c r="C193" s="1155" t="s">
        <v>2684</v>
      </c>
      <c r="D193" s="1156"/>
      <c r="E193" s="1156" t="s">
        <v>2679</v>
      </c>
      <c r="F193" s="1156" t="s">
        <v>2667</v>
      </c>
      <c r="G193" s="1157" t="s">
        <v>2970</v>
      </c>
      <c r="H193" s="1157" t="s">
        <v>2972</v>
      </c>
      <c r="I193" s="1158">
        <v>12</v>
      </c>
      <c r="J193" s="1159">
        <v>12</v>
      </c>
      <c r="K193" s="1159"/>
      <c r="L193" s="1159">
        <v>12</v>
      </c>
      <c r="M193" s="1159">
        <v>12.5</v>
      </c>
      <c r="N193" s="1160">
        <v>100</v>
      </c>
      <c r="O193" s="1159">
        <f t="shared" si="14"/>
        <v>1200</v>
      </c>
      <c r="P193" s="1160">
        <v>3</v>
      </c>
      <c r="Q193" s="1159">
        <f t="shared" si="15"/>
        <v>36</v>
      </c>
      <c r="R193" s="1159">
        <f t="shared" si="16"/>
        <v>1236</v>
      </c>
      <c r="S193" s="1159">
        <v>0</v>
      </c>
      <c r="T193" s="1159">
        <v>1.0416666666666667</v>
      </c>
      <c r="U193" s="1159">
        <f t="shared" si="17"/>
        <v>3.125</v>
      </c>
      <c r="V193" s="1161" t="s">
        <v>2937</v>
      </c>
      <c r="W193" s="1160">
        <v>12</v>
      </c>
      <c r="X193" s="1162" t="s">
        <v>2759</v>
      </c>
      <c r="Y193" s="1155" t="s">
        <v>2658</v>
      </c>
      <c r="AB193" s="1146"/>
      <c r="AC193" s="1148">
        <f t="shared" si="18"/>
        <v>1200</v>
      </c>
    </row>
    <row r="194" spans="3:29" ht="24.95" customHeight="1">
      <c r="C194" s="1155" t="s">
        <v>2686</v>
      </c>
      <c r="D194" s="1156"/>
      <c r="E194" s="1156" t="s">
        <v>2681</v>
      </c>
      <c r="F194" s="1156" t="s">
        <v>2667</v>
      </c>
      <c r="G194" s="1157" t="s">
        <v>2971</v>
      </c>
      <c r="H194" s="1157" t="s">
        <v>2972</v>
      </c>
      <c r="I194" s="1158">
        <v>3.37</v>
      </c>
      <c r="J194" s="1159">
        <v>3.37</v>
      </c>
      <c r="K194" s="1159"/>
      <c r="L194" s="1159">
        <v>3.37</v>
      </c>
      <c r="M194" s="1159">
        <v>3.65</v>
      </c>
      <c r="N194" s="1160">
        <v>100</v>
      </c>
      <c r="O194" s="1159">
        <f t="shared" si="14"/>
        <v>337</v>
      </c>
      <c r="P194" s="1160">
        <v>32</v>
      </c>
      <c r="Q194" s="1159">
        <f t="shared" si="15"/>
        <v>107.84</v>
      </c>
      <c r="R194" s="1159">
        <f t="shared" si="16"/>
        <v>444.84000000000003</v>
      </c>
      <c r="S194" s="1159">
        <v>0</v>
      </c>
      <c r="T194" s="1159">
        <v>0.91249999999999998</v>
      </c>
      <c r="U194" s="1159">
        <f t="shared" si="17"/>
        <v>29.2</v>
      </c>
      <c r="V194" s="1161" t="s">
        <v>2938</v>
      </c>
      <c r="W194" s="1160">
        <v>4</v>
      </c>
      <c r="X194" s="1162" t="s">
        <v>2761</v>
      </c>
      <c r="Y194" s="1155" t="s">
        <v>2658</v>
      </c>
      <c r="AB194" s="1146"/>
      <c r="AC194" s="1148">
        <f t="shared" si="18"/>
        <v>337</v>
      </c>
    </row>
    <row r="195" spans="3:29" ht="24.95" customHeight="1">
      <c r="C195" s="1155" t="s">
        <v>2688</v>
      </c>
      <c r="D195" s="1156"/>
      <c r="E195" s="1156" t="s">
        <v>2683</v>
      </c>
      <c r="F195" s="1156" t="s">
        <v>2667</v>
      </c>
      <c r="G195" s="1157" t="s">
        <v>2971</v>
      </c>
      <c r="H195" s="1157" t="s">
        <v>2972</v>
      </c>
      <c r="I195" s="1158">
        <v>3.9</v>
      </c>
      <c r="J195" s="1159">
        <v>3.9</v>
      </c>
      <c r="K195" s="1159"/>
      <c r="L195" s="1159">
        <v>3.9</v>
      </c>
      <c r="M195" s="1159">
        <v>4.4000000000000004</v>
      </c>
      <c r="N195" s="1160">
        <v>10</v>
      </c>
      <c r="O195" s="1159">
        <f t="shared" si="14"/>
        <v>39</v>
      </c>
      <c r="P195" s="1160">
        <v>0</v>
      </c>
      <c r="Q195" s="1159">
        <f t="shared" si="15"/>
        <v>0</v>
      </c>
      <c r="R195" s="1159">
        <f t="shared" si="16"/>
        <v>39</v>
      </c>
      <c r="S195" s="1159">
        <v>0</v>
      </c>
      <c r="T195" s="1159">
        <v>1.1000000000000001</v>
      </c>
      <c r="U195" s="1159">
        <f t="shared" si="17"/>
        <v>0</v>
      </c>
      <c r="V195" s="1161" t="s">
        <v>2938</v>
      </c>
      <c r="W195" s="1160">
        <v>4</v>
      </c>
      <c r="X195" s="1162" t="s">
        <v>2761</v>
      </c>
      <c r="Y195" s="1155" t="s">
        <v>2658</v>
      </c>
      <c r="AB195" s="1146"/>
      <c r="AC195" s="1148">
        <f t="shared" si="18"/>
        <v>39</v>
      </c>
    </row>
    <row r="196" spans="3:29" ht="24.95" customHeight="1">
      <c r="C196" s="1155" t="s">
        <v>2690</v>
      </c>
      <c r="D196" s="1156"/>
      <c r="E196" s="1156" t="s">
        <v>2685</v>
      </c>
      <c r="F196" s="1156" t="s">
        <v>2667</v>
      </c>
      <c r="G196" s="1157" t="s">
        <v>2971</v>
      </c>
      <c r="H196" s="1157" t="s">
        <v>2972</v>
      </c>
      <c r="I196" s="1158">
        <v>4.09</v>
      </c>
      <c r="J196" s="1159">
        <v>4.09</v>
      </c>
      <c r="K196" s="1159"/>
      <c r="L196" s="1159">
        <v>4.09</v>
      </c>
      <c r="M196" s="1159">
        <v>4.59</v>
      </c>
      <c r="N196" s="1160">
        <v>30</v>
      </c>
      <c r="O196" s="1159">
        <f t="shared" si="14"/>
        <v>122.69999999999999</v>
      </c>
      <c r="P196" s="1160">
        <v>13</v>
      </c>
      <c r="Q196" s="1159">
        <f t="shared" si="15"/>
        <v>53.17</v>
      </c>
      <c r="R196" s="1159">
        <f t="shared" si="16"/>
        <v>175.87</v>
      </c>
      <c r="S196" s="1159">
        <v>0</v>
      </c>
      <c r="T196" s="1159">
        <v>1.1475</v>
      </c>
      <c r="U196" s="1159">
        <f t="shared" si="17"/>
        <v>14.9175</v>
      </c>
      <c r="V196" s="1161" t="s">
        <v>2938</v>
      </c>
      <c r="W196" s="1160">
        <v>4</v>
      </c>
      <c r="X196" s="1162" t="s">
        <v>2761</v>
      </c>
      <c r="Y196" s="1155" t="s">
        <v>2658</v>
      </c>
      <c r="AB196" s="1146"/>
      <c r="AC196" s="1148">
        <f t="shared" si="18"/>
        <v>122.69999999999999</v>
      </c>
    </row>
    <row r="197" spans="3:29" ht="24.95" customHeight="1">
      <c r="C197" s="1155" t="s">
        <v>2692</v>
      </c>
      <c r="D197" s="1156"/>
      <c r="E197" s="1156" t="s">
        <v>2687</v>
      </c>
      <c r="F197" s="1156" t="s">
        <v>2667</v>
      </c>
      <c r="G197" s="1157" t="s">
        <v>2971</v>
      </c>
      <c r="H197" s="1157" t="s">
        <v>2972</v>
      </c>
      <c r="I197" s="1158">
        <v>4.7300000000000004</v>
      </c>
      <c r="J197" s="1159">
        <v>4.7300000000000004</v>
      </c>
      <c r="K197" s="1159"/>
      <c r="L197" s="1159">
        <v>4.7300000000000004</v>
      </c>
      <c r="M197" s="1159">
        <v>5.2</v>
      </c>
      <c r="N197" s="1160">
        <v>0</v>
      </c>
      <c r="O197" s="1159">
        <f t="shared" si="14"/>
        <v>0</v>
      </c>
      <c r="P197" s="1160">
        <v>0</v>
      </c>
      <c r="Q197" s="1159">
        <f t="shared" si="15"/>
        <v>0</v>
      </c>
      <c r="R197" s="1159">
        <f t="shared" si="16"/>
        <v>0</v>
      </c>
      <c r="S197" s="1159">
        <v>0</v>
      </c>
      <c r="T197" s="1159">
        <v>1.3</v>
      </c>
      <c r="U197" s="1159">
        <f t="shared" si="17"/>
        <v>0</v>
      </c>
      <c r="V197" s="1161" t="s">
        <v>2938</v>
      </c>
      <c r="W197" s="1160">
        <v>4</v>
      </c>
      <c r="X197" s="1162" t="s">
        <v>2761</v>
      </c>
      <c r="Y197" s="1155" t="s">
        <v>2658</v>
      </c>
      <c r="AB197" s="1146"/>
      <c r="AC197" s="1148">
        <f t="shared" si="18"/>
        <v>0</v>
      </c>
    </row>
    <row r="198" spans="3:29" ht="24.95" customHeight="1">
      <c r="C198" s="1155" t="s">
        <v>2694</v>
      </c>
      <c r="D198" s="1156"/>
      <c r="E198" s="1156" t="s">
        <v>2689</v>
      </c>
      <c r="F198" s="1156" t="s">
        <v>2667</v>
      </c>
      <c r="G198" s="1157" t="s">
        <v>2971</v>
      </c>
      <c r="H198" s="1157" t="s">
        <v>2972</v>
      </c>
      <c r="I198" s="1158">
        <v>4.92</v>
      </c>
      <c r="J198" s="1159">
        <v>4.92</v>
      </c>
      <c r="K198" s="1159"/>
      <c r="L198" s="1159">
        <v>4.92</v>
      </c>
      <c r="M198" s="1159">
        <v>5.4</v>
      </c>
      <c r="N198" s="1160">
        <v>25</v>
      </c>
      <c r="O198" s="1159">
        <f t="shared" si="14"/>
        <v>123</v>
      </c>
      <c r="P198" s="1160">
        <v>16</v>
      </c>
      <c r="Q198" s="1159">
        <f t="shared" si="15"/>
        <v>78.72</v>
      </c>
      <c r="R198" s="1159">
        <f t="shared" si="16"/>
        <v>201.72</v>
      </c>
      <c r="S198" s="1159">
        <v>0</v>
      </c>
      <c r="T198" s="1159">
        <v>1.35</v>
      </c>
      <c r="U198" s="1159">
        <f t="shared" si="17"/>
        <v>21.6</v>
      </c>
      <c r="V198" s="1161" t="s">
        <v>2938</v>
      </c>
      <c r="W198" s="1160">
        <v>4</v>
      </c>
      <c r="X198" s="1162" t="s">
        <v>2761</v>
      </c>
      <c r="Y198" s="1155" t="s">
        <v>2658</v>
      </c>
      <c r="AB198" s="1146"/>
      <c r="AC198" s="1148">
        <f t="shared" si="18"/>
        <v>123</v>
      </c>
    </row>
    <row r="199" spans="3:29" ht="24.95" customHeight="1">
      <c r="C199" s="1155" t="s">
        <v>2696</v>
      </c>
      <c r="D199" s="1156"/>
      <c r="E199" s="1156" t="s">
        <v>2691</v>
      </c>
      <c r="F199" s="1156" t="s">
        <v>2667</v>
      </c>
      <c r="G199" s="1157" t="s">
        <v>2971</v>
      </c>
      <c r="H199" s="1157" t="s">
        <v>2972</v>
      </c>
      <c r="I199" s="1158">
        <v>6.03</v>
      </c>
      <c r="J199" s="1159">
        <v>6.03</v>
      </c>
      <c r="K199" s="1159"/>
      <c r="L199" s="1159">
        <v>6.03</v>
      </c>
      <c r="M199" s="1159">
        <v>6.53</v>
      </c>
      <c r="N199" s="1160">
        <v>0</v>
      </c>
      <c r="O199" s="1159">
        <f t="shared" si="14"/>
        <v>0</v>
      </c>
      <c r="P199" s="1160">
        <v>0</v>
      </c>
      <c r="Q199" s="1159">
        <f t="shared" si="15"/>
        <v>0</v>
      </c>
      <c r="R199" s="1159">
        <f t="shared" si="16"/>
        <v>0</v>
      </c>
      <c r="S199" s="1159">
        <v>0</v>
      </c>
      <c r="T199" s="1159">
        <v>1.6325000000000001</v>
      </c>
      <c r="U199" s="1159">
        <f t="shared" si="17"/>
        <v>0</v>
      </c>
      <c r="V199" s="1161" t="s">
        <v>2938</v>
      </c>
      <c r="W199" s="1160">
        <v>4</v>
      </c>
      <c r="X199" s="1162" t="s">
        <v>2761</v>
      </c>
      <c r="Y199" s="1155" t="s">
        <v>2658</v>
      </c>
      <c r="AB199" s="1146"/>
      <c r="AC199" s="1148">
        <f t="shared" si="18"/>
        <v>0</v>
      </c>
    </row>
    <row r="200" spans="3:29" ht="24.95" customHeight="1">
      <c r="C200" s="1155" t="s">
        <v>2698</v>
      </c>
      <c r="D200" s="1156"/>
      <c r="E200" s="1156" t="s">
        <v>2693</v>
      </c>
      <c r="F200" s="1156" t="s">
        <v>2667</v>
      </c>
      <c r="G200" s="1157" t="s">
        <v>2971</v>
      </c>
      <c r="H200" s="1157" t="s">
        <v>2972</v>
      </c>
      <c r="I200" s="1158">
        <v>3.88</v>
      </c>
      <c r="J200" s="1159">
        <v>3.88</v>
      </c>
      <c r="K200" s="1159"/>
      <c r="L200" s="1159">
        <v>3.88</v>
      </c>
      <c r="M200" s="1159">
        <v>4.3</v>
      </c>
      <c r="N200" s="1160">
        <v>20</v>
      </c>
      <c r="O200" s="1159">
        <f t="shared" si="14"/>
        <v>77.599999999999994</v>
      </c>
      <c r="P200" s="1160">
        <v>15</v>
      </c>
      <c r="Q200" s="1159">
        <f t="shared" si="15"/>
        <v>58.199999999999996</v>
      </c>
      <c r="R200" s="1159">
        <f t="shared" ref="R200:R207" si="19">O200+Q200</f>
        <v>135.79999999999998</v>
      </c>
      <c r="S200" s="1159">
        <v>0</v>
      </c>
      <c r="T200" s="1159">
        <v>1.075</v>
      </c>
      <c r="U200" s="1159">
        <f t="shared" ref="U200:U207" si="20">P200*T200</f>
        <v>16.125</v>
      </c>
      <c r="V200" s="1161" t="s">
        <v>2938</v>
      </c>
      <c r="W200" s="1160">
        <v>4</v>
      </c>
      <c r="X200" s="1162" t="s">
        <v>2761</v>
      </c>
      <c r="Y200" s="1155" t="s">
        <v>2658</v>
      </c>
      <c r="AB200" s="1146"/>
      <c r="AC200" s="1148">
        <f t="shared" si="18"/>
        <v>77.599999999999994</v>
      </c>
    </row>
    <row r="201" spans="3:29" ht="24.95" customHeight="1">
      <c r="C201" s="1155" t="s">
        <v>2700</v>
      </c>
      <c r="D201" s="1156"/>
      <c r="E201" s="1156" t="s">
        <v>2695</v>
      </c>
      <c r="F201" s="1156" t="s">
        <v>2667</v>
      </c>
      <c r="G201" s="1157" t="s">
        <v>2971</v>
      </c>
      <c r="H201" s="1157" t="s">
        <v>2972</v>
      </c>
      <c r="I201" s="1158">
        <v>4.7</v>
      </c>
      <c r="J201" s="1159">
        <v>4.7</v>
      </c>
      <c r="K201" s="1159"/>
      <c r="L201" s="1159">
        <v>4.7</v>
      </c>
      <c r="M201" s="1159">
        <v>5.2</v>
      </c>
      <c r="N201" s="1160">
        <v>0</v>
      </c>
      <c r="O201" s="1159">
        <f t="shared" ref="O201:O206" si="21">I201*N201</f>
        <v>0</v>
      </c>
      <c r="P201" s="1160">
        <v>0</v>
      </c>
      <c r="Q201" s="1159">
        <f t="shared" ref="Q201:Q207" si="22">P201*I201</f>
        <v>0</v>
      </c>
      <c r="R201" s="1159">
        <f t="shared" si="19"/>
        <v>0</v>
      </c>
      <c r="S201" s="1159">
        <v>0</v>
      </c>
      <c r="T201" s="1159">
        <v>1.3</v>
      </c>
      <c r="U201" s="1159">
        <f t="shared" si="20"/>
        <v>0</v>
      </c>
      <c r="V201" s="1161" t="s">
        <v>2938</v>
      </c>
      <c r="W201" s="1160">
        <v>4</v>
      </c>
      <c r="X201" s="1162" t="s">
        <v>2761</v>
      </c>
      <c r="Y201" s="1155" t="s">
        <v>2658</v>
      </c>
      <c r="AB201" s="1146"/>
      <c r="AC201" s="1148">
        <f t="shared" si="18"/>
        <v>0</v>
      </c>
    </row>
    <row r="202" spans="3:29" ht="24.95" customHeight="1">
      <c r="C202" s="1155" t="s">
        <v>2702</v>
      </c>
      <c r="D202" s="1156"/>
      <c r="E202" s="1156" t="s">
        <v>2697</v>
      </c>
      <c r="F202" s="1156" t="s">
        <v>2667</v>
      </c>
      <c r="G202" s="1157" t="s">
        <v>2971</v>
      </c>
      <c r="H202" s="1157" t="s">
        <v>2972</v>
      </c>
      <c r="I202" s="1158">
        <v>6.28</v>
      </c>
      <c r="J202" s="1159">
        <v>6.28</v>
      </c>
      <c r="K202" s="1159"/>
      <c r="L202" s="1159">
        <v>6.28</v>
      </c>
      <c r="M202" s="1159">
        <v>6.75</v>
      </c>
      <c r="N202" s="1160">
        <v>35</v>
      </c>
      <c r="O202" s="1159">
        <f t="shared" si="21"/>
        <v>219.8</v>
      </c>
      <c r="P202" s="1160">
        <v>25</v>
      </c>
      <c r="Q202" s="1159">
        <f t="shared" si="22"/>
        <v>157</v>
      </c>
      <c r="R202" s="1159">
        <f t="shared" si="19"/>
        <v>376.8</v>
      </c>
      <c r="S202" s="1159">
        <v>0</v>
      </c>
      <c r="T202" s="1159">
        <v>1.6875</v>
      </c>
      <c r="U202" s="1159">
        <f t="shared" si="20"/>
        <v>42.1875</v>
      </c>
      <c r="V202" s="1161" t="s">
        <v>2938</v>
      </c>
      <c r="W202" s="1160">
        <v>4</v>
      </c>
      <c r="X202" s="1162" t="s">
        <v>2761</v>
      </c>
      <c r="Y202" s="1155" t="s">
        <v>2658</v>
      </c>
      <c r="AB202" s="1146"/>
      <c r="AC202" s="1148">
        <f t="shared" si="18"/>
        <v>219.8</v>
      </c>
    </row>
    <row r="203" spans="3:29" ht="24.95" customHeight="1">
      <c r="C203" s="1155" t="s">
        <v>2704</v>
      </c>
      <c r="D203" s="1156"/>
      <c r="E203" s="1156" t="s">
        <v>2699</v>
      </c>
      <c r="F203" s="1156" t="s">
        <v>2667</v>
      </c>
      <c r="G203" s="1157" t="s">
        <v>2971</v>
      </c>
      <c r="H203" s="1157" t="s">
        <v>2972</v>
      </c>
      <c r="I203" s="1158">
        <v>7.06</v>
      </c>
      <c r="J203" s="1159">
        <v>7.06</v>
      </c>
      <c r="K203" s="1159"/>
      <c r="L203" s="1159">
        <v>7.06</v>
      </c>
      <c r="M203" s="1159">
        <v>7.56</v>
      </c>
      <c r="N203" s="1160">
        <v>0</v>
      </c>
      <c r="O203" s="1159">
        <f t="shared" si="21"/>
        <v>0</v>
      </c>
      <c r="P203" s="1160">
        <v>0</v>
      </c>
      <c r="Q203" s="1159">
        <f t="shared" si="22"/>
        <v>0</v>
      </c>
      <c r="R203" s="1159">
        <f t="shared" si="19"/>
        <v>0</v>
      </c>
      <c r="S203" s="1159">
        <v>0</v>
      </c>
      <c r="T203" s="1159">
        <v>1.89</v>
      </c>
      <c r="U203" s="1159">
        <f t="shared" si="20"/>
        <v>0</v>
      </c>
      <c r="V203" s="1161" t="s">
        <v>2938</v>
      </c>
      <c r="W203" s="1160">
        <v>4</v>
      </c>
      <c r="X203" s="1162" t="s">
        <v>2761</v>
      </c>
      <c r="Y203" s="1155" t="s">
        <v>2658</v>
      </c>
      <c r="AB203" s="1146"/>
      <c r="AC203" s="1148">
        <f t="shared" si="18"/>
        <v>0</v>
      </c>
    </row>
    <row r="204" spans="3:29" ht="24.95" customHeight="1">
      <c r="C204" s="1155" t="s">
        <v>2706</v>
      </c>
      <c r="D204" s="1156"/>
      <c r="E204" s="1156" t="s">
        <v>2701</v>
      </c>
      <c r="F204" s="1156" t="s">
        <v>2667</v>
      </c>
      <c r="G204" s="1157" t="s">
        <v>2971</v>
      </c>
      <c r="H204" s="1157" t="s">
        <v>2972</v>
      </c>
      <c r="I204" s="1158">
        <v>8.36</v>
      </c>
      <c r="J204" s="1159">
        <v>8.36</v>
      </c>
      <c r="K204" s="1159"/>
      <c r="L204" s="1159">
        <v>8.36</v>
      </c>
      <c r="M204" s="1159">
        <v>8.7799999999999994</v>
      </c>
      <c r="N204" s="1160">
        <v>35</v>
      </c>
      <c r="O204" s="1159">
        <f t="shared" si="21"/>
        <v>292.59999999999997</v>
      </c>
      <c r="P204" s="1160">
        <v>18</v>
      </c>
      <c r="Q204" s="1159">
        <f t="shared" si="22"/>
        <v>150.47999999999999</v>
      </c>
      <c r="R204" s="1159">
        <f t="shared" si="19"/>
        <v>443.07999999999993</v>
      </c>
      <c r="S204" s="1159">
        <v>0</v>
      </c>
      <c r="T204" s="1159">
        <v>2.1949999999999998</v>
      </c>
      <c r="U204" s="1159">
        <f t="shared" si="20"/>
        <v>39.51</v>
      </c>
      <c r="V204" s="1161" t="s">
        <v>2938</v>
      </c>
      <c r="W204" s="1160">
        <v>4</v>
      </c>
      <c r="X204" s="1162" t="s">
        <v>2761</v>
      </c>
      <c r="Y204" s="1155" t="s">
        <v>2658</v>
      </c>
      <c r="AB204" s="1146"/>
      <c r="AC204" s="1148">
        <f t="shared" si="18"/>
        <v>292.59999999999997</v>
      </c>
    </row>
    <row r="205" spans="3:29" ht="24.95" customHeight="1">
      <c r="C205" s="1155" t="s">
        <v>2717</v>
      </c>
      <c r="D205" s="1156"/>
      <c r="E205" s="1156" t="s">
        <v>2703</v>
      </c>
      <c r="F205" s="1156" t="s">
        <v>2667</v>
      </c>
      <c r="G205" s="1157" t="s">
        <v>2971</v>
      </c>
      <c r="H205" s="1157" t="s">
        <v>2972</v>
      </c>
      <c r="I205" s="1158">
        <v>9.48</v>
      </c>
      <c r="J205" s="1159">
        <v>9.48</v>
      </c>
      <c r="K205" s="1159"/>
      <c r="L205" s="1159">
        <v>9.48</v>
      </c>
      <c r="M205" s="1159">
        <v>10</v>
      </c>
      <c r="N205" s="1160">
        <v>0</v>
      </c>
      <c r="O205" s="1159">
        <v>0</v>
      </c>
      <c r="P205" s="1160"/>
      <c r="Q205" s="1159">
        <f>P205*I205</f>
        <v>0</v>
      </c>
      <c r="R205" s="1159">
        <f>O205+Q205</f>
        <v>0</v>
      </c>
      <c r="S205" s="1159">
        <v>0</v>
      </c>
      <c r="T205" s="1159">
        <v>2.5</v>
      </c>
      <c r="U205" s="1159">
        <f>P205*T205</f>
        <v>0</v>
      </c>
      <c r="V205" s="1161" t="s">
        <v>2938</v>
      </c>
      <c r="W205" s="1160">
        <v>4</v>
      </c>
      <c r="X205" s="1162" t="s">
        <v>2761</v>
      </c>
      <c r="Y205" s="1155" t="s">
        <v>2658</v>
      </c>
      <c r="AB205" s="1146"/>
      <c r="AC205" s="1148">
        <f t="shared" si="18"/>
        <v>0</v>
      </c>
    </row>
    <row r="206" spans="3:29" ht="24.95" customHeight="1">
      <c r="C206" s="1155" t="s">
        <v>2718</v>
      </c>
      <c r="D206" s="1156"/>
      <c r="E206" s="1156" t="s">
        <v>2705</v>
      </c>
      <c r="F206" s="1156" t="s">
        <v>2667</v>
      </c>
      <c r="G206" s="1157" t="s">
        <v>2971</v>
      </c>
      <c r="H206" s="1157" t="s">
        <v>2972</v>
      </c>
      <c r="I206" s="1158">
        <v>10.58</v>
      </c>
      <c r="J206" s="1159">
        <v>10.58</v>
      </c>
      <c r="K206" s="1159"/>
      <c r="L206" s="1159">
        <v>10.58</v>
      </c>
      <c r="M206" s="1159">
        <v>11</v>
      </c>
      <c r="N206" s="1160">
        <v>25</v>
      </c>
      <c r="O206" s="1159">
        <f t="shared" si="21"/>
        <v>264.5</v>
      </c>
      <c r="P206" s="1160"/>
      <c r="Q206" s="1159">
        <f t="shared" si="22"/>
        <v>0</v>
      </c>
      <c r="R206" s="1159">
        <f t="shared" si="19"/>
        <v>264.5</v>
      </c>
      <c r="S206" s="1159">
        <v>0</v>
      </c>
      <c r="T206" s="1159">
        <v>2.75</v>
      </c>
      <c r="U206" s="1159">
        <f t="shared" si="20"/>
        <v>0</v>
      </c>
      <c r="V206" s="1161" t="s">
        <v>2938</v>
      </c>
      <c r="W206" s="1160">
        <v>4</v>
      </c>
      <c r="X206" s="1162" t="s">
        <v>2761</v>
      </c>
      <c r="Y206" s="1155" t="s">
        <v>2658</v>
      </c>
      <c r="AB206" s="1146"/>
      <c r="AC206" s="1148">
        <f t="shared" si="18"/>
        <v>264.5</v>
      </c>
    </row>
    <row r="207" spans="3:29" ht="24.95" customHeight="1">
      <c r="C207" s="1155" t="s">
        <v>2719</v>
      </c>
      <c r="D207" s="1156"/>
      <c r="E207" s="1156" t="s">
        <v>2707</v>
      </c>
      <c r="F207" s="1156" t="s">
        <v>2667</v>
      </c>
      <c r="G207" s="1157" t="s">
        <v>2971</v>
      </c>
      <c r="H207" s="1157" t="s">
        <v>2972</v>
      </c>
      <c r="I207" s="1158">
        <v>11.94</v>
      </c>
      <c r="J207" s="1159">
        <v>11.94</v>
      </c>
      <c r="K207" s="1159"/>
      <c r="L207" s="1159">
        <v>11.94</v>
      </c>
      <c r="M207" s="1159">
        <v>12.5</v>
      </c>
      <c r="N207" s="1160">
        <v>25</v>
      </c>
      <c r="O207" s="1159">
        <f>I207*N207</f>
        <v>298.5</v>
      </c>
      <c r="P207" s="1160"/>
      <c r="Q207" s="1159">
        <f t="shared" si="22"/>
        <v>0</v>
      </c>
      <c r="R207" s="1159">
        <f t="shared" si="19"/>
        <v>298.5</v>
      </c>
      <c r="S207" s="1159">
        <v>0</v>
      </c>
      <c r="T207" s="1159">
        <v>3.125</v>
      </c>
      <c r="U207" s="1159">
        <f t="shared" si="20"/>
        <v>0</v>
      </c>
      <c r="V207" s="1161" t="s">
        <v>2938</v>
      </c>
      <c r="W207" s="1160">
        <v>4</v>
      </c>
      <c r="X207" s="1162" t="s">
        <v>2761</v>
      </c>
      <c r="Y207" s="1155" t="s">
        <v>2658</v>
      </c>
      <c r="AB207" s="1146"/>
      <c r="AC207" s="1148">
        <f t="shared" si="18"/>
        <v>298.5</v>
      </c>
    </row>
    <row r="208" spans="3:29" ht="24.95" customHeight="1">
      <c r="O208" s="1149">
        <f>SUM(O8:O207)</f>
        <v>16288.455000000002</v>
      </c>
      <c r="P208" s="1149"/>
      <c r="Q208" s="1149">
        <f t="shared" ref="Q208:U208" si="23">SUM(Q8:Q207)</f>
        <v>4624.4040000000005</v>
      </c>
      <c r="R208" s="1149">
        <f t="shared" si="23"/>
        <v>20912.859000000004</v>
      </c>
      <c r="S208" s="1149"/>
      <c r="T208" s="1149"/>
      <c r="U208" s="1149">
        <f t="shared" si="23"/>
        <v>1945.3210000000004</v>
      </c>
      <c r="AB208" s="1146"/>
    </row>
  </sheetData>
  <phoneticPr fontId="37" type="noConversion"/>
  <dataValidations count="3">
    <dataValidation type="list" allowBlank="1" showInputMessage="1" showErrorMessage="1" sqref="V8:V207" xr:uid="{5EF1EE7D-CDF6-497B-B3B4-D91AA6DC892A}">
      <formula1>uom_option</formula1>
    </dataValidation>
    <dataValidation type="list" allowBlank="1" showInputMessage="1" showErrorMessage="1" sqref="G8:G207" xr:uid="{8CF1637E-F875-4D8C-A39A-238C3D2197DE}">
      <formula1>product_group_option</formula1>
    </dataValidation>
    <dataValidation type="list" allowBlank="1" showInputMessage="1" showErrorMessage="1" sqref="H8:H207" xr:uid="{4EE475BC-12EF-4FDD-BC00-61DCEDEA6607}">
      <formula1>product_brand_option</formula1>
    </dataValidation>
  </dataValidation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9A6EB-B8D4-4F53-A6B3-78BEB90724FD}">
  <sheetPr codeName="Sheet16"/>
  <dimension ref="A1"/>
  <sheetViews>
    <sheetView workbookViewId="0">
      <selection activeCell="S26" sqref="S26"/>
    </sheetView>
  </sheetViews>
  <sheetFormatPr defaultRowHeight="15"/>
  <sheetData/>
  <pageMargins left="0.7" right="0.7" top="0.75" bottom="0.75" header="0.3" footer="0.3"/>
  <pageSetup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H24" sqref="H24"/>
    </sheetView>
  </sheetViews>
  <sheetFormatPr defaultColWidth="8.7109375" defaultRowHeight="24.95" customHeight="1"/>
  <cols>
    <col min="1" max="1" width="2.140625" style="1121" customWidth="1"/>
    <col min="2" max="2" width="2.28515625" style="445" customWidth="1"/>
    <col min="3" max="3" width="9.7109375" style="204" customWidth="1"/>
    <col min="4" max="4" width="16" style="204" hidden="1" customWidth="1"/>
    <col min="5" max="5" width="15.5703125" style="204" hidden="1" customWidth="1"/>
    <col min="6" max="6" width="16.5703125" style="368" customWidth="1"/>
    <col min="7" max="7" width="23.42578125" style="1134" customWidth="1"/>
    <col min="8" max="8" width="38" style="401" bestFit="1" customWidth="1"/>
    <col min="9" max="9" width="36.7109375" style="317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17" customWidth="1"/>
    <col min="15" max="15" width="15.28515625" style="1135" bestFit="1" customWidth="1"/>
    <col min="16" max="16" width="15.85546875" style="1136" customWidth="1"/>
    <col min="17" max="17" width="21.5703125" style="1137" customWidth="1"/>
    <col min="18" max="18" width="15.85546875" style="1120" customWidth="1"/>
    <col min="19" max="19" width="17.140625" style="1120" customWidth="1"/>
    <col min="20" max="20" width="18" style="1120" customWidth="1"/>
    <col min="21" max="22" width="18.140625" style="1120" customWidth="1"/>
    <col min="23" max="23" width="14.85546875" style="1120" customWidth="1"/>
    <col min="24" max="24" width="19.5703125" style="317" bestFit="1" customWidth="1"/>
    <col min="25" max="25" width="20.85546875" style="256" customWidth="1"/>
    <col min="26" max="26" width="17.42578125" style="1145" customWidth="1"/>
    <col min="27" max="28" width="17" style="1120" customWidth="1"/>
    <col min="29" max="29" width="22.5703125" style="1120" customWidth="1"/>
    <col min="30" max="30" width="17.85546875" style="1212" customWidth="1"/>
    <col min="31" max="31" width="20" style="1212" bestFit="1" customWidth="1"/>
    <col min="32" max="32" width="23.5703125" style="1186" customWidth="1"/>
    <col min="33" max="33" width="25.7109375" style="1186" customWidth="1"/>
    <col min="34" max="46" width="5.7109375" style="1186" customWidth="1"/>
    <col min="47" max="47" width="19.85546875" style="1120" customWidth="1"/>
    <col min="48" max="48" width="23.28515625" style="445" customWidth="1"/>
    <col min="49" max="51" width="10.7109375" style="607" customWidth="1"/>
    <col min="52" max="52" width="21.140625" style="1209" customWidth="1"/>
    <col min="53" max="53" width="21.5703125" style="1209" customWidth="1"/>
    <col min="54" max="54" width="15.28515625" style="1121" customWidth="1"/>
    <col min="55" max="55" width="22.85546875" style="1121" customWidth="1"/>
    <col min="56" max="56" width="22" style="1121" customWidth="1"/>
    <col min="57" max="58" width="8.7109375" style="1121"/>
    <col min="59" max="59" width="33.85546875" style="1121" customWidth="1"/>
    <col min="60" max="16384" width="8.7109375" style="1121"/>
  </cols>
  <sheetData>
    <row r="1" spans="2:53" ht="58.5" customHeight="1">
      <c r="C1" s="1187" t="s">
        <v>3221</v>
      </c>
      <c r="D1" s="1188"/>
      <c r="E1" s="1188"/>
      <c r="F1" s="1189"/>
      <c r="G1" s="1190"/>
      <c r="H1" s="1191"/>
      <c r="I1" s="1192"/>
      <c r="J1" s="1191"/>
      <c r="K1" s="1191"/>
      <c r="L1" s="1191"/>
      <c r="M1" s="1191"/>
      <c r="N1" s="1192"/>
      <c r="O1" s="1193"/>
      <c r="P1" s="1193"/>
      <c r="Q1" s="1194"/>
      <c r="R1" s="1195"/>
      <c r="S1" s="1195"/>
      <c r="T1" s="1195"/>
      <c r="U1" s="1195"/>
      <c r="V1" s="1195"/>
      <c r="W1" s="1195"/>
      <c r="X1" s="1192"/>
      <c r="Y1" s="1191"/>
      <c r="Z1" s="1195"/>
      <c r="AA1" s="1195"/>
      <c r="AB1" s="1195"/>
      <c r="AC1" s="1195"/>
      <c r="AU1" s="1195"/>
      <c r="AV1" s="1196"/>
    </row>
    <row r="2" spans="2:53" ht="39.75" customHeight="1">
      <c r="C2" s="1197" t="s">
        <v>2085</v>
      </c>
      <c r="D2" s="1198"/>
      <c r="E2" s="1198"/>
      <c r="F2" s="2120" t="s">
        <v>1960</v>
      </c>
      <c r="G2" s="2121"/>
      <c r="H2" s="2122"/>
      <c r="I2" s="1199" t="s">
        <v>2130</v>
      </c>
      <c r="J2" s="1246" t="s">
        <v>20</v>
      </c>
      <c r="K2" s="1246" t="s">
        <v>22</v>
      </c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</row>
    <row r="3" spans="2:53" ht="27" customHeight="1">
      <c r="F3" s="1233">
        <f>MID(F2,1,2)*1</f>
        <v>1</v>
      </c>
      <c r="G3" s="1176"/>
      <c r="H3" s="1234">
        <f>COUNT(J3:Z3)</f>
        <v>2</v>
      </c>
      <c r="I3" s="1235" t="str">
        <f>IF(import_pro_number_of_price_type&gt;1,_xlfn.TEXTJOIN(",",TRUE,J3:Z3),J3)</f>
        <v>1,2</v>
      </c>
      <c r="J3" s="1233">
        <f>IF(J2="","",MID(J2,1,2)*1)</f>
        <v>1</v>
      </c>
      <c r="K3" s="1233">
        <f>IF(K2="","",MID(K2,1,2)*1)</f>
        <v>2</v>
      </c>
      <c r="L3" s="1233" t="str">
        <f>IF(L2="","",MID(L2,1,2)*1)</f>
        <v/>
      </c>
      <c r="M3" s="1233" t="str">
        <f t="shared" ref="M3:Z3" si="0">IF(M2="","",MID(M2,1,2)*1)</f>
        <v/>
      </c>
      <c r="N3" s="1233" t="str">
        <f t="shared" si="0"/>
        <v/>
      </c>
      <c r="O3" s="1233" t="str">
        <f t="shared" si="0"/>
        <v/>
      </c>
      <c r="P3" s="1233" t="str">
        <f t="shared" si="0"/>
        <v/>
      </c>
      <c r="Q3" s="1233" t="str">
        <f t="shared" si="0"/>
        <v/>
      </c>
      <c r="R3" s="1233" t="str">
        <f t="shared" si="0"/>
        <v/>
      </c>
      <c r="S3" s="1233" t="str">
        <f t="shared" si="0"/>
        <v/>
      </c>
      <c r="T3" s="1233" t="str">
        <f t="shared" si="0"/>
        <v/>
      </c>
      <c r="U3" s="1233" t="str">
        <f t="shared" si="0"/>
        <v/>
      </c>
      <c r="V3" s="1233" t="str">
        <f t="shared" si="0"/>
        <v/>
      </c>
      <c r="W3" s="1233" t="str">
        <f t="shared" si="0"/>
        <v/>
      </c>
      <c r="X3" s="1233" t="str">
        <f t="shared" si="0"/>
        <v/>
      </c>
      <c r="Y3" s="1233" t="str">
        <f t="shared" si="0"/>
        <v/>
      </c>
      <c r="Z3" s="1233" t="str">
        <f t="shared" si="0"/>
        <v/>
      </c>
      <c r="AD3" s="1236" t="s">
        <v>3219</v>
      </c>
    </row>
    <row r="4" spans="2:53" s="1120" customFormat="1" ht="21.95" hidden="1" customHeight="1">
      <c r="B4" s="1237"/>
      <c r="C4" s="204"/>
      <c r="D4" s="204"/>
      <c r="E4" s="204"/>
      <c r="F4" s="204"/>
      <c r="H4" s="757"/>
      <c r="J4" s="757"/>
      <c r="K4" s="757"/>
      <c r="L4" s="757"/>
      <c r="M4" s="757"/>
      <c r="N4" s="757"/>
      <c r="O4" s="757"/>
      <c r="P4" s="757"/>
      <c r="Q4" s="757"/>
      <c r="R4" s="757"/>
      <c r="S4" s="757"/>
      <c r="T4" s="757"/>
      <c r="U4" s="757"/>
      <c r="V4" s="757"/>
      <c r="W4" s="757"/>
      <c r="X4" s="757"/>
      <c r="Y4" s="757"/>
      <c r="Z4" s="757"/>
      <c r="AD4" s="1238"/>
      <c r="AE4" s="1238"/>
      <c r="AV4" s="1237"/>
      <c r="AW4" s="607"/>
      <c r="AX4" s="607"/>
      <c r="AY4" s="607"/>
      <c r="AZ4" s="1209"/>
      <c r="BA4" s="1209"/>
    </row>
    <row r="5" spans="2:53" ht="21.95" hidden="1" customHeight="1">
      <c r="J5" s="401"/>
      <c r="K5" s="757" t="str">
        <f t="shared" ref="K5:K13" si="1">IF(J5="","",MID(J5,1,2)*1)</f>
        <v/>
      </c>
      <c r="AD5" s="1239"/>
      <c r="AE5" s="1239"/>
    </row>
    <row r="6" spans="2:53" ht="21.95" hidden="1" customHeight="1">
      <c r="J6" s="401"/>
      <c r="K6" s="757" t="str">
        <f t="shared" si="1"/>
        <v/>
      </c>
      <c r="AD6" s="1239"/>
      <c r="AE6" s="1239"/>
    </row>
    <row r="7" spans="2:53" ht="21.95" hidden="1" customHeight="1">
      <c r="J7" s="401"/>
      <c r="K7" s="757" t="str">
        <f t="shared" si="1"/>
        <v/>
      </c>
      <c r="AD7" s="1239"/>
      <c r="AE7" s="1239"/>
    </row>
    <row r="8" spans="2:53" ht="21.95" hidden="1" customHeight="1">
      <c r="J8" s="401"/>
      <c r="K8" s="757" t="str">
        <f t="shared" si="1"/>
        <v/>
      </c>
      <c r="AD8" s="1239"/>
      <c r="AE8" s="1239"/>
    </row>
    <row r="9" spans="2:53" ht="21.95" hidden="1" customHeight="1">
      <c r="J9" s="401"/>
      <c r="K9" s="757" t="str">
        <f t="shared" si="1"/>
        <v/>
      </c>
      <c r="AD9" s="1239"/>
      <c r="AE9" s="1239"/>
    </row>
    <row r="10" spans="2:53" ht="21.95" hidden="1" customHeight="1">
      <c r="J10" s="401"/>
      <c r="K10" s="757" t="str">
        <f t="shared" si="1"/>
        <v/>
      </c>
      <c r="AD10" s="1239"/>
      <c r="AE10" s="1239"/>
    </row>
    <row r="11" spans="2:53" ht="21.95" hidden="1" customHeight="1">
      <c r="J11" s="401"/>
      <c r="K11" s="757" t="str">
        <f t="shared" si="1"/>
        <v/>
      </c>
      <c r="AD11" s="1239"/>
      <c r="AE11" s="1239"/>
    </row>
    <row r="12" spans="2:53" ht="21.95" hidden="1" customHeight="1">
      <c r="J12" s="401"/>
      <c r="K12" s="757" t="str">
        <f t="shared" si="1"/>
        <v/>
      </c>
      <c r="AD12" s="1239"/>
      <c r="AE12" s="1239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1"/>
      <c r="K13" s="757" t="str">
        <f t="shared" si="1"/>
        <v/>
      </c>
      <c r="L13" s="158"/>
      <c r="M13" s="158"/>
      <c r="N13" s="158"/>
      <c r="O13" s="664"/>
      <c r="P13" s="663"/>
      <c r="Q13" s="880"/>
      <c r="R13" s="144"/>
      <c r="S13" s="144"/>
      <c r="T13" s="144"/>
      <c r="U13" s="144"/>
      <c r="V13" s="144"/>
      <c r="W13" s="144"/>
      <c r="X13" s="158"/>
      <c r="Y13" s="256"/>
      <c r="Z13" s="354"/>
      <c r="AA13" s="144"/>
      <c r="AB13" s="144"/>
      <c r="AC13" s="144"/>
      <c r="AD13" s="1240"/>
      <c r="AE13" s="1240"/>
      <c r="AF13" s="1241"/>
      <c r="AG13" s="1241"/>
      <c r="AH13" s="1241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44"/>
      <c r="AV13"/>
      <c r="AW13" s="13"/>
      <c r="AX13" s="13"/>
      <c r="AY13" s="13"/>
      <c r="AZ13" s="1209"/>
      <c r="BA13" s="1209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664"/>
      <c r="P14" s="663"/>
      <c r="Q14" s="880"/>
      <c r="R14" s="144"/>
      <c r="S14" s="144"/>
      <c r="T14" s="144"/>
      <c r="U14" s="144"/>
      <c r="V14" s="144"/>
      <c r="W14" s="144"/>
      <c r="X14" s="158"/>
      <c r="Y14" s="256"/>
      <c r="Z14" s="354"/>
      <c r="AA14" s="144"/>
      <c r="AB14" s="144"/>
      <c r="AC14" s="144"/>
      <c r="AD14" s="1240"/>
      <c r="AE14" s="1240"/>
      <c r="AF14" s="1241"/>
      <c r="AG14" s="1241"/>
      <c r="AH14" s="1241"/>
      <c r="AI14" s="1241"/>
      <c r="AJ14" s="1241"/>
      <c r="AK14" s="1241"/>
      <c r="AL14" s="1241"/>
      <c r="AM14" s="1241"/>
      <c r="AN14" s="1241"/>
      <c r="AO14" s="1241"/>
      <c r="AP14" s="1241"/>
      <c r="AQ14" s="1241"/>
      <c r="AR14" s="1241"/>
      <c r="AS14" s="1241"/>
      <c r="AT14" s="1241"/>
      <c r="AU14" s="144"/>
      <c r="AV14"/>
      <c r="AW14" s="13"/>
      <c r="AX14" s="13"/>
      <c r="AY14" s="13"/>
      <c r="AZ14" s="1209"/>
      <c r="BA14" s="1209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664"/>
      <c r="P15" s="663"/>
      <c r="Q15" s="880"/>
      <c r="R15" s="144"/>
      <c r="S15" s="144"/>
      <c r="T15" s="144"/>
      <c r="U15" s="144"/>
      <c r="V15" s="144"/>
      <c r="W15" s="144"/>
      <c r="X15" s="158"/>
      <c r="Y15" s="256"/>
      <c r="Z15" s="354"/>
      <c r="AA15" s="144"/>
      <c r="AB15" s="144"/>
      <c r="AC15" s="144"/>
      <c r="AD15" s="1240"/>
      <c r="AE15" s="1240"/>
      <c r="AF15" s="1241"/>
      <c r="AG15" s="1241"/>
      <c r="AH15" s="1241"/>
      <c r="AI15" s="1241"/>
      <c r="AJ15" s="1241"/>
      <c r="AK15" s="1241"/>
      <c r="AL15" s="1241"/>
      <c r="AM15" s="1241"/>
      <c r="AN15" s="1241"/>
      <c r="AO15" s="1241"/>
      <c r="AP15" s="1241"/>
      <c r="AQ15" s="1241"/>
      <c r="AR15" s="1241"/>
      <c r="AS15" s="1241"/>
      <c r="AT15" s="1241"/>
      <c r="AU15" s="144"/>
      <c r="AV15"/>
      <c r="AW15" s="13"/>
      <c r="AX15" s="13"/>
      <c r="AY15" s="13"/>
      <c r="AZ15" s="1209"/>
      <c r="BA15" s="1209"/>
    </row>
    <row r="16" spans="2:53" s="145" customFormat="1" ht="46.5" hidden="1" customHeight="1">
      <c r="B16"/>
      <c r="C16" s="1242"/>
      <c r="D16" s="877"/>
      <c r="E16" s="877"/>
      <c r="F16" s="878"/>
      <c r="H16" s="401"/>
      <c r="I16" s="878"/>
      <c r="J16" s="878"/>
      <c r="K16" s="878"/>
      <c r="L16" s="878"/>
      <c r="M16" s="878"/>
      <c r="N16" s="878"/>
      <c r="O16" s="882"/>
      <c r="P16" s="882"/>
      <c r="Q16" s="881"/>
      <c r="R16" s="877"/>
      <c r="S16" s="877"/>
      <c r="T16" s="877"/>
      <c r="U16" s="877"/>
      <c r="V16" s="877"/>
      <c r="W16" s="877"/>
      <c r="X16" s="878"/>
      <c r="Y16" s="256"/>
      <c r="Z16" s="354"/>
      <c r="AA16" s="144"/>
      <c r="AB16" s="144"/>
      <c r="AC16" s="144"/>
      <c r="AD16" s="1243"/>
      <c r="AE16" s="1243"/>
      <c r="AF16" s="1244"/>
      <c r="AG16" s="1244"/>
      <c r="AH16" s="1244"/>
      <c r="AI16" s="1244"/>
      <c r="AJ16" s="1244"/>
      <c r="AK16" s="1244"/>
      <c r="AL16" s="1244"/>
      <c r="AM16" s="1244"/>
      <c r="AN16" s="1244"/>
      <c r="AO16" s="1244"/>
      <c r="AP16" s="1244"/>
      <c r="AQ16" s="1244"/>
      <c r="AR16" s="1244"/>
      <c r="AS16" s="1244"/>
      <c r="AT16" s="1244"/>
      <c r="AU16" s="144"/>
      <c r="AV16"/>
      <c r="AW16" s="204"/>
      <c r="AX16" s="13"/>
      <c r="AY16" s="13"/>
      <c r="AZ16" s="1209"/>
      <c r="BA16" s="1209"/>
    </row>
    <row r="17" spans="2:59" s="140" customFormat="1" ht="26.25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45"/>
      <c r="AE17" s="1245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209"/>
      <c r="BA17" s="1209"/>
    </row>
    <row r="18" spans="2:59" s="145" customFormat="1" ht="24.95" customHeight="1">
      <c r="B18"/>
      <c r="C18" s="1200" t="s">
        <v>47</v>
      </c>
      <c r="D18" s="1200" t="s">
        <v>2785</v>
      </c>
      <c r="E18" s="1200" t="s">
        <v>2788</v>
      </c>
      <c r="F18" s="1200" t="s">
        <v>2090</v>
      </c>
      <c r="G18" s="1200" t="s">
        <v>2298</v>
      </c>
      <c r="H18" s="1200" t="s">
        <v>61</v>
      </c>
      <c r="I18" s="1200" t="s">
        <v>2950</v>
      </c>
      <c r="J18" s="1200" t="s">
        <v>1646</v>
      </c>
      <c r="K18" s="1200" t="s">
        <v>1647</v>
      </c>
      <c r="L18" s="1200" t="s">
        <v>1651</v>
      </c>
      <c r="M18" s="1200" t="s">
        <v>83</v>
      </c>
      <c r="N18" s="1200" t="s">
        <v>1671</v>
      </c>
      <c r="O18" s="1200" t="s">
        <v>63</v>
      </c>
      <c r="P18" s="1200" t="s">
        <v>280</v>
      </c>
      <c r="Q18" s="1200" t="s">
        <v>267</v>
      </c>
      <c r="R18" s="1200" t="s">
        <v>306</v>
      </c>
      <c r="S18" s="1200" t="s">
        <v>2783</v>
      </c>
      <c r="T18" s="1200" t="s">
        <v>2787</v>
      </c>
      <c r="U18" s="1200" t="s">
        <v>2749</v>
      </c>
      <c r="V18" s="1200" t="s">
        <v>2781</v>
      </c>
      <c r="W18" s="1200" t="s">
        <v>278</v>
      </c>
      <c r="X18" s="1200" t="s">
        <v>62</v>
      </c>
      <c r="Y18" s="1200" t="s">
        <v>3203</v>
      </c>
      <c r="Z18" s="1200" t="s">
        <v>3204</v>
      </c>
      <c r="AA18" s="1200" t="s">
        <v>3208</v>
      </c>
      <c r="AB18" s="1200" t="s">
        <v>3222</v>
      </c>
      <c r="AC18" s="1200" t="s">
        <v>3214</v>
      </c>
      <c r="AD18" s="1213" t="str">
        <f t="shared" ref="AD18:AT18" si="2">IF(J2="","","តម្លៃ"&amp;MID(J2,4,100))</f>
        <v>តម្លៃលក់ដុំ ទូទៅ</v>
      </c>
      <c r="AE18" s="1213" t="str">
        <f t="shared" si="2"/>
        <v>តម្លៃលក់រាយ ទូទៅ</v>
      </c>
      <c r="AF18" s="1201" t="str">
        <f t="shared" si="2"/>
        <v/>
      </c>
      <c r="AG18" s="1201" t="str">
        <f t="shared" si="2"/>
        <v/>
      </c>
      <c r="AH18" s="1201" t="str">
        <f t="shared" si="2"/>
        <v/>
      </c>
      <c r="AI18" s="1201" t="str">
        <f t="shared" si="2"/>
        <v/>
      </c>
      <c r="AJ18" s="1201" t="str">
        <f t="shared" si="2"/>
        <v/>
      </c>
      <c r="AK18" s="1201" t="str">
        <f t="shared" si="2"/>
        <v/>
      </c>
      <c r="AL18" s="1201" t="str">
        <f t="shared" si="2"/>
        <v/>
      </c>
      <c r="AM18" s="1201" t="str">
        <f t="shared" si="2"/>
        <v/>
      </c>
      <c r="AN18" s="1201" t="str">
        <f t="shared" si="2"/>
        <v/>
      </c>
      <c r="AO18" s="1201" t="str">
        <f t="shared" si="2"/>
        <v/>
      </c>
      <c r="AP18" s="1201" t="str">
        <f t="shared" si="2"/>
        <v/>
      </c>
      <c r="AQ18" s="1201" t="str">
        <f t="shared" si="2"/>
        <v/>
      </c>
      <c r="AR18" s="1201" t="str">
        <f t="shared" si="2"/>
        <v/>
      </c>
      <c r="AS18" s="1201" t="str">
        <f t="shared" si="2"/>
        <v/>
      </c>
      <c r="AT18" s="1201" t="str">
        <f t="shared" si="2"/>
        <v/>
      </c>
      <c r="AU18" s="1200" t="s">
        <v>1917</v>
      </c>
      <c r="AV18" s="1200" t="s">
        <v>3215</v>
      </c>
      <c r="AW18" s="1200" t="s">
        <v>3216</v>
      </c>
      <c r="AX18" s="1200" t="s">
        <v>3217</v>
      </c>
      <c r="AY18" s="1200" t="s">
        <v>3218</v>
      </c>
    </row>
    <row r="19" spans="2:59" s="613" customFormat="1" ht="31.5">
      <c r="C19" s="1073" t="s">
        <v>10</v>
      </c>
      <c r="D19" s="1073" t="s">
        <v>2021</v>
      </c>
      <c r="E19" s="1073" t="s">
        <v>2784</v>
      </c>
      <c r="F19" s="1073" t="s">
        <v>439</v>
      </c>
      <c r="G19" s="1073" t="s">
        <v>111</v>
      </c>
      <c r="H19" s="1073" t="s">
        <v>75</v>
      </c>
      <c r="I19" s="1073" t="s">
        <v>2949</v>
      </c>
      <c r="J19" s="1073" t="s">
        <v>1648</v>
      </c>
      <c r="K19" s="1073" t="s">
        <v>1649</v>
      </c>
      <c r="L19" s="1073" t="s">
        <v>1650</v>
      </c>
      <c r="M19" s="1073" t="s">
        <v>86</v>
      </c>
      <c r="N19" s="1073" t="s">
        <v>440</v>
      </c>
      <c r="O19" s="1073" t="s">
        <v>77</v>
      </c>
      <c r="P19" s="1073" t="s">
        <v>29</v>
      </c>
      <c r="Q19" s="1073" t="s">
        <v>2779</v>
      </c>
      <c r="R19" s="1073" t="s">
        <v>1905</v>
      </c>
      <c r="S19" s="1073" t="s">
        <v>2782</v>
      </c>
      <c r="T19" s="1073" t="s">
        <v>2747</v>
      </c>
      <c r="U19" s="1073" t="s">
        <v>2748</v>
      </c>
      <c r="V19" s="1073" t="s">
        <v>2780</v>
      </c>
      <c r="W19" s="1073" t="s">
        <v>273</v>
      </c>
      <c r="X19" s="1073" t="s">
        <v>14</v>
      </c>
      <c r="Y19" s="1073" t="s">
        <v>3205</v>
      </c>
      <c r="Z19" s="1073" t="s">
        <v>3206</v>
      </c>
      <c r="AA19" s="1073" t="s">
        <v>3207</v>
      </c>
      <c r="AB19" s="1073" t="s">
        <v>2116</v>
      </c>
      <c r="AC19" s="1073" t="s">
        <v>3213</v>
      </c>
      <c r="AD19" s="1073">
        <f t="shared" ref="AD19:AT19" si="3">IF(J2="","",MID(J2,1,2)*1)</f>
        <v>1</v>
      </c>
      <c r="AE19" s="1073">
        <f t="shared" si="3"/>
        <v>2</v>
      </c>
      <c r="AF19" s="1073"/>
      <c r="AG19" s="1073" t="str">
        <f t="shared" si="3"/>
        <v/>
      </c>
      <c r="AH19" s="1073" t="str">
        <f t="shared" si="3"/>
        <v/>
      </c>
      <c r="AI19" s="1073" t="str">
        <f t="shared" si="3"/>
        <v/>
      </c>
      <c r="AJ19" s="1073" t="str">
        <f t="shared" si="3"/>
        <v/>
      </c>
      <c r="AK19" s="1073" t="str">
        <f t="shared" si="3"/>
        <v/>
      </c>
      <c r="AL19" s="1073" t="str">
        <f t="shared" si="3"/>
        <v/>
      </c>
      <c r="AM19" s="1073" t="str">
        <f t="shared" si="3"/>
        <v/>
      </c>
      <c r="AN19" s="1073" t="str">
        <f t="shared" si="3"/>
        <v/>
      </c>
      <c r="AO19" s="1073" t="str">
        <f t="shared" si="3"/>
        <v/>
      </c>
      <c r="AP19" s="1073" t="str">
        <f t="shared" si="3"/>
        <v/>
      </c>
      <c r="AQ19" s="1073" t="str">
        <f t="shared" si="3"/>
        <v/>
      </c>
      <c r="AR19" s="1073" t="str">
        <f t="shared" si="3"/>
        <v/>
      </c>
      <c r="AS19" s="1073" t="str">
        <f t="shared" si="3"/>
        <v/>
      </c>
      <c r="AT19" s="1073" t="str">
        <f t="shared" si="3"/>
        <v/>
      </c>
      <c r="AU19" s="1073" t="s">
        <v>2103</v>
      </c>
      <c r="AV19" s="1073" t="s">
        <v>3209</v>
      </c>
      <c r="AW19" s="1073" t="s">
        <v>3210</v>
      </c>
      <c r="AX19" s="1073" t="s">
        <v>3211</v>
      </c>
      <c r="AY19" s="1073" t="s">
        <v>3212</v>
      </c>
      <c r="AZ19" s="1210" t="s">
        <v>3226</v>
      </c>
      <c r="BA19" s="1211" t="s">
        <v>3227</v>
      </c>
    </row>
    <row r="20" spans="2:59" ht="24.95" customHeight="1">
      <c r="C20" s="843"/>
      <c r="D20" s="843"/>
      <c r="E20" s="843"/>
      <c r="F20" s="1116"/>
      <c r="G20" s="1117"/>
      <c r="H20" s="868"/>
      <c r="I20" s="1118"/>
      <c r="J20" s="1138"/>
      <c r="K20" s="1138"/>
      <c r="L20" s="870"/>
      <c r="M20" s="868"/>
      <c r="N20" s="1118"/>
      <c r="O20" s="1119"/>
      <c r="P20" s="884"/>
      <c r="Q20" s="885"/>
      <c r="R20" s="843"/>
      <c r="S20" s="843"/>
      <c r="T20" s="843"/>
      <c r="U20" s="843"/>
      <c r="V20" s="843"/>
      <c r="W20" s="843"/>
      <c r="X20" s="870"/>
      <c r="Y20" s="843"/>
      <c r="Z20" s="843"/>
      <c r="AA20" s="843"/>
      <c r="AB20" s="843"/>
      <c r="AC20" s="843"/>
      <c r="AD20" s="1214"/>
      <c r="AE20" s="1214"/>
      <c r="AF20" s="1215"/>
      <c r="AG20" s="1215"/>
      <c r="AH20" s="1215"/>
      <c r="AI20" s="1215"/>
      <c r="AJ20" s="1216"/>
      <c r="AK20" s="1216"/>
      <c r="AL20" s="1216"/>
      <c r="AM20" s="1216"/>
      <c r="AN20" s="1216"/>
      <c r="AO20" s="1216"/>
      <c r="AP20" s="1216"/>
      <c r="AQ20" s="1216"/>
      <c r="AR20" s="1216"/>
      <c r="AS20" s="1216"/>
      <c r="AT20" s="1216"/>
      <c r="AV20" s="401"/>
      <c r="AW20" s="757"/>
      <c r="AX20" s="757"/>
      <c r="AY20" s="757"/>
      <c r="BB20" s="1217"/>
      <c r="BC20" s="1217"/>
      <c r="BD20" s="1217"/>
    </row>
    <row r="21" spans="2:59" ht="24.95" customHeight="1">
      <c r="C21" s="843"/>
      <c r="D21" s="843"/>
      <c r="E21" s="843"/>
      <c r="F21" s="1116"/>
      <c r="G21" s="1117"/>
      <c r="H21" s="868"/>
      <c r="I21" s="1118"/>
      <c r="J21" s="1138"/>
      <c r="K21" s="1138"/>
      <c r="L21" s="870"/>
      <c r="M21" s="868"/>
      <c r="N21" s="1118"/>
      <c r="O21" s="1119"/>
      <c r="P21" s="884"/>
      <c r="Q21" s="885"/>
      <c r="R21" s="843"/>
      <c r="S21" s="843"/>
      <c r="T21" s="843"/>
      <c r="U21" s="843"/>
      <c r="V21" s="843"/>
      <c r="W21" s="843"/>
      <c r="X21" s="870"/>
      <c r="Y21" s="843"/>
      <c r="Z21" s="843"/>
      <c r="AA21" s="843"/>
      <c r="AB21" s="843"/>
      <c r="AC21" s="843"/>
      <c r="AD21" s="1214"/>
      <c r="AE21" s="1214"/>
      <c r="AF21" s="1215"/>
      <c r="AG21" s="1215"/>
      <c r="AH21" s="1215"/>
      <c r="AI21" s="1215"/>
      <c r="AJ21" s="1216"/>
      <c r="AK21" s="1216"/>
      <c r="AL21" s="1216"/>
      <c r="AM21" s="1216"/>
      <c r="AN21" s="1216"/>
      <c r="AO21" s="1216"/>
      <c r="AP21" s="1216"/>
      <c r="AQ21" s="1216"/>
      <c r="AR21" s="1216"/>
      <c r="AS21" s="1216"/>
      <c r="AT21" s="1216"/>
      <c r="AV21" s="401"/>
      <c r="AW21" s="757"/>
      <c r="AX21" s="757"/>
      <c r="AY21" s="757"/>
      <c r="BB21" s="1217"/>
      <c r="BC21" s="1217"/>
      <c r="BD21" s="1217"/>
      <c r="BE21" s="629"/>
    </row>
    <row r="22" spans="2:59" ht="24.95" customHeight="1">
      <c r="C22" s="843"/>
      <c r="D22" s="843"/>
      <c r="E22" s="843"/>
      <c r="F22" s="1116"/>
      <c r="G22" s="1117"/>
      <c r="H22" s="868"/>
      <c r="I22" s="1118"/>
      <c r="J22" s="1138"/>
      <c r="K22" s="1138"/>
      <c r="L22" s="870"/>
      <c r="M22" s="868"/>
      <c r="N22" s="1118"/>
      <c r="O22" s="1119"/>
      <c r="P22" s="884"/>
      <c r="Q22" s="885"/>
      <c r="R22" s="843"/>
      <c r="S22" s="843"/>
      <c r="T22" s="843"/>
      <c r="U22" s="843"/>
      <c r="V22" s="843"/>
      <c r="W22" s="843"/>
      <c r="X22" s="870"/>
      <c r="Y22" s="843"/>
      <c r="Z22" s="843"/>
      <c r="AA22" s="843"/>
      <c r="AB22" s="843"/>
      <c r="AC22" s="843"/>
      <c r="AD22" s="1214"/>
      <c r="AE22" s="1214"/>
      <c r="AF22" s="1215"/>
      <c r="AG22" s="1215"/>
      <c r="AH22" s="1215"/>
      <c r="AI22" s="1215"/>
      <c r="AJ22" s="1216"/>
      <c r="AK22" s="1216"/>
      <c r="AL22" s="1216"/>
      <c r="AM22" s="1216"/>
      <c r="AN22" s="1216"/>
      <c r="AO22" s="1216"/>
      <c r="AP22" s="1216"/>
      <c r="AQ22" s="1216"/>
      <c r="AR22" s="1216"/>
      <c r="AS22" s="1216"/>
      <c r="AT22" s="1216"/>
      <c r="AV22" s="401"/>
      <c r="AW22" s="757"/>
      <c r="AX22" s="757"/>
      <c r="AY22" s="757"/>
      <c r="BB22" s="1217"/>
      <c r="BC22" s="1217"/>
      <c r="BD22" s="1217"/>
      <c r="BE22" s="629"/>
    </row>
    <row r="23" spans="2:59" ht="24.95" customHeight="1">
      <c r="C23" s="843"/>
      <c r="D23" s="843"/>
      <c r="E23" s="843"/>
      <c r="F23" s="1116"/>
      <c r="G23" s="1117"/>
      <c r="H23" s="868"/>
      <c r="I23" s="1118"/>
      <c r="J23" s="1138"/>
      <c r="K23" s="1138"/>
      <c r="L23" s="870"/>
      <c r="M23" s="868"/>
      <c r="N23" s="1118"/>
      <c r="O23" s="1119"/>
      <c r="P23" s="884"/>
      <c r="Q23" s="885"/>
      <c r="R23" s="843"/>
      <c r="S23" s="843"/>
      <c r="T23" s="843"/>
      <c r="U23" s="843"/>
      <c r="V23" s="843"/>
      <c r="W23" s="843"/>
      <c r="X23" s="870"/>
      <c r="Y23" s="843"/>
      <c r="Z23" s="843"/>
      <c r="AA23" s="843"/>
      <c r="AB23" s="843"/>
      <c r="AC23" s="843"/>
      <c r="AD23" s="1214"/>
      <c r="AE23" s="1214"/>
      <c r="AF23" s="1215"/>
      <c r="AG23" s="1215"/>
      <c r="AH23" s="1215"/>
      <c r="AI23" s="1215"/>
      <c r="AJ23" s="1216"/>
      <c r="AK23" s="1216"/>
      <c r="AL23" s="1216"/>
      <c r="AM23" s="1216"/>
      <c r="AN23" s="1216"/>
      <c r="AO23" s="1216"/>
      <c r="AP23" s="1216"/>
      <c r="AQ23" s="1216"/>
      <c r="AR23" s="1216"/>
      <c r="AS23" s="1216"/>
      <c r="AT23" s="1216"/>
      <c r="AV23" s="401"/>
      <c r="AW23" s="757"/>
      <c r="AX23" s="757"/>
      <c r="AY23" s="757"/>
      <c r="BB23" s="1217"/>
      <c r="BC23" s="1217"/>
      <c r="BD23" s="1217"/>
      <c r="BE23" s="629"/>
    </row>
    <row r="24" spans="2:59" ht="24.95" customHeight="1">
      <c r="C24" s="843"/>
      <c r="D24" s="843"/>
      <c r="E24" s="843"/>
      <c r="F24" s="1116"/>
      <c r="G24" s="1117"/>
      <c r="H24" s="868"/>
      <c r="I24" s="1118"/>
      <c r="J24" s="1138"/>
      <c r="K24" s="1138"/>
      <c r="L24" s="870"/>
      <c r="M24" s="868"/>
      <c r="N24" s="1118"/>
      <c r="O24" s="1119"/>
      <c r="P24" s="884"/>
      <c r="Q24" s="885"/>
      <c r="R24" s="843"/>
      <c r="S24" s="843"/>
      <c r="T24" s="843"/>
      <c r="U24" s="843"/>
      <c r="V24" s="843"/>
      <c r="W24" s="843"/>
      <c r="X24" s="870"/>
      <c r="Y24" s="843"/>
      <c r="Z24" s="843"/>
      <c r="AA24" s="843"/>
      <c r="AB24" s="843"/>
      <c r="AC24" s="843"/>
      <c r="AD24" s="1214"/>
      <c r="AE24" s="1214"/>
      <c r="AF24" s="1215"/>
      <c r="AG24" s="1215"/>
      <c r="AH24" s="1215"/>
      <c r="AI24" s="1215"/>
      <c r="AJ24" s="1216"/>
      <c r="AK24" s="1216"/>
      <c r="AL24" s="1216"/>
      <c r="AM24" s="1216"/>
      <c r="AN24" s="1216"/>
      <c r="AO24" s="1216"/>
      <c r="AP24" s="1216"/>
      <c r="AQ24" s="1216"/>
      <c r="AR24" s="1216"/>
      <c r="AS24" s="1216"/>
      <c r="AT24" s="1216"/>
      <c r="AV24" s="401"/>
      <c r="AW24" s="757"/>
      <c r="AX24" s="757"/>
      <c r="AY24" s="757"/>
      <c r="BB24" s="1217"/>
      <c r="BC24" s="1217"/>
      <c r="BD24" s="1217"/>
      <c r="BE24" s="629"/>
    </row>
    <row r="25" spans="2:59" ht="24.95" customHeight="1">
      <c r="C25" s="843"/>
      <c r="D25" s="843"/>
      <c r="E25" s="843"/>
      <c r="F25" s="1116"/>
      <c r="G25" s="1117"/>
      <c r="H25" s="868"/>
      <c r="I25" s="1118"/>
      <c r="J25" s="1138"/>
      <c r="K25" s="1138"/>
      <c r="L25" s="870"/>
      <c r="M25" s="868"/>
      <c r="N25" s="1118"/>
      <c r="O25" s="1119"/>
      <c r="P25" s="884"/>
      <c r="Q25" s="885"/>
      <c r="R25" s="843"/>
      <c r="S25" s="843"/>
      <c r="T25" s="843"/>
      <c r="U25" s="843"/>
      <c r="V25" s="843"/>
      <c r="W25" s="843"/>
      <c r="X25" s="870"/>
      <c r="Y25" s="843"/>
      <c r="Z25" s="843"/>
      <c r="AA25" s="843"/>
      <c r="AB25" s="843"/>
      <c r="AC25" s="843"/>
      <c r="AD25" s="1214"/>
      <c r="AE25" s="1214"/>
      <c r="AF25" s="1215"/>
      <c r="AG25" s="1215"/>
      <c r="AH25" s="1215"/>
      <c r="AI25" s="1215"/>
      <c r="AJ25" s="1216"/>
      <c r="AK25" s="1216"/>
      <c r="AL25" s="1216"/>
      <c r="AM25" s="1216"/>
      <c r="AN25" s="1216"/>
      <c r="AO25" s="1216"/>
      <c r="AP25" s="1216"/>
      <c r="AQ25" s="1216"/>
      <c r="AR25" s="1216"/>
      <c r="AS25" s="1216"/>
      <c r="AT25" s="1216"/>
      <c r="AV25" s="401"/>
      <c r="AW25" s="757"/>
      <c r="AX25" s="757"/>
      <c r="AY25" s="757"/>
      <c r="BB25" s="1217"/>
      <c r="BC25" s="1217"/>
      <c r="BD25" s="1217"/>
      <c r="BE25" s="629"/>
    </row>
    <row r="26" spans="2:59" ht="24.95" customHeight="1">
      <c r="C26" s="843"/>
      <c r="D26" s="843"/>
      <c r="E26" s="843"/>
      <c r="F26" s="1116"/>
      <c r="G26" s="1117"/>
      <c r="H26" s="868"/>
      <c r="I26" s="1118"/>
      <c r="J26" s="1138"/>
      <c r="K26" s="1138"/>
      <c r="L26" s="870"/>
      <c r="M26" s="868"/>
      <c r="N26" s="1118"/>
      <c r="O26" s="1119"/>
      <c r="P26" s="884"/>
      <c r="Q26" s="885"/>
      <c r="R26" s="843"/>
      <c r="S26" s="843"/>
      <c r="T26" s="843"/>
      <c r="U26" s="843"/>
      <c r="V26" s="843"/>
      <c r="W26" s="843"/>
      <c r="X26" s="870"/>
      <c r="Y26" s="843"/>
      <c r="Z26" s="843"/>
      <c r="AA26" s="843"/>
      <c r="AB26" s="843"/>
      <c r="AC26" s="843"/>
      <c r="AD26" s="1214"/>
      <c r="AE26" s="1214"/>
      <c r="AF26" s="1215"/>
      <c r="AG26" s="1215"/>
      <c r="AH26" s="1215"/>
      <c r="AI26" s="1215"/>
      <c r="AJ26" s="1216"/>
      <c r="AK26" s="1216"/>
      <c r="AL26" s="1216"/>
      <c r="AM26" s="1216"/>
      <c r="AN26" s="1216"/>
      <c r="AO26" s="1216"/>
      <c r="AP26" s="1216"/>
      <c r="AQ26" s="1216"/>
      <c r="AR26" s="1216"/>
      <c r="AS26" s="1216"/>
      <c r="AT26" s="1216"/>
      <c r="AV26" s="401"/>
      <c r="AW26" s="757"/>
      <c r="AX26" s="757"/>
      <c r="AY26" s="757"/>
      <c r="BB26" s="1217"/>
      <c r="BC26" s="1217"/>
      <c r="BD26" s="1217"/>
      <c r="BE26" s="629"/>
    </row>
    <row r="27" spans="2:59" ht="24.95" customHeight="1">
      <c r="C27" s="843"/>
      <c r="D27" s="843"/>
      <c r="E27" s="843"/>
      <c r="F27" s="1116"/>
      <c r="G27" s="1117"/>
      <c r="H27" s="868"/>
      <c r="I27" s="1118"/>
      <c r="J27" s="1138"/>
      <c r="K27" s="1138"/>
      <c r="L27" s="870"/>
      <c r="M27" s="868"/>
      <c r="N27" s="1118"/>
      <c r="O27" s="1119"/>
      <c r="P27" s="884"/>
      <c r="Q27" s="885"/>
      <c r="R27" s="843"/>
      <c r="S27" s="843"/>
      <c r="T27" s="843"/>
      <c r="U27" s="843"/>
      <c r="V27" s="843"/>
      <c r="W27" s="843"/>
      <c r="X27" s="870"/>
      <c r="Y27" s="843" t="str">
        <f>IF(OR(ISNA(MATCH(MID(X27,1,3)*1,UomConversion!$D$8:$D$500,0)),H27=""),"",IF(AV27="","",AV27))</f>
        <v/>
      </c>
      <c r="Z27" s="843" t="str">
        <f>IF(AND(AU27&gt;0,COUNTIFS(UomConversion!$D$8:$D$500,MID(X27,1,3)*1,UomConversion!$J$8:$J$500,1)&gt;1),TEXT(AU27,"000")&amp;"."&amp;VLOOKUP(AU27,uom_list,5,FALSE),"")</f>
        <v/>
      </c>
      <c r="AA27" s="843">
        <f t="shared" ref="AA27:AA51" si="4">COUNT(AW27:AY27)</f>
        <v>0</v>
      </c>
      <c r="AB27" s="843" t="str">
        <f t="shared" ref="AB27:AB84" si="5">_xlfn.TEXTJOIN(",",TRUE,AW27:AY27)</f>
        <v/>
      </c>
      <c r="AC27" s="843">
        <f t="shared" ref="AC27:AC51" si="6">import_pro_number_of_price_type</f>
        <v>2</v>
      </c>
      <c r="AD27" s="1214"/>
      <c r="AE27" s="1214"/>
      <c r="AF27" s="1215"/>
      <c r="AG27" s="1215"/>
      <c r="AH27" s="1215"/>
      <c r="AI27" s="1215"/>
      <c r="AJ27" s="1216"/>
      <c r="AK27" s="1216"/>
      <c r="AL27" s="1216"/>
      <c r="AM27" s="1216"/>
      <c r="AN27" s="1216"/>
      <c r="AO27" s="1216"/>
      <c r="AP27" s="1216"/>
      <c r="AQ27" s="1216"/>
      <c r="AR27" s="1216"/>
      <c r="AS27" s="1216"/>
      <c r="AT27" s="1216"/>
      <c r="AU27" s="1120" t="str" cm="1">
        <f t="array" ref="AU27">IF(H27="","",Slookup(MID(X27,1,3)*1,UomConversion!$D$8:$J$500,2,UomConversion!$I$8:$I$500,1,UomConversion!$J$8:$J$500,1))</f>
        <v/>
      </c>
      <c r="AV27" s="401" t="str">
        <f t="shared" ref="AV27:AV51" si="7">IF(OR(ISNA(VLOOKUP(MID(X27,1,3)*1,uom_converion_list,2,FALSE)),H27=""),"",TEXT(VLOOKUP(MID(X27,1,3)*1,uom_converion_list,2,FALSE),"000")&amp;"."&amp;VLOOKUP(VLOOKUP(MID(X27,1,3)*1,uom_converion_list,2,FALSE),uom_list,5,FALSE))</f>
        <v/>
      </c>
      <c r="AW27" s="757" t="str">
        <f t="shared" ref="AW27:AW51" si="8">IF(X27="","",MID(X27,1,3)*1)</f>
        <v/>
      </c>
      <c r="AX27" s="757" t="str">
        <f t="shared" ref="AX27:AX51" si="9">IF(Y27="","",MID(Y27,1,3)*1)</f>
        <v/>
      </c>
      <c r="AY27" s="757" t="str">
        <f t="shared" ref="AY27:AY51" si="10">IF(Z27="","",MID(Z27,1,3)*1)</f>
        <v/>
      </c>
      <c r="AZ27" s="1209" cm="1">
        <f t="array" ref="AZ27">IF(Y27="",1,Slookup(MID(X27,1,3)*1,UomConversion!$D$8:$J$500,5,UomConversion!$E$8:$E$500,MID(Y27,1,3)*1,UomConversion!$I$8:$I$500,1))</f>
        <v>1</v>
      </c>
      <c r="BA27" s="1209" cm="1">
        <f t="array" ref="BA27">IF(Z27="",1,Slookup(MID(X27,1,3)*1,UomConversion!$D$8:$J$500,5,UomConversion!$E$8:$E$500,MID(Z27,1,3)*1,UomConversion!$I$8:$I$500,1))</f>
        <v>1</v>
      </c>
      <c r="BB27" s="1217">
        <f t="shared" ref="BB27:BB84" si="11">IF(AA27=1,AE27,IF(AA27=2,AE27*R27,IF(AA27=3,AE27*BA27,0)))</f>
        <v>0</v>
      </c>
      <c r="BC27" s="1217"/>
      <c r="BD27" s="1217"/>
      <c r="BE27" s="629"/>
    </row>
    <row r="28" spans="2:59" ht="24.95" customHeight="1">
      <c r="C28" s="843"/>
      <c r="D28" s="843"/>
      <c r="E28" s="843"/>
      <c r="F28" s="1116"/>
      <c r="G28" s="1117"/>
      <c r="H28" s="868"/>
      <c r="I28" s="1118"/>
      <c r="J28" s="1138"/>
      <c r="K28" s="1138"/>
      <c r="L28" s="870"/>
      <c r="M28" s="868"/>
      <c r="N28" s="1118"/>
      <c r="O28" s="1119"/>
      <c r="P28" s="884"/>
      <c r="Q28" s="885"/>
      <c r="R28" s="843"/>
      <c r="S28" s="843"/>
      <c r="T28" s="843"/>
      <c r="U28" s="843"/>
      <c r="V28" s="843"/>
      <c r="W28" s="843"/>
      <c r="X28" s="870"/>
      <c r="Y28" s="843" t="str">
        <f>IF(OR(ISNA(MATCH(MID(X28,1,3)*1,UomConversion!$D$8:$D$500,0)),H28=""),"",IF(AV28="","",AV28))</f>
        <v/>
      </c>
      <c r="Z28" s="843" t="str">
        <f>IF(AND(AU28&gt;0,COUNTIFS(UomConversion!$D$8:$D$500,MID(X28,1,3)*1,UomConversion!$J$8:$J$500,1)&gt;1),TEXT(AU28,"000")&amp;"."&amp;VLOOKUP(AU28,uom_list,5,FALSE),"")</f>
        <v/>
      </c>
      <c r="AA28" s="843">
        <f t="shared" si="4"/>
        <v>0</v>
      </c>
      <c r="AB28" s="843" t="str">
        <f t="shared" si="5"/>
        <v/>
      </c>
      <c r="AC28" s="843">
        <f t="shared" si="6"/>
        <v>2</v>
      </c>
      <c r="AD28" s="1214"/>
      <c r="AE28" s="1214"/>
      <c r="AF28" s="1215"/>
      <c r="AG28" s="1215"/>
      <c r="AH28" s="1215"/>
      <c r="AI28" s="1215"/>
      <c r="AJ28" s="1216"/>
      <c r="AK28" s="1216"/>
      <c r="AL28" s="1216"/>
      <c r="AM28" s="1216"/>
      <c r="AN28" s="1216"/>
      <c r="AO28" s="1216"/>
      <c r="AP28" s="1216"/>
      <c r="AQ28" s="1216"/>
      <c r="AR28" s="1216"/>
      <c r="AS28" s="1216"/>
      <c r="AT28" s="1216"/>
      <c r="AU28" s="1120" t="str" cm="1">
        <f t="array" ref="AU28">IF(H28="","",Slookup(MID(X28,1,3)*1,UomConversion!$D$8:$J$500,2,UomConversion!$I$8:$I$500,1,UomConversion!$J$8:$J$500,1))</f>
        <v/>
      </c>
      <c r="AV28" s="401" t="str">
        <f t="shared" si="7"/>
        <v/>
      </c>
      <c r="AW28" s="757" t="str">
        <f t="shared" si="8"/>
        <v/>
      </c>
      <c r="AX28" s="757" t="str">
        <f t="shared" si="9"/>
        <v/>
      </c>
      <c r="AY28" s="757" t="str">
        <f t="shared" si="10"/>
        <v/>
      </c>
      <c r="AZ28" s="1209" cm="1">
        <f t="array" ref="AZ28">IF(Y28="",1,Slookup(MID(X28,1,3)*1,UomConversion!$D$8:$J$500,5,UomConversion!$E$8:$E$500,MID(Y28,1,3)*1,UomConversion!$I$8:$I$500,1))</f>
        <v>1</v>
      </c>
      <c r="BA28" s="1209" cm="1">
        <f t="array" ref="BA28">IF(Z28="",1,Slookup(MID(X28,1,3)*1,UomConversion!$D$8:$J$500,5,UomConversion!$E$8:$E$500,MID(Z28,1,3)*1,UomConversion!$I$8:$I$500,1))</f>
        <v>1</v>
      </c>
      <c r="BB28" s="1217">
        <f t="shared" si="11"/>
        <v>0</v>
      </c>
      <c r="BC28" s="1217"/>
      <c r="BD28" s="1217"/>
      <c r="BE28" s="629"/>
    </row>
    <row r="29" spans="2:59" s="445" customFormat="1" ht="24.95" customHeight="1">
      <c r="C29" s="843"/>
      <c r="D29" s="843"/>
      <c r="E29" s="843"/>
      <c r="F29" s="1116"/>
      <c r="G29" s="1117"/>
      <c r="H29" s="868"/>
      <c r="I29" s="1118"/>
      <c r="J29" s="1138"/>
      <c r="K29" s="1138"/>
      <c r="L29" s="870"/>
      <c r="M29" s="868"/>
      <c r="N29" s="1118"/>
      <c r="O29" s="1119"/>
      <c r="P29" s="884"/>
      <c r="Q29" s="885"/>
      <c r="R29" s="843"/>
      <c r="S29" s="843"/>
      <c r="T29" s="843"/>
      <c r="U29" s="843"/>
      <c r="V29" s="843"/>
      <c r="W29" s="843"/>
      <c r="X29" s="870"/>
      <c r="Y29" s="843" t="str">
        <f>IF(OR(ISNA(MATCH(MID(X29,1,3)*1,UomConversion!$D$8:$D$500,0)),H29=""),"",IF(AV29="","",AV29))</f>
        <v/>
      </c>
      <c r="Z29" s="843" t="str">
        <f>IF(AND(AU29&gt;0,COUNTIFS(UomConversion!$D$8:$D$500,MID(X29,1,3)*1,UomConversion!$J$8:$J$500,1)&gt;1),TEXT(AU29,"000")&amp;"."&amp;VLOOKUP(AU29,uom_list,5,FALSE),"")</f>
        <v/>
      </c>
      <c r="AA29" s="843">
        <f t="shared" si="4"/>
        <v>0</v>
      </c>
      <c r="AB29" s="843" t="str">
        <f t="shared" si="5"/>
        <v/>
      </c>
      <c r="AC29" s="843">
        <f t="shared" si="6"/>
        <v>2</v>
      </c>
      <c r="AD29" s="1214"/>
      <c r="AE29" s="1214"/>
      <c r="AF29" s="1215"/>
      <c r="AG29" s="1215"/>
      <c r="AH29" s="1215"/>
      <c r="AI29" s="1215"/>
      <c r="AJ29" s="1216"/>
      <c r="AK29" s="1216"/>
      <c r="AL29" s="1216"/>
      <c r="AM29" s="1216"/>
      <c r="AN29" s="1216"/>
      <c r="AO29" s="1216"/>
      <c r="AP29" s="1216"/>
      <c r="AQ29" s="1216"/>
      <c r="AR29" s="1216"/>
      <c r="AS29" s="1216"/>
      <c r="AT29" s="1216"/>
      <c r="AU29" s="1120" t="str" cm="1">
        <f t="array" ref="AU29">IF(H29="","",Slookup(MID(X29,1,3)*1,UomConversion!$D$8:$J$500,2,UomConversion!$I$8:$I$500,1,UomConversion!$J$8:$J$500,1))</f>
        <v/>
      </c>
      <c r="AV29" s="401" t="str">
        <f t="shared" si="7"/>
        <v/>
      </c>
      <c r="AW29" s="757" t="str">
        <f t="shared" si="8"/>
        <v/>
      </c>
      <c r="AX29" s="757" t="str">
        <f t="shared" si="9"/>
        <v/>
      </c>
      <c r="AY29" s="757" t="str">
        <f t="shared" si="10"/>
        <v/>
      </c>
      <c r="AZ29" s="1209" cm="1">
        <f t="array" ref="AZ29">IF(Y29="",1,Slookup(MID(X29,1,3)*1,UomConversion!$D$8:$J$500,5,UomConversion!$E$8:$E$500,MID(Y29,1,3)*1,UomConversion!$I$8:$I$500,1))</f>
        <v>1</v>
      </c>
      <c r="BA29" s="1209" cm="1">
        <f t="array" ref="BA29">IF(Z29="",1,Slookup(MID(X29,1,3)*1,UomConversion!$D$8:$J$500,5,UomConversion!$E$8:$E$500,MID(Z29,1,3)*1,UomConversion!$I$8:$I$500,1))</f>
        <v>1</v>
      </c>
      <c r="BB29" s="1217">
        <f t="shared" si="11"/>
        <v>0</v>
      </c>
      <c r="BC29" s="1217"/>
      <c r="BD29" s="1217"/>
      <c r="BE29" s="629"/>
      <c r="BG29" s="1121"/>
    </row>
    <row r="30" spans="2:59" s="445" customFormat="1" ht="24.95" customHeight="1">
      <c r="C30" s="843"/>
      <c r="D30" s="843"/>
      <c r="E30" s="843"/>
      <c r="F30" s="1116"/>
      <c r="G30" s="1117"/>
      <c r="H30" s="868"/>
      <c r="I30" s="1118"/>
      <c r="J30" s="1138"/>
      <c r="K30" s="1138"/>
      <c r="L30" s="870"/>
      <c r="M30" s="868"/>
      <c r="N30" s="1118"/>
      <c r="O30" s="1119"/>
      <c r="P30" s="884"/>
      <c r="Q30" s="885"/>
      <c r="R30" s="843"/>
      <c r="S30" s="843"/>
      <c r="T30" s="843"/>
      <c r="U30" s="843"/>
      <c r="V30" s="843"/>
      <c r="W30" s="843"/>
      <c r="X30" s="870"/>
      <c r="Y30" s="843" t="str">
        <f>IF(OR(ISNA(MATCH(MID(X30,1,3)*1,UomConversion!$D$8:$D$500,0)),H30=""),"",IF(AV30="","",AV30))</f>
        <v/>
      </c>
      <c r="Z30" s="843" t="str">
        <f>IF(AND(AU30&gt;0,COUNTIFS(UomConversion!$D$8:$D$500,MID(X30,1,3)*1,UomConversion!$J$8:$J$500,1)&gt;1),TEXT(AU30,"000")&amp;"."&amp;VLOOKUP(AU30,uom_list,5,FALSE),"")</f>
        <v/>
      </c>
      <c r="AA30" s="843">
        <f t="shared" si="4"/>
        <v>0</v>
      </c>
      <c r="AB30" s="843" t="str">
        <f t="shared" si="5"/>
        <v/>
      </c>
      <c r="AC30" s="843">
        <f t="shared" si="6"/>
        <v>2</v>
      </c>
      <c r="AD30" s="1214"/>
      <c r="AE30" s="1214"/>
      <c r="AF30" s="1215"/>
      <c r="AG30" s="1215"/>
      <c r="AH30" s="1215"/>
      <c r="AI30" s="1215"/>
      <c r="AJ30" s="1216"/>
      <c r="AK30" s="1216"/>
      <c r="AL30" s="1216"/>
      <c r="AM30" s="1216"/>
      <c r="AN30" s="1216"/>
      <c r="AO30" s="1216"/>
      <c r="AP30" s="1216"/>
      <c r="AQ30" s="1216"/>
      <c r="AR30" s="1216"/>
      <c r="AS30" s="1216"/>
      <c r="AT30" s="1216"/>
      <c r="AU30" s="1120" t="str" cm="1">
        <f t="array" ref="AU30">IF(H30="","",Slookup(MID(X30,1,3)*1,UomConversion!$D$8:$J$500,2,UomConversion!$I$8:$I$500,1,UomConversion!$J$8:$J$500,1))</f>
        <v/>
      </c>
      <c r="AV30" s="401" t="str">
        <f t="shared" si="7"/>
        <v/>
      </c>
      <c r="AW30" s="757" t="str">
        <f t="shared" si="8"/>
        <v/>
      </c>
      <c r="AX30" s="757" t="str">
        <f t="shared" si="9"/>
        <v/>
      </c>
      <c r="AY30" s="757" t="str">
        <f t="shared" si="10"/>
        <v/>
      </c>
      <c r="AZ30" s="1209" cm="1">
        <f t="array" ref="AZ30">IF(Y30="",1,Slookup(MID(X30,1,3)*1,UomConversion!$D$8:$J$500,5,UomConversion!$E$8:$E$500,MID(Y30,1,3)*1,UomConversion!$I$8:$I$500,1))</f>
        <v>1</v>
      </c>
      <c r="BA30" s="1209" cm="1">
        <f t="array" ref="BA30">IF(Z30="",1,Slookup(MID(X30,1,3)*1,UomConversion!$D$8:$J$500,5,UomConversion!$E$8:$E$500,MID(Z30,1,3)*1,UomConversion!$I$8:$I$500,1))</f>
        <v>1</v>
      </c>
      <c r="BB30" s="1217">
        <f t="shared" si="11"/>
        <v>0</v>
      </c>
      <c r="BC30" s="1217"/>
      <c r="BD30" s="1217"/>
      <c r="BE30" s="629"/>
      <c r="BG30" s="1121"/>
    </row>
    <row r="31" spans="2:59" s="445" customFormat="1" ht="24.95" customHeight="1">
      <c r="C31" s="843"/>
      <c r="D31" s="843"/>
      <c r="E31" s="843"/>
      <c r="F31" s="1116"/>
      <c r="G31" s="1117"/>
      <c r="H31" s="868"/>
      <c r="I31" s="1118"/>
      <c r="J31" s="1138"/>
      <c r="K31" s="1138"/>
      <c r="L31" s="870"/>
      <c r="M31" s="868"/>
      <c r="N31" s="1118"/>
      <c r="O31" s="1119"/>
      <c r="P31" s="884"/>
      <c r="Q31" s="885"/>
      <c r="R31" s="843"/>
      <c r="S31" s="843"/>
      <c r="T31" s="843"/>
      <c r="U31" s="843"/>
      <c r="V31" s="843"/>
      <c r="W31" s="843"/>
      <c r="X31" s="870"/>
      <c r="Y31" s="843" t="str">
        <f>IF(OR(ISNA(MATCH(MID(X31,1,3)*1,UomConversion!$D$8:$D$500,0)),H31=""),"",IF(AV31="","",AV31))</f>
        <v/>
      </c>
      <c r="Z31" s="843" t="str">
        <f>IF(AND(AU31&gt;0,COUNTIFS(UomConversion!$D$8:$D$500,MID(X31,1,3)*1,UomConversion!$J$8:$J$500,1)&gt;1),TEXT(AU31,"000")&amp;"."&amp;VLOOKUP(AU31,uom_list,5,FALSE),"")</f>
        <v/>
      </c>
      <c r="AA31" s="843">
        <f t="shared" si="4"/>
        <v>0</v>
      </c>
      <c r="AB31" s="843" t="str">
        <f t="shared" si="5"/>
        <v/>
      </c>
      <c r="AC31" s="843">
        <f t="shared" si="6"/>
        <v>2</v>
      </c>
      <c r="AD31" s="1214"/>
      <c r="AE31" s="1214"/>
      <c r="AF31" s="1215"/>
      <c r="AG31" s="1215"/>
      <c r="AH31" s="1215"/>
      <c r="AI31" s="1215"/>
      <c r="AJ31" s="1216"/>
      <c r="AK31" s="1216"/>
      <c r="AL31" s="1216"/>
      <c r="AM31" s="1216"/>
      <c r="AN31" s="1216"/>
      <c r="AO31" s="1216"/>
      <c r="AP31" s="1216"/>
      <c r="AQ31" s="1216"/>
      <c r="AR31" s="1216"/>
      <c r="AS31" s="1216"/>
      <c r="AT31" s="1216"/>
      <c r="AU31" s="1120" t="str" cm="1">
        <f t="array" ref="AU31">IF(H31="","",Slookup(MID(X31,1,3)*1,UomConversion!$D$8:$J$500,2,UomConversion!$I$8:$I$500,1,UomConversion!$J$8:$J$500,1))</f>
        <v/>
      </c>
      <c r="AV31" s="401" t="str">
        <f t="shared" si="7"/>
        <v/>
      </c>
      <c r="AW31" s="757" t="str">
        <f t="shared" si="8"/>
        <v/>
      </c>
      <c r="AX31" s="757" t="str">
        <f t="shared" si="9"/>
        <v/>
      </c>
      <c r="AY31" s="757" t="str">
        <f t="shared" si="10"/>
        <v/>
      </c>
      <c r="AZ31" s="1209" cm="1">
        <f t="array" ref="AZ31">IF(Y31="",1,Slookup(MID(X31,1,3)*1,UomConversion!$D$8:$J$500,5,UomConversion!$E$8:$E$500,MID(Y31,1,3)*1,UomConversion!$I$8:$I$500,1))</f>
        <v>1</v>
      </c>
      <c r="BA31" s="1209" cm="1">
        <f t="array" ref="BA31">IF(Z31="",1,Slookup(MID(X31,1,3)*1,UomConversion!$D$8:$J$500,5,UomConversion!$E$8:$E$500,MID(Z31,1,3)*1,UomConversion!$I$8:$I$500,1))</f>
        <v>1</v>
      </c>
      <c r="BB31" s="1217">
        <f t="shared" si="11"/>
        <v>0</v>
      </c>
      <c r="BC31" s="1217"/>
      <c r="BD31" s="1217"/>
      <c r="BE31" s="629"/>
      <c r="BG31" s="1121"/>
    </row>
    <row r="32" spans="2:59" s="445" customFormat="1" ht="24.95" customHeight="1">
      <c r="C32" s="843"/>
      <c r="D32" s="843"/>
      <c r="E32" s="843"/>
      <c r="F32" s="1116"/>
      <c r="G32" s="1117"/>
      <c r="H32" s="868"/>
      <c r="I32" s="1118"/>
      <c r="J32" s="1138"/>
      <c r="K32" s="1138"/>
      <c r="L32" s="870"/>
      <c r="M32" s="868"/>
      <c r="N32" s="1118"/>
      <c r="O32" s="1119"/>
      <c r="P32" s="884"/>
      <c r="Q32" s="885"/>
      <c r="R32" s="843"/>
      <c r="S32" s="843"/>
      <c r="T32" s="843"/>
      <c r="U32" s="843"/>
      <c r="V32" s="843"/>
      <c r="W32" s="843"/>
      <c r="X32" s="870"/>
      <c r="Y32" s="843" t="str">
        <f>IF(OR(ISNA(MATCH(MID(X32,1,3)*1,UomConversion!$D$8:$D$500,0)),H32=""),"",IF(AV32="","",AV32))</f>
        <v/>
      </c>
      <c r="Z32" s="843" t="str">
        <f>IF(AND(AU32&gt;0,COUNTIFS(UomConversion!$D$8:$D$500,MID(X32,1,3)*1,UomConversion!$J$8:$J$500,1)&gt;1),TEXT(AU32,"000")&amp;"."&amp;VLOOKUP(AU32,uom_list,5,FALSE),"")</f>
        <v/>
      </c>
      <c r="AA32" s="843">
        <f t="shared" si="4"/>
        <v>0</v>
      </c>
      <c r="AB32" s="843" t="str">
        <f t="shared" si="5"/>
        <v/>
      </c>
      <c r="AC32" s="843">
        <f t="shared" si="6"/>
        <v>2</v>
      </c>
      <c r="AD32" s="1214"/>
      <c r="AE32" s="1214"/>
      <c r="AF32" s="1215"/>
      <c r="AG32" s="1215"/>
      <c r="AH32" s="1215"/>
      <c r="AI32" s="1215"/>
      <c r="AJ32" s="1216"/>
      <c r="AK32" s="1216"/>
      <c r="AL32" s="1216"/>
      <c r="AM32" s="1216"/>
      <c r="AN32" s="1216"/>
      <c r="AO32" s="1216"/>
      <c r="AP32" s="1216"/>
      <c r="AQ32" s="1216"/>
      <c r="AR32" s="1216"/>
      <c r="AS32" s="1216"/>
      <c r="AT32" s="1216"/>
      <c r="AU32" s="1120" t="str" cm="1">
        <f t="array" ref="AU32">IF(H32="","",Slookup(MID(X32,1,3)*1,UomConversion!$D$8:$J$500,2,UomConversion!$I$8:$I$500,1,UomConversion!$J$8:$J$500,1))</f>
        <v/>
      </c>
      <c r="AV32" s="401" t="str">
        <f t="shared" si="7"/>
        <v/>
      </c>
      <c r="AW32" s="757" t="str">
        <f t="shared" si="8"/>
        <v/>
      </c>
      <c r="AX32" s="757" t="str">
        <f t="shared" si="9"/>
        <v/>
      </c>
      <c r="AY32" s="757" t="str">
        <f t="shared" si="10"/>
        <v/>
      </c>
      <c r="AZ32" s="1209" cm="1">
        <f t="array" ref="AZ32">IF(Y32="",1,Slookup(MID(X32,1,3)*1,UomConversion!$D$8:$J$500,5,UomConversion!$E$8:$E$500,MID(Y32,1,3)*1,UomConversion!$I$8:$I$500,1))</f>
        <v>1</v>
      </c>
      <c r="BA32" s="1209" cm="1">
        <f t="array" ref="BA32">IF(Z32="",1,Slookup(MID(X32,1,3)*1,UomConversion!$D$8:$J$500,5,UomConversion!$E$8:$E$500,MID(Z32,1,3)*1,UomConversion!$I$8:$I$500,1))</f>
        <v>1</v>
      </c>
      <c r="BB32" s="1217">
        <f t="shared" si="11"/>
        <v>0</v>
      </c>
      <c r="BC32" s="1217"/>
      <c r="BD32" s="1217"/>
      <c r="BE32" s="629"/>
      <c r="BG32" s="1121"/>
    </row>
    <row r="33" spans="2:59" s="445" customFormat="1" ht="24.95" customHeight="1">
      <c r="C33" s="843"/>
      <c r="D33" s="843"/>
      <c r="E33" s="843"/>
      <c r="F33" s="1116"/>
      <c r="G33" s="1117"/>
      <c r="H33" s="868"/>
      <c r="I33" s="1118"/>
      <c r="J33" s="1138"/>
      <c r="K33" s="1138"/>
      <c r="L33" s="870"/>
      <c r="M33" s="868"/>
      <c r="N33" s="1118"/>
      <c r="O33" s="1119"/>
      <c r="P33" s="884"/>
      <c r="Q33" s="885"/>
      <c r="R33" s="843"/>
      <c r="S33" s="843"/>
      <c r="T33" s="843"/>
      <c r="U33" s="843"/>
      <c r="V33" s="843"/>
      <c r="W33" s="843"/>
      <c r="X33" s="870"/>
      <c r="Y33" s="843" t="str">
        <f>IF(OR(ISNA(MATCH(MID(X33,1,3)*1,UomConversion!$D$8:$D$500,0)),H33=""),"",IF(AV33="","",AV33))</f>
        <v/>
      </c>
      <c r="Z33" s="843" t="str">
        <f>IF(AND(AU33&gt;0,COUNTIFS(UomConversion!$D$8:$D$500,MID(X33,1,3)*1,UomConversion!$J$8:$J$500,1)&gt;1),TEXT(AU33,"000")&amp;"."&amp;VLOOKUP(AU33,uom_list,5,FALSE),"")</f>
        <v/>
      </c>
      <c r="AA33" s="843">
        <f t="shared" si="4"/>
        <v>0</v>
      </c>
      <c r="AB33" s="843" t="str">
        <f t="shared" si="5"/>
        <v/>
      </c>
      <c r="AC33" s="843">
        <f t="shared" si="6"/>
        <v>2</v>
      </c>
      <c r="AD33" s="1214"/>
      <c r="AE33" s="1214"/>
      <c r="AF33" s="1215"/>
      <c r="AG33" s="1215"/>
      <c r="AH33" s="1215"/>
      <c r="AI33" s="1215"/>
      <c r="AJ33" s="1216"/>
      <c r="AK33" s="1216"/>
      <c r="AL33" s="1216"/>
      <c r="AM33" s="1216"/>
      <c r="AN33" s="1216"/>
      <c r="AO33" s="1216"/>
      <c r="AP33" s="1216"/>
      <c r="AQ33" s="1216"/>
      <c r="AR33" s="1216"/>
      <c r="AS33" s="1216"/>
      <c r="AT33" s="1216"/>
      <c r="AU33" s="1120" t="str" cm="1">
        <f t="array" ref="AU33">IF(H33="","",Slookup(MID(X33,1,3)*1,UomConversion!$D$8:$J$500,2,UomConversion!$I$8:$I$500,1,UomConversion!$J$8:$J$500,1))</f>
        <v/>
      </c>
      <c r="AV33" s="401" t="str">
        <f t="shared" si="7"/>
        <v/>
      </c>
      <c r="AW33" s="757" t="str">
        <f t="shared" si="8"/>
        <v/>
      </c>
      <c r="AX33" s="757" t="str">
        <f t="shared" si="9"/>
        <v/>
      </c>
      <c r="AY33" s="757" t="str">
        <f t="shared" si="10"/>
        <v/>
      </c>
      <c r="AZ33" s="1209" cm="1">
        <f t="array" ref="AZ33">IF(Y33="",1,Slookup(MID(X33,1,3)*1,UomConversion!$D$8:$J$500,5,UomConversion!$E$8:$E$500,MID(Y33,1,3)*1,UomConversion!$I$8:$I$500,1))</f>
        <v>1</v>
      </c>
      <c r="BA33" s="1209" cm="1">
        <f t="array" ref="BA33">IF(Z33="",1,Slookup(MID(X33,1,3)*1,UomConversion!$D$8:$J$500,5,UomConversion!$E$8:$E$500,MID(Z33,1,3)*1,UomConversion!$I$8:$I$500,1))</f>
        <v>1</v>
      </c>
      <c r="BB33" s="1217">
        <f t="shared" si="11"/>
        <v>0</v>
      </c>
      <c r="BC33" s="1217"/>
      <c r="BD33" s="1217"/>
      <c r="BE33" s="629"/>
      <c r="BG33" s="1121"/>
    </row>
    <row r="34" spans="2:59" s="445" customFormat="1" ht="24.95" customHeight="1">
      <c r="C34" s="843"/>
      <c r="D34" s="843"/>
      <c r="E34" s="843"/>
      <c r="F34" s="1116"/>
      <c r="G34" s="1117"/>
      <c r="H34" s="868"/>
      <c r="I34" s="1118"/>
      <c r="J34" s="1138"/>
      <c r="K34" s="1138"/>
      <c r="L34" s="870"/>
      <c r="M34" s="868"/>
      <c r="N34" s="1118"/>
      <c r="O34" s="1119"/>
      <c r="P34" s="884"/>
      <c r="Q34" s="885"/>
      <c r="R34" s="843"/>
      <c r="S34" s="843"/>
      <c r="T34" s="843"/>
      <c r="U34" s="843"/>
      <c r="V34" s="843"/>
      <c r="W34" s="843"/>
      <c r="X34" s="870"/>
      <c r="Y34" s="843" t="str">
        <f>IF(OR(ISNA(MATCH(MID(X34,1,3)*1,UomConversion!$D$8:$D$500,0)),H34=""),"",IF(AV34="","",AV34))</f>
        <v/>
      </c>
      <c r="Z34" s="843" t="str">
        <f>IF(AND(AU34&gt;0,COUNTIFS(UomConversion!$D$8:$D$500,MID(X34,1,3)*1,UomConversion!$J$8:$J$500,1)&gt;1),TEXT(AU34,"000")&amp;"."&amp;VLOOKUP(AU34,uom_list,5,FALSE),"")</f>
        <v/>
      </c>
      <c r="AA34" s="843">
        <f t="shared" si="4"/>
        <v>0</v>
      </c>
      <c r="AB34" s="843" t="str">
        <f t="shared" si="5"/>
        <v/>
      </c>
      <c r="AC34" s="843">
        <f t="shared" si="6"/>
        <v>2</v>
      </c>
      <c r="AD34" s="1214"/>
      <c r="AE34" s="1214"/>
      <c r="AF34" s="1215"/>
      <c r="AG34" s="1215"/>
      <c r="AH34" s="1215"/>
      <c r="AI34" s="1215"/>
      <c r="AJ34" s="1216"/>
      <c r="AK34" s="1216"/>
      <c r="AL34" s="1216"/>
      <c r="AM34" s="1216"/>
      <c r="AN34" s="1216"/>
      <c r="AO34" s="1216"/>
      <c r="AP34" s="1216"/>
      <c r="AQ34" s="1216"/>
      <c r="AR34" s="1216"/>
      <c r="AS34" s="1216"/>
      <c r="AT34" s="1216"/>
      <c r="AU34" s="1120" t="str" cm="1">
        <f t="array" ref="AU34">IF(H34="","",Slookup(MID(X34,1,3)*1,UomConversion!$D$8:$J$500,2,UomConversion!$I$8:$I$500,1,UomConversion!$J$8:$J$500,1))</f>
        <v/>
      </c>
      <c r="AV34" s="401" t="str">
        <f t="shared" si="7"/>
        <v/>
      </c>
      <c r="AW34" s="757" t="str">
        <f t="shared" si="8"/>
        <v/>
      </c>
      <c r="AX34" s="757" t="str">
        <f t="shared" si="9"/>
        <v/>
      </c>
      <c r="AY34" s="757" t="str">
        <f t="shared" si="10"/>
        <v/>
      </c>
      <c r="AZ34" s="1209" cm="1">
        <f t="array" ref="AZ34">IF(Y34="",1,Slookup(MID(X34,1,3)*1,UomConversion!$D$8:$J$500,5,UomConversion!$E$8:$E$500,MID(Y34,1,3)*1,UomConversion!$I$8:$I$500,1))</f>
        <v>1</v>
      </c>
      <c r="BA34" s="1209" cm="1">
        <f t="array" ref="BA34">IF(Z34="",1,Slookup(MID(X34,1,3)*1,UomConversion!$D$8:$J$500,5,UomConversion!$E$8:$E$500,MID(Z34,1,3)*1,UomConversion!$I$8:$I$500,1))</f>
        <v>1</v>
      </c>
      <c r="BB34" s="1217">
        <f t="shared" si="11"/>
        <v>0</v>
      </c>
      <c r="BC34" s="1217"/>
      <c r="BD34" s="1217"/>
      <c r="BE34" s="629"/>
      <c r="BG34" s="1121"/>
    </row>
    <row r="35" spans="2:59" s="445" customFormat="1" ht="24.95" customHeight="1">
      <c r="C35" s="843"/>
      <c r="D35" s="843"/>
      <c r="E35" s="843"/>
      <c r="F35" s="1116"/>
      <c r="G35" s="1117"/>
      <c r="H35" s="868"/>
      <c r="I35" s="1118"/>
      <c r="J35" s="1138"/>
      <c r="K35" s="1138"/>
      <c r="L35" s="870"/>
      <c r="M35" s="868"/>
      <c r="N35" s="1118"/>
      <c r="O35" s="1119"/>
      <c r="P35" s="884"/>
      <c r="Q35" s="885"/>
      <c r="R35" s="843"/>
      <c r="S35" s="843"/>
      <c r="T35" s="843"/>
      <c r="U35" s="843"/>
      <c r="V35" s="843"/>
      <c r="W35" s="843"/>
      <c r="X35" s="870"/>
      <c r="Y35" s="843" t="str">
        <f>IF(OR(ISNA(MATCH(MID(X35,1,3)*1,UomConversion!$D$8:$D$500,0)),H35=""),"",IF(AV35="","",AV35))</f>
        <v/>
      </c>
      <c r="Z35" s="843" t="str">
        <f>IF(AND(AU35&gt;0,COUNTIFS(UomConversion!$D$8:$D$500,MID(X35,1,3)*1,UomConversion!$J$8:$J$500,1)&gt;1),TEXT(AU35,"000")&amp;"."&amp;VLOOKUP(AU35,uom_list,5,FALSE),"")</f>
        <v/>
      </c>
      <c r="AA35" s="843">
        <f t="shared" si="4"/>
        <v>0</v>
      </c>
      <c r="AB35" s="843" t="str">
        <f t="shared" si="5"/>
        <v/>
      </c>
      <c r="AC35" s="843">
        <f t="shared" si="6"/>
        <v>2</v>
      </c>
      <c r="AD35" s="1214"/>
      <c r="AE35" s="1214"/>
      <c r="AF35" s="1215"/>
      <c r="AG35" s="1215"/>
      <c r="AH35" s="1215"/>
      <c r="AI35" s="1215"/>
      <c r="AJ35" s="1216"/>
      <c r="AK35" s="1216"/>
      <c r="AL35" s="1216"/>
      <c r="AM35" s="1216"/>
      <c r="AN35" s="1216"/>
      <c r="AO35" s="1216"/>
      <c r="AP35" s="1216"/>
      <c r="AQ35" s="1216"/>
      <c r="AR35" s="1216"/>
      <c r="AS35" s="1216"/>
      <c r="AT35" s="1216"/>
      <c r="AU35" s="1120" t="str" cm="1">
        <f t="array" ref="AU35">IF(H35="","",Slookup(MID(X35,1,3)*1,UomConversion!$D$8:$J$500,2,UomConversion!$I$8:$I$500,1,UomConversion!$J$8:$J$500,1))</f>
        <v/>
      </c>
      <c r="AV35" s="401" t="str">
        <f t="shared" si="7"/>
        <v/>
      </c>
      <c r="AW35" s="757" t="str">
        <f t="shared" si="8"/>
        <v/>
      </c>
      <c r="AX35" s="757" t="str">
        <f t="shared" si="9"/>
        <v/>
      </c>
      <c r="AY35" s="757" t="str">
        <f t="shared" si="10"/>
        <v/>
      </c>
      <c r="AZ35" s="1209" cm="1">
        <f t="array" ref="AZ35">IF(Y35="",1,Slookup(MID(X35,1,3)*1,UomConversion!$D$8:$J$500,5,UomConversion!$E$8:$E$500,MID(Y35,1,3)*1,UomConversion!$I$8:$I$500,1))</f>
        <v>1</v>
      </c>
      <c r="BA35" s="1209" cm="1">
        <f t="array" ref="BA35">IF(Z35="",1,Slookup(MID(X35,1,3)*1,UomConversion!$D$8:$J$500,5,UomConversion!$E$8:$E$500,MID(Z35,1,3)*1,UomConversion!$I$8:$I$500,1))</f>
        <v>1</v>
      </c>
      <c r="BB35" s="1217">
        <f t="shared" si="11"/>
        <v>0</v>
      </c>
      <c r="BC35" s="1217"/>
      <c r="BD35" s="1217"/>
      <c r="BE35" s="629"/>
      <c r="BG35" s="1121"/>
    </row>
    <row r="36" spans="2:59" s="445" customFormat="1" ht="24.95" customHeight="1">
      <c r="C36" s="843"/>
      <c r="D36" s="843"/>
      <c r="E36" s="843"/>
      <c r="F36" s="1116"/>
      <c r="G36" s="1117"/>
      <c r="H36" s="868"/>
      <c r="I36" s="1118"/>
      <c r="J36" s="1138"/>
      <c r="K36" s="1138"/>
      <c r="L36" s="870"/>
      <c r="M36" s="868"/>
      <c r="N36" s="1118"/>
      <c r="O36" s="1119"/>
      <c r="P36" s="884"/>
      <c r="Q36" s="885"/>
      <c r="R36" s="843"/>
      <c r="S36" s="843"/>
      <c r="T36" s="843"/>
      <c r="U36" s="843"/>
      <c r="V36" s="843"/>
      <c r="W36" s="843"/>
      <c r="X36" s="870"/>
      <c r="Y36" s="843" t="str">
        <f>IF(OR(ISNA(MATCH(MID(X36,1,3)*1,UomConversion!$D$8:$D$500,0)),H36=""),"",IF(AV36="","",AV36))</f>
        <v/>
      </c>
      <c r="Z36" s="843" t="str">
        <f>IF(AND(AU36&gt;0,COUNTIFS(UomConversion!$D$8:$D$500,MID(X36,1,3)*1,UomConversion!$J$8:$J$500,1)&gt;1),TEXT(AU36,"000")&amp;"."&amp;VLOOKUP(AU36,uom_list,5,FALSE),"")</f>
        <v/>
      </c>
      <c r="AA36" s="843">
        <f t="shared" si="4"/>
        <v>0</v>
      </c>
      <c r="AB36" s="843" t="str">
        <f t="shared" si="5"/>
        <v/>
      </c>
      <c r="AC36" s="843">
        <f t="shared" si="6"/>
        <v>2</v>
      </c>
      <c r="AD36" s="1214"/>
      <c r="AE36" s="1214"/>
      <c r="AF36" s="1215"/>
      <c r="AG36" s="1215"/>
      <c r="AH36" s="1215"/>
      <c r="AI36" s="1215"/>
      <c r="AJ36" s="1216"/>
      <c r="AK36" s="1216"/>
      <c r="AL36" s="1216"/>
      <c r="AM36" s="1216"/>
      <c r="AN36" s="1216"/>
      <c r="AO36" s="1216"/>
      <c r="AP36" s="1216"/>
      <c r="AQ36" s="1216"/>
      <c r="AR36" s="1216"/>
      <c r="AS36" s="1216"/>
      <c r="AT36" s="1216"/>
      <c r="AU36" s="1120" t="str" cm="1">
        <f t="array" ref="AU36">IF(H36="","",Slookup(MID(X36,1,3)*1,UomConversion!$D$8:$J$500,2,UomConversion!$I$8:$I$500,1,UomConversion!$J$8:$J$500,1))</f>
        <v/>
      </c>
      <c r="AV36" s="401" t="str">
        <f t="shared" si="7"/>
        <v/>
      </c>
      <c r="AW36" s="757" t="str">
        <f t="shared" si="8"/>
        <v/>
      </c>
      <c r="AX36" s="757" t="str">
        <f t="shared" si="9"/>
        <v/>
      </c>
      <c r="AY36" s="757" t="str">
        <f t="shared" si="10"/>
        <v/>
      </c>
      <c r="AZ36" s="1209" cm="1">
        <f t="array" ref="AZ36">IF(Y36="",1,Slookup(MID(X36,1,3)*1,UomConversion!$D$8:$J$500,5,UomConversion!$E$8:$E$500,MID(Y36,1,3)*1,UomConversion!$I$8:$I$500,1))</f>
        <v>1</v>
      </c>
      <c r="BA36" s="1209" cm="1">
        <f t="array" ref="BA36">IF(Z36="",1,Slookup(MID(X36,1,3)*1,UomConversion!$D$8:$J$500,5,UomConversion!$E$8:$E$500,MID(Z36,1,3)*1,UomConversion!$I$8:$I$500,1))</f>
        <v>1</v>
      </c>
      <c r="BB36" s="1217">
        <f t="shared" si="11"/>
        <v>0</v>
      </c>
      <c r="BC36" s="1217"/>
      <c r="BD36" s="1217"/>
      <c r="BE36" s="629"/>
      <c r="BG36" s="1121"/>
    </row>
    <row r="37" spans="2:59" s="445" customFormat="1" ht="24.95" customHeight="1">
      <c r="C37" s="843"/>
      <c r="D37" s="843"/>
      <c r="E37" s="843"/>
      <c r="F37" s="1116"/>
      <c r="G37" s="1117"/>
      <c r="H37" s="868"/>
      <c r="I37" s="1118"/>
      <c r="J37" s="1138"/>
      <c r="K37" s="1138"/>
      <c r="L37" s="870"/>
      <c r="M37" s="868"/>
      <c r="N37" s="1118"/>
      <c r="O37" s="1119"/>
      <c r="P37" s="884"/>
      <c r="Q37" s="885"/>
      <c r="R37" s="843"/>
      <c r="S37" s="843"/>
      <c r="T37" s="843"/>
      <c r="U37" s="843"/>
      <c r="V37" s="843"/>
      <c r="W37" s="843"/>
      <c r="X37" s="870"/>
      <c r="Y37" s="843" t="str">
        <f>IF(OR(ISNA(MATCH(MID(X37,1,3)*1,UomConversion!$D$8:$D$500,0)),H37=""),"",IF(AV37="","",AV37))</f>
        <v/>
      </c>
      <c r="Z37" s="843" t="str">
        <f>IF(AND(AU37&gt;0,COUNTIFS(UomConversion!$D$8:$D$500,MID(X37,1,3)*1,UomConversion!$J$8:$J$500,1)&gt;1),TEXT(AU37,"000")&amp;"."&amp;VLOOKUP(AU37,uom_list,5,FALSE),"")</f>
        <v/>
      </c>
      <c r="AA37" s="843">
        <f t="shared" si="4"/>
        <v>0</v>
      </c>
      <c r="AB37" s="843" t="str">
        <f t="shared" si="5"/>
        <v/>
      </c>
      <c r="AC37" s="843">
        <f t="shared" si="6"/>
        <v>2</v>
      </c>
      <c r="AD37" s="1214"/>
      <c r="AE37" s="1214"/>
      <c r="AF37" s="1215"/>
      <c r="AG37" s="1215"/>
      <c r="AH37" s="1215"/>
      <c r="AI37" s="1215"/>
      <c r="AJ37" s="1216"/>
      <c r="AK37" s="1216"/>
      <c r="AL37" s="1216"/>
      <c r="AM37" s="1216"/>
      <c r="AN37" s="1216"/>
      <c r="AO37" s="1216"/>
      <c r="AP37" s="1216"/>
      <c r="AQ37" s="1216"/>
      <c r="AR37" s="1216"/>
      <c r="AS37" s="1216"/>
      <c r="AT37" s="1216"/>
      <c r="AU37" s="1120" t="str" cm="1">
        <f t="array" ref="AU37">IF(H37="","",Slookup(MID(X37,1,3)*1,UomConversion!$D$8:$J$500,2,UomConversion!$I$8:$I$500,1,UomConversion!$J$8:$J$500,1))</f>
        <v/>
      </c>
      <c r="AV37" s="401" t="str">
        <f t="shared" si="7"/>
        <v/>
      </c>
      <c r="AW37" s="757" t="str">
        <f t="shared" si="8"/>
        <v/>
      </c>
      <c r="AX37" s="757" t="str">
        <f t="shared" si="9"/>
        <v/>
      </c>
      <c r="AY37" s="757" t="str">
        <f t="shared" si="10"/>
        <v/>
      </c>
      <c r="AZ37" s="1209" cm="1">
        <f t="array" ref="AZ37">IF(Y37="",1,Slookup(MID(X37,1,3)*1,UomConversion!$D$8:$J$500,5,UomConversion!$E$8:$E$500,MID(Y37,1,3)*1,UomConversion!$I$8:$I$500,1))</f>
        <v>1</v>
      </c>
      <c r="BA37" s="1209" cm="1">
        <f t="array" ref="BA37">IF(Z37="",1,Slookup(MID(X37,1,3)*1,UomConversion!$D$8:$J$500,5,UomConversion!$E$8:$E$500,MID(Z37,1,3)*1,UomConversion!$I$8:$I$500,1))</f>
        <v>1</v>
      </c>
      <c r="BB37" s="1217">
        <f t="shared" si="11"/>
        <v>0</v>
      </c>
      <c r="BC37" s="1217"/>
      <c r="BD37" s="1217"/>
      <c r="BE37" s="629"/>
      <c r="BG37" s="1121"/>
    </row>
    <row r="38" spans="2:59" s="445" customFormat="1" ht="24.95" customHeight="1">
      <c r="C38" s="843"/>
      <c r="D38" s="843"/>
      <c r="E38" s="843"/>
      <c r="F38" s="1116"/>
      <c r="G38" s="1117"/>
      <c r="H38" s="868"/>
      <c r="I38" s="1118"/>
      <c r="J38" s="1138"/>
      <c r="K38" s="1138"/>
      <c r="L38" s="870"/>
      <c r="M38" s="868"/>
      <c r="N38" s="1118"/>
      <c r="O38" s="1119"/>
      <c r="P38" s="884"/>
      <c r="Q38" s="885"/>
      <c r="R38" s="843"/>
      <c r="S38" s="843"/>
      <c r="T38" s="843"/>
      <c r="U38" s="843"/>
      <c r="V38" s="843"/>
      <c r="W38" s="843"/>
      <c r="X38" s="870"/>
      <c r="Y38" s="843" t="str">
        <f>IF(OR(ISNA(MATCH(MID(X38,1,3)*1,UomConversion!$D$8:$D$500,0)),H38=""),"",IF(AV38="","",AV38))</f>
        <v/>
      </c>
      <c r="Z38" s="843" t="str">
        <f>IF(AND(AU38&gt;0,COUNTIFS(UomConversion!$D$8:$D$500,MID(X38,1,3)*1,UomConversion!$J$8:$J$500,1)&gt;1),TEXT(AU38,"000")&amp;"."&amp;VLOOKUP(AU38,uom_list,5,FALSE),"")</f>
        <v/>
      </c>
      <c r="AA38" s="843">
        <f t="shared" si="4"/>
        <v>0</v>
      </c>
      <c r="AB38" s="843" t="str">
        <f t="shared" si="5"/>
        <v/>
      </c>
      <c r="AC38" s="843">
        <f t="shared" si="6"/>
        <v>2</v>
      </c>
      <c r="AD38" s="1214"/>
      <c r="AE38" s="1214"/>
      <c r="AF38" s="1215"/>
      <c r="AG38" s="1215"/>
      <c r="AH38" s="1215"/>
      <c r="AI38" s="1215"/>
      <c r="AJ38" s="1216"/>
      <c r="AK38" s="1216"/>
      <c r="AL38" s="1216"/>
      <c r="AM38" s="1216"/>
      <c r="AN38" s="1216"/>
      <c r="AO38" s="1216"/>
      <c r="AP38" s="1216"/>
      <c r="AQ38" s="1216"/>
      <c r="AR38" s="1216"/>
      <c r="AS38" s="1216"/>
      <c r="AT38" s="1216"/>
      <c r="AU38" s="1120" t="str" cm="1">
        <f t="array" ref="AU38">IF(H38="","",Slookup(MID(X38,1,3)*1,UomConversion!$D$8:$J$500,2,UomConversion!$I$8:$I$500,1,UomConversion!$J$8:$J$500,1))</f>
        <v/>
      </c>
      <c r="AV38" s="401" t="str">
        <f t="shared" si="7"/>
        <v/>
      </c>
      <c r="AW38" s="757" t="str">
        <f t="shared" si="8"/>
        <v/>
      </c>
      <c r="AX38" s="757" t="str">
        <f t="shared" si="9"/>
        <v/>
      </c>
      <c r="AY38" s="757" t="str">
        <f t="shared" si="10"/>
        <v/>
      </c>
      <c r="AZ38" s="1209" cm="1">
        <f t="array" ref="AZ38">IF(Y38="",1,Slookup(MID(X38,1,3)*1,UomConversion!$D$8:$J$500,5,UomConversion!$E$8:$E$500,MID(Y38,1,3)*1,UomConversion!$I$8:$I$500,1))</f>
        <v>1</v>
      </c>
      <c r="BA38" s="1209" cm="1">
        <f t="array" ref="BA38">IF(Z38="",1,Slookup(MID(X38,1,3)*1,UomConversion!$D$8:$J$500,5,UomConversion!$E$8:$E$500,MID(Z38,1,3)*1,UomConversion!$I$8:$I$500,1))</f>
        <v>1</v>
      </c>
      <c r="BB38" s="1217">
        <f t="shared" si="11"/>
        <v>0</v>
      </c>
      <c r="BC38" s="1217"/>
      <c r="BD38" s="1217"/>
      <c r="BE38" s="629"/>
      <c r="BG38" s="1121"/>
    </row>
    <row r="39" spans="2:59" s="445" customFormat="1" ht="24.95" customHeight="1">
      <c r="C39" s="843"/>
      <c r="D39" s="843"/>
      <c r="E39" s="843"/>
      <c r="F39" s="1116"/>
      <c r="G39" s="1117"/>
      <c r="H39" s="868"/>
      <c r="I39" s="1118"/>
      <c r="J39" s="1138"/>
      <c r="K39" s="1138"/>
      <c r="L39" s="870"/>
      <c r="M39" s="868"/>
      <c r="N39" s="1118"/>
      <c r="O39" s="1119"/>
      <c r="P39" s="884"/>
      <c r="Q39" s="885"/>
      <c r="R39" s="843"/>
      <c r="S39" s="843"/>
      <c r="T39" s="843"/>
      <c r="U39" s="843"/>
      <c r="V39" s="843"/>
      <c r="W39" s="843"/>
      <c r="X39" s="870"/>
      <c r="Y39" s="843" t="str">
        <f>IF(OR(ISNA(MATCH(MID(X39,1,3)*1,UomConversion!$D$8:$D$500,0)),H39=""),"",IF(AV39="","",AV39))</f>
        <v/>
      </c>
      <c r="Z39" s="843" t="str">
        <f>IF(AND(AU39&gt;0,COUNTIFS(UomConversion!$D$8:$D$500,MID(X39,1,3)*1,UomConversion!$J$8:$J$500,1)&gt;1),TEXT(AU39,"000")&amp;"."&amp;VLOOKUP(AU39,uom_list,5,FALSE),"")</f>
        <v/>
      </c>
      <c r="AA39" s="843">
        <f t="shared" si="4"/>
        <v>0</v>
      </c>
      <c r="AB39" s="843" t="str">
        <f t="shared" si="5"/>
        <v/>
      </c>
      <c r="AC39" s="843">
        <f t="shared" si="6"/>
        <v>2</v>
      </c>
      <c r="AD39" s="1214"/>
      <c r="AE39" s="1214"/>
      <c r="AF39" s="1215"/>
      <c r="AG39" s="1215"/>
      <c r="AH39" s="1215"/>
      <c r="AI39" s="1215"/>
      <c r="AJ39" s="1216"/>
      <c r="AK39" s="1216"/>
      <c r="AL39" s="1216"/>
      <c r="AM39" s="1216"/>
      <c r="AN39" s="1216"/>
      <c r="AO39" s="1216"/>
      <c r="AP39" s="1216"/>
      <c r="AQ39" s="1216"/>
      <c r="AR39" s="1216"/>
      <c r="AS39" s="1216"/>
      <c r="AT39" s="1216"/>
      <c r="AU39" s="1120" t="str" cm="1">
        <f t="array" ref="AU39">IF(H39="","",Slookup(MID(X39,1,3)*1,UomConversion!$D$8:$J$500,2,UomConversion!$I$8:$I$500,1,UomConversion!$J$8:$J$500,1))</f>
        <v/>
      </c>
      <c r="AV39" s="401" t="str">
        <f t="shared" si="7"/>
        <v/>
      </c>
      <c r="AW39" s="757" t="str">
        <f t="shared" si="8"/>
        <v/>
      </c>
      <c r="AX39" s="757" t="str">
        <f t="shared" si="9"/>
        <v/>
      </c>
      <c r="AY39" s="757" t="str">
        <f t="shared" si="10"/>
        <v/>
      </c>
      <c r="AZ39" s="1209" cm="1">
        <f t="array" ref="AZ39">IF(Y39="",1,Slookup(MID(X39,1,3)*1,UomConversion!$D$8:$J$500,5,UomConversion!$E$8:$E$500,MID(Y39,1,3)*1,UomConversion!$I$8:$I$500,1))</f>
        <v>1</v>
      </c>
      <c r="BA39" s="1209" cm="1">
        <f t="array" ref="BA39">IF(Z39="",1,Slookup(MID(X39,1,3)*1,UomConversion!$D$8:$J$500,5,UomConversion!$E$8:$E$500,MID(Z39,1,3)*1,UomConversion!$I$8:$I$500,1))</f>
        <v>1</v>
      </c>
      <c r="BB39" s="1217">
        <f t="shared" si="11"/>
        <v>0</v>
      </c>
      <c r="BC39" s="1217"/>
      <c r="BD39" s="1217"/>
      <c r="BE39" s="629"/>
      <c r="BG39" s="1121"/>
    </row>
    <row r="40" spans="2:59" s="445" customFormat="1" ht="24.95" customHeight="1">
      <c r="C40" s="843"/>
      <c r="D40" s="843"/>
      <c r="E40" s="843"/>
      <c r="F40" s="1116"/>
      <c r="G40" s="1117"/>
      <c r="H40" s="868"/>
      <c r="I40" s="1118"/>
      <c r="J40" s="1138"/>
      <c r="K40" s="1138"/>
      <c r="L40" s="870"/>
      <c r="M40" s="868"/>
      <c r="N40" s="1118"/>
      <c r="O40" s="1119"/>
      <c r="P40" s="884"/>
      <c r="Q40" s="885"/>
      <c r="R40" s="843"/>
      <c r="S40" s="843"/>
      <c r="T40" s="843"/>
      <c r="U40" s="843"/>
      <c r="V40" s="843"/>
      <c r="W40" s="843"/>
      <c r="X40" s="870"/>
      <c r="Y40" s="843" t="str">
        <f>IF(OR(ISNA(MATCH(MID(X40,1,3)*1,UomConversion!$D$8:$D$500,0)),H40=""),"",IF(AV40="","",AV40))</f>
        <v/>
      </c>
      <c r="Z40" s="843" t="str">
        <f>IF(AND(AU40&gt;0,COUNTIFS(UomConversion!$D$8:$D$500,MID(X40,1,3)*1,UomConversion!$J$8:$J$500,1)&gt;1),TEXT(AU40,"000")&amp;"."&amp;VLOOKUP(AU40,uom_list,5,FALSE),"")</f>
        <v/>
      </c>
      <c r="AA40" s="843">
        <f t="shared" si="4"/>
        <v>0</v>
      </c>
      <c r="AB40" s="843" t="str">
        <f t="shared" si="5"/>
        <v/>
      </c>
      <c r="AC40" s="843">
        <f t="shared" si="6"/>
        <v>2</v>
      </c>
      <c r="AD40" s="1214"/>
      <c r="AE40" s="1214"/>
      <c r="AF40" s="1215"/>
      <c r="AG40" s="1215"/>
      <c r="AH40" s="1215"/>
      <c r="AI40" s="1215"/>
      <c r="AJ40" s="1216"/>
      <c r="AK40" s="1216"/>
      <c r="AL40" s="1216"/>
      <c r="AM40" s="1216"/>
      <c r="AN40" s="1216"/>
      <c r="AO40" s="1216"/>
      <c r="AP40" s="1216"/>
      <c r="AQ40" s="1216"/>
      <c r="AR40" s="1216"/>
      <c r="AS40" s="1216"/>
      <c r="AT40" s="1216"/>
      <c r="AU40" s="1120" t="str" cm="1">
        <f t="array" ref="AU40">IF(H40="","",Slookup(MID(X40,1,3)*1,UomConversion!$D$8:$J$500,2,UomConversion!$I$8:$I$500,1,UomConversion!$J$8:$J$500,1))</f>
        <v/>
      </c>
      <c r="AV40" s="401" t="str">
        <f t="shared" si="7"/>
        <v/>
      </c>
      <c r="AW40" s="757" t="str">
        <f t="shared" si="8"/>
        <v/>
      </c>
      <c r="AX40" s="757" t="str">
        <f t="shared" si="9"/>
        <v/>
      </c>
      <c r="AY40" s="757" t="str">
        <f t="shared" si="10"/>
        <v/>
      </c>
      <c r="AZ40" s="1209" cm="1">
        <f t="array" ref="AZ40">IF(Y40="",1,Slookup(MID(X40,1,3)*1,UomConversion!$D$8:$J$500,5,UomConversion!$E$8:$E$500,MID(Y40,1,3)*1,UomConversion!$I$8:$I$500,1))</f>
        <v>1</v>
      </c>
      <c r="BA40" s="1209" cm="1">
        <f t="array" ref="BA40">IF(Z40="",1,Slookup(MID(X40,1,3)*1,UomConversion!$D$8:$J$500,5,UomConversion!$E$8:$E$500,MID(Z40,1,3)*1,UomConversion!$I$8:$I$500,1))</f>
        <v>1</v>
      </c>
      <c r="BB40" s="1217">
        <f t="shared" si="11"/>
        <v>0</v>
      </c>
      <c r="BC40" s="1217"/>
      <c r="BD40" s="1217"/>
      <c r="BE40" s="629"/>
      <c r="BG40" s="1121"/>
    </row>
    <row r="41" spans="2:59" s="445" customFormat="1" ht="24.95" customHeight="1">
      <c r="C41" s="843"/>
      <c r="D41" s="843"/>
      <c r="E41" s="843"/>
      <c r="F41" s="1116"/>
      <c r="G41" s="1117"/>
      <c r="H41" s="868"/>
      <c r="I41" s="1118"/>
      <c r="J41" s="1138"/>
      <c r="K41" s="1138"/>
      <c r="L41" s="870"/>
      <c r="M41" s="868"/>
      <c r="N41" s="1118"/>
      <c r="O41" s="1119"/>
      <c r="P41" s="884"/>
      <c r="Q41" s="885"/>
      <c r="R41" s="843"/>
      <c r="S41" s="843"/>
      <c r="T41" s="843"/>
      <c r="U41" s="843"/>
      <c r="V41" s="843"/>
      <c r="W41" s="843"/>
      <c r="X41" s="870"/>
      <c r="Y41" s="843" t="str">
        <f>IF(OR(ISNA(MATCH(MID(X41,1,3)*1,UomConversion!$D$8:$D$500,0)),H41=""),"",IF(AV41="","",AV41))</f>
        <v/>
      </c>
      <c r="Z41" s="843" t="str">
        <f>IF(AND(AU41&gt;0,COUNTIFS(UomConversion!$D$8:$D$500,MID(X41,1,3)*1,UomConversion!$J$8:$J$500,1)&gt;1),TEXT(AU41,"000")&amp;"."&amp;VLOOKUP(AU41,uom_list,5,FALSE),"")</f>
        <v/>
      </c>
      <c r="AA41" s="843">
        <f t="shared" si="4"/>
        <v>0</v>
      </c>
      <c r="AB41" s="843" t="str">
        <f t="shared" si="5"/>
        <v/>
      </c>
      <c r="AC41" s="843">
        <f t="shared" si="6"/>
        <v>2</v>
      </c>
      <c r="AD41" s="1214"/>
      <c r="AE41" s="1214"/>
      <c r="AF41" s="1215"/>
      <c r="AG41" s="1215"/>
      <c r="AH41" s="1215"/>
      <c r="AI41" s="1215"/>
      <c r="AJ41" s="1216"/>
      <c r="AK41" s="1216"/>
      <c r="AL41" s="1216"/>
      <c r="AM41" s="1216"/>
      <c r="AN41" s="1216"/>
      <c r="AO41" s="1216"/>
      <c r="AP41" s="1216"/>
      <c r="AQ41" s="1216"/>
      <c r="AR41" s="1216"/>
      <c r="AS41" s="1216"/>
      <c r="AT41" s="1216"/>
      <c r="AU41" s="1120" t="str" cm="1">
        <f t="array" ref="AU41">IF(H41="","",Slookup(MID(X41,1,3)*1,UomConversion!$D$8:$J$500,2,UomConversion!$I$8:$I$500,1,UomConversion!$J$8:$J$500,1))</f>
        <v/>
      </c>
      <c r="AV41" s="401" t="str">
        <f t="shared" si="7"/>
        <v/>
      </c>
      <c r="AW41" s="757" t="str">
        <f t="shared" si="8"/>
        <v/>
      </c>
      <c r="AX41" s="757" t="str">
        <f t="shared" si="9"/>
        <v/>
      </c>
      <c r="AY41" s="757" t="str">
        <f t="shared" si="10"/>
        <v/>
      </c>
      <c r="AZ41" s="1209" cm="1">
        <f t="array" ref="AZ41">IF(Y41="",1,Slookup(MID(X41,1,3)*1,UomConversion!$D$8:$J$500,5,UomConversion!$E$8:$E$500,MID(Y41,1,3)*1,UomConversion!$I$8:$I$500,1))</f>
        <v>1</v>
      </c>
      <c r="BA41" s="1209" cm="1">
        <f t="array" ref="BA41">IF(Z41="",1,Slookup(MID(X41,1,3)*1,UomConversion!$D$8:$J$500,5,UomConversion!$E$8:$E$500,MID(Z41,1,3)*1,UomConversion!$I$8:$I$500,1))</f>
        <v>1</v>
      </c>
      <c r="BB41" s="1217">
        <f t="shared" si="11"/>
        <v>0</v>
      </c>
      <c r="BC41" s="1217"/>
      <c r="BD41" s="1217"/>
      <c r="BE41" s="629"/>
      <c r="BG41" s="1121"/>
    </row>
    <row r="42" spans="2:59" s="445" customFormat="1" ht="24.95" customHeight="1">
      <c r="C42" s="843"/>
      <c r="D42" s="843"/>
      <c r="E42" s="843"/>
      <c r="F42" s="1116"/>
      <c r="G42" s="1117"/>
      <c r="H42" s="868"/>
      <c r="I42" s="1118"/>
      <c r="J42" s="1138"/>
      <c r="K42" s="1138"/>
      <c r="L42" s="870"/>
      <c r="M42" s="868"/>
      <c r="N42" s="1118"/>
      <c r="O42" s="1119"/>
      <c r="P42" s="884"/>
      <c r="Q42" s="885"/>
      <c r="R42" s="843"/>
      <c r="S42" s="843"/>
      <c r="T42" s="843"/>
      <c r="U42" s="843"/>
      <c r="V42" s="843"/>
      <c r="W42" s="843"/>
      <c r="X42" s="870"/>
      <c r="Y42" s="843" t="str">
        <f>IF(OR(ISNA(MATCH(MID(X42,1,3)*1,UomConversion!$D$8:$D$500,0)),H42=""),"",IF(AV42="","",AV42))</f>
        <v/>
      </c>
      <c r="Z42" s="843" t="str">
        <f>IF(AND(AU42&gt;0,COUNTIFS(UomConversion!$D$8:$D$500,MID(X42,1,3)*1,UomConversion!$J$8:$J$500,1)&gt;1),TEXT(AU42,"000")&amp;"."&amp;VLOOKUP(AU42,uom_list,5,FALSE),"")</f>
        <v/>
      </c>
      <c r="AA42" s="843">
        <f t="shared" si="4"/>
        <v>0</v>
      </c>
      <c r="AB42" s="843" t="str">
        <f t="shared" si="5"/>
        <v/>
      </c>
      <c r="AC42" s="843">
        <f t="shared" si="6"/>
        <v>2</v>
      </c>
      <c r="AD42" s="1214"/>
      <c r="AE42" s="1214"/>
      <c r="AF42" s="1215"/>
      <c r="AG42" s="1215"/>
      <c r="AH42" s="1215"/>
      <c r="AI42" s="1215"/>
      <c r="AJ42" s="1216"/>
      <c r="AK42" s="1216"/>
      <c r="AL42" s="1216"/>
      <c r="AM42" s="1216"/>
      <c r="AN42" s="1216"/>
      <c r="AO42" s="1216"/>
      <c r="AP42" s="1216"/>
      <c r="AQ42" s="1216"/>
      <c r="AR42" s="1216"/>
      <c r="AS42" s="1216"/>
      <c r="AT42" s="1216"/>
      <c r="AU42" s="1120" t="str" cm="1">
        <f t="array" ref="AU42">IF(H42="","",Slookup(MID(X42,1,3)*1,UomConversion!$D$8:$J$500,2,UomConversion!$I$8:$I$500,1,UomConversion!$J$8:$J$500,1))</f>
        <v/>
      </c>
      <c r="AV42" s="401" t="str">
        <f t="shared" si="7"/>
        <v/>
      </c>
      <c r="AW42" s="757" t="str">
        <f t="shared" si="8"/>
        <v/>
      </c>
      <c r="AX42" s="757" t="str">
        <f t="shared" si="9"/>
        <v/>
      </c>
      <c r="AY42" s="757" t="str">
        <f t="shared" si="10"/>
        <v/>
      </c>
      <c r="AZ42" s="1209" cm="1">
        <f t="array" ref="AZ42">IF(Y42="",1,Slookup(MID(X42,1,3)*1,UomConversion!$D$8:$J$500,5,UomConversion!$E$8:$E$500,MID(Y42,1,3)*1,UomConversion!$I$8:$I$500,1))</f>
        <v>1</v>
      </c>
      <c r="BA42" s="1209" cm="1">
        <f t="array" ref="BA42">IF(Z42="",1,Slookup(MID(X42,1,3)*1,UomConversion!$D$8:$J$500,5,UomConversion!$E$8:$E$500,MID(Z42,1,3)*1,UomConversion!$I$8:$I$500,1))</f>
        <v>1</v>
      </c>
      <c r="BB42" s="1217">
        <f t="shared" si="11"/>
        <v>0</v>
      </c>
      <c r="BC42" s="1217"/>
      <c r="BD42" s="1217"/>
      <c r="BE42" s="629"/>
      <c r="BG42" s="1121"/>
    </row>
    <row r="43" spans="2:59" s="445" customFormat="1" ht="24.95" customHeight="1">
      <c r="C43" s="843"/>
      <c r="D43" s="843"/>
      <c r="E43" s="843"/>
      <c r="F43" s="1116"/>
      <c r="G43" s="1117"/>
      <c r="H43" s="868"/>
      <c r="I43" s="1118"/>
      <c r="J43" s="1138"/>
      <c r="K43" s="1138"/>
      <c r="L43" s="870"/>
      <c r="M43" s="868"/>
      <c r="N43" s="1118"/>
      <c r="O43" s="1119"/>
      <c r="P43" s="884"/>
      <c r="Q43" s="885"/>
      <c r="R43" s="843"/>
      <c r="S43" s="843"/>
      <c r="T43" s="843"/>
      <c r="U43" s="843"/>
      <c r="V43" s="843"/>
      <c r="W43" s="843"/>
      <c r="X43" s="870"/>
      <c r="Y43" s="843" t="str">
        <f>IF(OR(ISNA(MATCH(MID(X43,1,3)*1,UomConversion!$D$8:$D$500,0)),H43=""),"",IF(AV43="","",AV43))</f>
        <v/>
      </c>
      <c r="Z43" s="843" t="str">
        <f>IF(AND(AU43&gt;0,COUNTIFS(UomConversion!$D$8:$D$500,MID(X43,1,3)*1,UomConversion!$J$8:$J$500,1)&gt;1),TEXT(AU43,"000")&amp;"."&amp;VLOOKUP(AU43,uom_list,5,FALSE),"")</f>
        <v/>
      </c>
      <c r="AA43" s="843">
        <f t="shared" si="4"/>
        <v>0</v>
      </c>
      <c r="AB43" s="843" t="str">
        <f t="shared" si="5"/>
        <v/>
      </c>
      <c r="AC43" s="843">
        <f t="shared" si="6"/>
        <v>2</v>
      </c>
      <c r="AD43" s="1214"/>
      <c r="AE43" s="1214"/>
      <c r="AF43" s="1215"/>
      <c r="AG43" s="1215"/>
      <c r="AH43" s="1215"/>
      <c r="AI43" s="1215"/>
      <c r="AJ43" s="1216"/>
      <c r="AK43" s="1216"/>
      <c r="AL43" s="1216"/>
      <c r="AM43" s="1216"/>
      <c r="AN43" s="1216"/>
      <c r="AO43" s="1216"/>
      <c r="AP43" s="1216"/>
      <c r="AQ43" s="1216"/>
      <c r="AR43" s="1216"/>
      <c r="AS43" s="1216"/>
      <c r="AT43" s="1216"/>
      <c r="AU43" s="1120" t="str" cm="1">
        <f t="array" ref="AU43">IF(H43="","",Slookup(MID(X43,1,3)*1,UomConversion!$D$8:$J$500,2,UomConversion!$I$8:$I$500,1,UomConversion!$J$8:$J$500,1))</f>
        <v/>
      </c>
      <c r="AV43" s="401" t="str">
        <f t="shared" si="7"/>
        <v/>
      </c>
      <c r="AW43" s="757" t="str">
        <f t="shared" si="8"/>
        <v/>
      </c>
      <c r="AX43" s="757" t="str">
        <f t="shared" si="9"/>
        <v/>
      </c>
      <c r="AY43" s="757" t="str">
        <f t="shared" si="10"/>
        <v/>
      </c>
      <c r="AZ43" s="1209" cm="1">
        <f t="array" ref="AZ43">IF(Y43="",1,Slookup(MID(X43,1,3)*1,UomConversion!$D$8:$J$500,5,UomConversion!$E$8:$E$500,MID(Y43,1,3)*1,UomConversion!$I$8:$I$500,1))</f>
        <v>1</v>
      </c>
      <c r="BA43" s="1209" cm="1">
        <f t="array" ref="BA43">IF(Z43="",1,Slookup(MID(X43,1,3)*1,UomConversion!$D$8:$J$500,5,UomConversion!$E$8:$E$500,MID(Z43,1,3)*1,UomConversion!$I$8:$I$500,1))</f>
        <v>1</v>
      </c>
      <c r="BB43" s="1217">
        <f t="shared" si="11"/>
        <v>0</v>
      </c>
      <c r="BC43" s="1217"/>
      <c r="BD43" s="1217"/>
      <c r="BE43" s="629"/>
      <c r="BG43" s="1121"/>
    </row>
    <row r="44" spans="2:59" s="445" customFormat="1" ht="24.95" customHeight="1">
      <c r="C44" s="843"/>
      <c r="D44" s="843"/>
      <c r="E44" s="843"/>
      <c r="F44" s="1116"/>
      <c r="G44" s="1117"/>
      <c r="H44" s="868"/>
      <c r="I44" s="1118"/>
      <c r="J44" s="1138"/>
      <c r="K44" s="1138"/>
      <c r="L44" s="870"/>
      <c r="M44" s="868"/>
      <c r="N44" s="1118"/>
      <c r="O44" s="1119"/>
      <c r="P44" s="884"/>
      <c r="Q44" s="885"/>
      <c r="R44" s="843"/>
      <c r="S44" s="843"/>
      <c r="T44" s="843"/>
      <c r="U44" s="843"/>
      <c r="V44" s="843"/>
      <c r="W44" s="843"/>
      <c r="X44" s="870"/>
      <c r="Y44" s="843" t="str">
        <f>IF(OR(ISNA(MATCH(MID(X44,1,3)*1,UomConversion!$D$8:$D$500,0)),H44=""),"",IF(AV44="","",AV44))</f>
        <v/>
      </c>
      <c r="Z44" s="843" t="str">
        <f>IF(AND(AU44&gt;0,COUNTIFS(UomConversion!$D$8:$D$500,MID(X44,1,3)*1,UomConversion!$J$8:$J$500,1)&gt;1),TEXT(AU44,"000")&amp;"."&amp;VLOOKUP(AU44,uom_list,5,FALSE),"")</f>
        <v/>
      </c>
      <c r="AA44" s="843">
        <f t="shared" si="4"/>
        <v>0</v>
      </c>
      <c r="AB44" s="843" t="str">
        <f t="shared" si="5"/>
        <v/>
      </c>
      <c r="AC44" s="843">
        <f t="shared" si="6"/>
        <v>2</v>
      </c>
      <c r="AD44" s="1214"/>
      <c r="AE44" s="1214"/>
      <c r="AF44" s="1215"/>
      <c r="AG44" s="1215"/>
      <c r="AH44" s="1215"/>
      <c r="AI44" s="1215"/>
      <c r="AJ44" s="1216"/>
      <c r="AK44" s="1216"/>
      <c r="AL44" s="1216"/>
      <c r="AM44" s="1216"/>
      <c r="AN44" s="1216"/>
      <c r="AO44" s="1216"/>
      <c r="AP44" s="1216"/>
      <c r="AQ44" s="1216"/>
      <c r="AR44" s="1216"/>
      <c r="AS44" s="1216"/>
      <c r="AT44" s="1216"/>
      <c r="AU44" s="1120" t="str" cm="1">
        <f t="array" ref="AU44">IF(H44="","",Slookup(MID(X44,1,3)*1,UomConversion!$D$8:$J$500,2,UomConversion!$I$8:$I$500,1,UomConversion!$J$8:$J$500,1))</f>
        <v/>
      </c>
      <c r="AV44" s="401" t="str">
        <f t="shared" si="7"/>
        <v/>
      </c>
      <c r="AW44" s="757" t="str">
        <f t="shared" si="8"/>
        <v/>
      </c>
      <c r="AX44" s="757" t="str">
        <f t="shared" si="9"/>
        <v/>
      </c>
      <c r="AY44" s="757" t="str">
        <f t="shared" si="10"/>
        <v/>
      </c>
      <c r="AZ44" s="1209" cm="1">
        <f t="array" ref="AZ44">IF(Y44="",1,Slookup(MID(X44,1,3)*1,UomConversion!$D$8:$J$500,5,UomConversion!$E$8:$E$500,MID(Y44,1,3)*1,UomConversion!$I$8:$I$500,1))</f>
        <v>1</v>
      </c>
      <c r="BA44" s="1209" cm="1">
        <f t="array" ref="BA44">IF(Z44="",1,Slookup(MID(X44,1,3)*1,UomConversion!$D$8:$J$500,5,UomConversion!$E$8:$E$500,MID(Z44,1,3)*1,UomConversion!$I$8:$I$500,1))</f>
        <v>1</v>
      </c>
      <c r="BB44" s="1217">
        <f t="shared" si="11"/>
        <v>0</v>
      </c>
      <c r="BC44" s="1217"/>
      <c r="BD44" s="1217"/>
      <c r="BE44" s="629"/>
      <c r="BG44" s="1121"/>
    </row>
    <row r="45" spans="2:59" s="1120" customFormat="1" ht="24.95" customHeight="1">
      <c r="B45" s="445"/>
      <c r="C45" s="843"/>
      <c r="D45" s="843"/>
      <c r="E45" s="843"/>
      <c r="F45" s="1116"/>
      <c r="G45" s="1117"/>
      <c r="H45" s="868"/>
      <c r="I45" s="1118"/>
      <c r="J45" s="1138"/>
      <c r="K45" s="1138"/>
      <c r="L45" s="870"/>
      <c r="M45" s="868"/>
      <c r="N45" s="1118"/>
      <c r="O45" s="1119"/>
      <c r="P45" s="884"/>
      <c r="Q45" s="885"/>
      <c r="R45" s="843"/>
      <c r="S45" s="843"/>
      <c r="T45" s="843"/>
      <c r="U45" s="843"/>
      <c r="V45" s="843"/>
      <c r="W45" s="843"/>
      <c r="X45" s="870"/>
      <c r="Y45" s="843" t="str">
        <f>IF(OR(ISNA(MATCH(MID(X45,1,3)*1,UomConversion!$D$8:$D$500,0)),H45=""),"",IF(AV45="","",AV45))</f>
        <v/>
      </c>
      <c r="Z45" s="843" t="str">
        <f>IF(AND(AU45&gt;0,COUNTIFS(UomConversion!$D$8:$D$500,MID(X45,1,3)*1,UomConversion!$J$8:$J$500,1)&gt;1),TEXT(AU45,"000")&amp;"."&amp;VLOOKUP(AU45,uom_list,5,FALSE),"")</f>
        <v/>
      </c>
      <c r="AA45" s="843">
        <f t="shared" si="4"/>
        <v>0</v>
      </c>
      <c r="AB45" s="843" t="str">
        <f t="shared" si="5"/>
        <v/>
      </c>
      <c r="AC45" s="843">
        <f t="shared" si="6"/>
        <v>2</v>
      </c>
      <c r="AD45" s="1214"/>
      <c r="AE45" s="1214"/>
      <c r="AF45" s="1215"/>
      <c r="AG45" s="1215"/>
      <c r="AH45" s="1215"/>
      <c r="AI45" s="1215"/>
      <c r="AJ45" s="1216"/>
      <c r="AK45" s="1216"/>
      <c r="AL45" s="1216"/>
      <c r="AM45" s="1216"/>
      <c r="AN45" s="1216"/>
      <c r="AO45" s="1216"/>
      <c r="AP45" s="1216"/>
      <c r="AQ45" s="1216"/>
      <c r="AR45" s="1216"/>
      <c r="AS45" s="1216"/>
      <c r="AT45" s="1216"/>
      <c r="AU45" s="1120" t="str" cm="1">
        <f t="array" ref="AU45">IF(H45="","",Slookup(MID(X45,1,3)*1,UomConversion!$D$8:$J$500,2,UomConversion!$I$8:$I$500,1,UomConversion!$J$8:$J$500,1))</f>
        <v/>
      </c>
      <c r="AV45" s="401" t="str">
        <f t="shared" si="7"/>
        <v/>
      </c>
      <c r="AW45" s="757" t="str">
        <f t="shared" si="8"/>
        <v/>
      </c>
      <c r="AX45" s="757" t="str">
        <f t="shared" si="9"/>
        <v/>
      </c>
      <c r="AY45" s="757" t="str">
        <f t="shared" si="10"/>
        <v/>
      </c>
      <c r="AZ45" s="1209" cm="1">
        <f t="array" ref="AZ45">IF(Y45="",1,Slookup(MID(X45,1,3)*1,UomConversion!$D$8:$J$500,5,UomConversion!$E$8:$E$500,MID(Y45,1,3)*1,UomConversion!$I$8:$I$500,1))</f>
        <v>1</v>
      </c>
      <c r="BA45" s="1209" cm="1">
        <f t="array" ref="BA45">IF(Z45="",1,Slookup(MID(X45,1,3)*1,UomConversion!$D$8:$J$500,5,UomConversion!$E$8:$E$500,MID(Z45,1,3)*1,UomConversion!$I$8:$I$500,1))</f>
        <v>1</v>
      </c>
      <c r="BB45" s="1217">
        <f t="shared" si="11"/>
        <v>0</v>
      </c>
      <c r="BC45" s="1217"/>
      <c r="BD45" s="1217"/>
      <c r="BE45" s="629"/>
      <c r="BG45" s="1121"/>
    </row>
    <row r="46" spans="2:59" s="1120" customFormat="1" ht="24.95" customHeight="1">
      <c r="B46" s="445"/>
      <c r="C46" s="843"/>
      <c r="D46" s="843"/>
      <c r="E46" s="843"/>
      <c r="F46" s="1116"/>
      <c r="G46" s="1117"/>
      <c r="H46" s="868"/>
      <c r="I46" s="1118"/>
      <c r="J46" s="1138"/>
      <c r="K46" s="1138"/>
      <c r="L46" s="870"/>
      <c r="M46" s="868"/>
      <c r="N46" s="1118"/>
      <c r="O46" s="1119"/>
      <c r="P46" s="884"/>
      <c r="Q46" s="885"/>
      <c r="R46" s="843"/>
      <c r="S46" s="843"/>
      <c r="T46" s="843"/>
      <c r="U46" s="843"/>
      <c r="V46" s="843"/>
      <c r="W46" s="843"/>
      <c r="X46" s="870"/>
      <c r="Y46" s="843" t="str">
        <f>IF(OR(ISNA(MATCH(MID(X46,1,3)*1,UomConversion!$D$8:$D$500,0)),H46=""),"",IF(AV46="","",AV46))</f>
        <v/>
      </c>
      <c r="Z46" s="843" t="str">
        <f>IF(AND(AU46&gt;0,COUNTIFS(UomConversion!$D$8:$D$500,MID(X46,1,3)*1,UomConversion!$J$8:$J$500,1)&gt;1),TEXT(AU46,"000")&amp;"."&amp;VLOOKUP(AU46,uom_list,5,FALSE),"")</f>
        <v/>
      </c>
      <c r="AA46" s="843">
        <f t="shared" si="4"/>
        <v>0</v>
      </c>
      <c r="AB46" s="843" t="str">
        <f t="shared" si="5"/>
        <v/>
      </c>
      <c r="AC46" s="843">
        <f t="shared" si="6"/>
        <v>2</v>
      </c>
      <c r="AD46" s="1214"/>
      <c r="AE46" s="1214"/>
      <c r="AF46" s="1215"/>
      <c r="AG46" s="1215"/>
      <c r="AH46" s="1215"/>
      <c r="AI46" s="1215"/>
      <c r="AJ46" s="1216"/>
      <c r="AK46" s="1216"/>
      <c r="AL46" s="1216"/>
      <c r="AM46" s="1216"/>
      <c r="AN46" s="1216"/>
      <c r="AO46" s="1216"/>
      <c r="AP46" s="1216"/>
      <c r="AQ46" s="1216"/>
      <c r="AR46" s="1216"/>
      <c r="AS46" s="1216"/>
      <c r="AT46" s="1216"/>
      <c r="AU46" s="1120" t="str" cm="1">
        <f t="array" ref="AU46">IF(H46="","",Slookup(MID(X46,1,3)*1,UomConversion!$D$8:$J$500,2,UomConversion!$I$8:$I$500,1,UomConversion!$J$8:$J$500,1))</f>
        <v/>
      </c>
      <c r="AV46" s="401" t="str">
        <f t="shared" si="7"/>
        <v/>
      </c>
      <c r="AW46" s="757" t="str">
        <f t="shared" si="8"/>
        <v/>
      </c>
      <c r="AX46" s="757" t="str">
        <f t="shared" si="9"/>
        <v/>
      </c>
      <c r="AY46" s="757" t="str">
        <f t="shared" si="10"/>
        <v/>
      </c>
      <c r="AZ46" s="1209" cm="1">
        <f t="array" ref="AZ46">IF(Y46="",1,Slookup(MID(X46,1,3)*1,UomConversion!$D$8:$J$500,5,UomConversion!$E$8:$E$500,MID(Y46,1,3)*1,UomConversion!$I$8:$I$500,1))</f>
        <v>1</v>
      </c>
      <c r="BA46" s="1209" cm="1">
        <f t="array" ref="BA46">IF(Z46="",1,Slookup(MID(X46,1,3)*1,UomConversion!$D$8:$J$500,5,UomConversion!$E$8:$E$500,MID(Z46,1,3)*1,UomConversion!$I$8:$I$500,1))</f>
        <v>1</v>
      </c>
      <c r="BB46" s="1217">
        <f t="shared" si="11"/>
        <v>0</v>
      </c>
      <c r="BC46" s="1217"/>
      <c r="BD46" s="1217"/>
      <c r="BG46" s="1121"/>
    </row>
    <row r="47" spans="2:59" s="1120" customFormat="1" ht="24.95" customHeight="1">
      <c r="B47" s="445"/>
      <c r="C47" s="843"/>
      <c r="D47" s="843"/>
      <c r="E47" s="843"/>
      <c r="F47" s="1116"/>
      <c r="G47" s="1117"/>
      <c r="H47" s="868"/>
      <c r="I47" s="1118"/>
      <c r="J47" s="1138"/>
      <c r="K47" s="1138"/>
      <c r="L47" s="870"/>
      <c r="M47" s="868"/>
      <c r="N47" s="1118"/>
      <c r="O47" s="1119"/>
      <c r="P47" s="884"/>
      <c r="Q47" s="885"/>
      <c r="R47" s="843"/>
      <c r="S47" s="843"/>
      <c r="T47" s="843"/>
      <c r="U47" s="843"/>
      <c r="V47" s="843"/>
      <c r="W47" s="843"/>
      <c r="X47" s="870"/>
      <c r="Y47" s="843" t="str">
        <f>IF(OR(ISNA(MATCH(MID(X47,1,3)*1,UomConversion!$D$8:$D$500,0)),H47=""),"",IF(AV47="","",AV47))</f>
        <v/>
      </c>
      <c r="Z47" s="843" t="str">
        <f>IF(AND(AU47&gt;0,COUNTIFS(UomConversion!$D$8:$D$500,MID(X47,1,3)*1,UomConversion!$J$8:$J$500,1)&gt;1),TEXT(AU47,"000")&amp;"."&amp;VLOOKUP(AU47,uom_list,5,FALSE),"")</f>
        <v/>
      </c>
      <c r="AA47" s="843">
        <f t="shared" si="4"/>
        <v>0</v>
      </c>
      <c r="AB47" s="843" t="str">
        <f t="shared" si="5"/>
        <v/>
      </c>
      <c r="AC47" s="843">
        <f t="shared" si="6"/>
        <v>2</v>
      </c>
      <c r="AD47" s="1214"/>
      <c r="AE47" s="1214"/>
      <c r="AF47" s="1215"/>
      <c r="AG47" s="1215"/>
      <c r="AH47" s="1215"/>
      <c r="AI47" s="1215"/>
      <c r="AJ47" s="1216"/>
      <c r="AK47" s="1216"/>
      <c r="AL47" s="1216"/>
      <c r="AM47" s="1216"/>
      <c r="AN47" s="1216"/>
      <c r="AO47" s="1216"/>
      <c r="AP47" s="1216"/>
      <c r="AQ47" s="1216"/>
      <c r="AR47" s="1216"/>
      <c r="AS47" s="1216"/>
      <c r="AT47" s="1216"/>
      <c r="AU47" s="1120" t="str" cm="1">
        <f t="array" ref="AU47">IF(H47="","",Slookup(MID(X47,1,3)*1,UomConversion!$D$8:$J$500,2,UomConversion!$I$8:$I$500,1,UomConversion!$J$8:$J$500,1))</f>
        <v/>
      </c>
      <c r="AV47" s="401" t="str">
        <f t="shared" si="7"/>
        <v/>
      </c>
      <c r="AW47" s="757" t="str">
        <f t="shared" si="8"/>
        <v/>
      </c>
      <c r="AX47" s="757" t="str">
        <f t="shared" si="9"/>
        <v/>
      </c>
      <c r="AY47" s="757" t="str">
        <f t="shared" si="10"/>
        <v/>
      </c>
      <c r="AZ47" s="1209" cm="1">
        <f t="array" ref="AZ47">IF(Y47="",1,Slookup(MID(X47,1,3)*1,UomConversion!$D$8:$J$500,5,UomConversion!$E$8:$E$500,MID(Y47,1,3)*1,UomConversion!$I$8:$I$500,1))</f>
        <v>1</v>
      </c>
      <c r="BA47" s="1209" cm="1">
        <f t="array" ref="BA47">IF(Z47="",1,Slookup(MID(X47,1,3)*1,UomConversion!$D$8:$J$500,5,UomConversion!$E$8:$E$500,MID(Z47,1,3)*1,UomConversion!$I$8:$I$500,1))</f>
        <v>1</v>
      </c>
      <c r="BB47" s="1217">
        <f t="shared" si="11"/>
        <v>0</v>
      </c>
      <c r="BC47" s="1217"/>
      <c r="BD47" s="1217"/>
      <c r="BE47" s="629"/>
      <c r="BG47" s="1121"/>
    </row>
    <row r="48" spans="2:59" s="1120" customFormat="1" ht="24.95" customHeight="1">
      <c r="B48" s="445"/>
      <c r="C48" s="843"/>
      <c r="D48" s="843"/>
      <c r="E48" s="843"/>
      <c r="F48" s="1116"/>
      <c r="G48" s="1117"/>
      <c r="H48" s="868"/>
      <c r="I48" s="1118"/>
      <c r="J48" s="1138"/>
      <c r="K48" s="1138"/>
      <c r="L48" s="870"/>
      <c r="M48" s="868"/>
      <c r="N48" s="1118"/>
      <c r="O48" s="1119"/>
      <c r="P48" s="884"/>
      <c r="Q48" s="885"/>
      <c r="R48" s="843"/>
      <c r="S48" s="843"/>
      <c r="T48" s="843"/>
      <c r="U48" s="843"/>
      <c r="V48" s="843"/>
      <c r="W48" s="843"/>
      <c r="X48" s="870"/>
      <c r="Y48" s="843" t="str">
        <f>IF(OR(ISNA(MATCH(MID(X48,1,3)*1,UomConversion!$D$8:$D$500,0)),H48=""),"",IF(AV48="","",AV48))</f>
        <v/>
      </c>
      <c r="Z48" s="843" t="str">
        <f>IF(AND(AU48&gt;0,COUNTIFS(UomConversion!$D$8:$D$500,MID(X48,1,3)*1,UomConversion!$J$8:$J$500,1)&gt;1),TEXT(AU48,"000")&amp;"."&amp;VLOOKUP(AU48,uom_list,5,FALSE),"")</f>
        <v/>
      </c>
      <c r="AA48" s="843">
        <f t="shared" si="4"/>
        <v>0</v>
      </c>
      <c r="AB48" s="843" t="str">
        <f t="shared" si="5"/>
        <v/>
      </c>
      <c r="AC48" s="843">
        <f t="shared" si="6"/>
        <v>2</v>
      </c>
      <c r="AD48" s="1214"/>
      <c r="AE48" s="1214"/>
      <c r="AF48" s="1215"/>
      <c r="AG48" s="1215"/>
      <c r="AH48" s="1215"/>
      <c r="AI48" s="1215"/>
      <c r="AJ48" s="1216"/>
      <c r="AK48" s="1216"/>
      <c r="AL48" s="1216"/>
      <c r="AM48" s="1216"/>
      <c r="AN48" s="1216"/>
      <c r="AO48" s="1216"/>
      <c r="AP48" s="1216"/>
      <c r="AQ48" s="1216"/>
      <c r="AR48" s="1216"/>
      <c r="AS48" s="1216"/>
      <c r="AT48" s="1216"/>
      <c r="AU48" s="1120" t="str" cm="1">
        <f t="array" ref="AU48">IF(H48="","",Slookup(MID(X48,1,3)*1,UomConversion!$D$8:$J$500,2,UomConversion!$I$8:$I$500,1,UomConversion!$J$8:$J$500,1))</f>
        <v/>
      </c>
      <c r="AV48" s="401" t="str">
        <f t="shared" si="7"/>
        <v/>
      </c>
      <c r="AW48" s="757" t="str">
        <f t="shared" si="8"/>
        <v/>
      </c>
      <c r="AX48" s="757" t="str">
        <f t="shared" si="9"/>
        <v/>
      </c>
      <c r="AY48" s="757" t="str">
        <f t="shared" si="10"/>
        <v/>
      </c>
      <c r="AZ48" s="1209" cm="1">
        <f t="array" ref="AZ48">IF(Y48="",1,Slookup(MID(X48,1,3)*1,UomConversion!$D$8:$J$500,5,UomConversion!$E$8:$E$500,MID(Y48,1,3)*1,UomConversion!$I$8:$I$500,1))</f>
        <v>1</v>
      </c>
      <c r="BA48" s="1209" cm="1">
        <f t="array" ref="BA48">IF(Z48="",1,Slookup(MID(X48,1,3)*1,UomConversion!$D$8:$J$500,5,UomConversion!$E$8:$E$500,MID(Z48,1,3)*1,UomConversion!$I$8:$I$500,1))</f>
        <v>1</v>
      </c>
      <c r="BB48" s="1217">
        <f t="shared" si="11"/>
        <v>0</v>
      </c>
      <c r="BC48" s="1217"/>
      <c r="BD48" s="1217"/>
      <c r="BE48" s="1218"/>
      <c r="BG48" s="1121"/>
    </row>
    <row r="49" spans="2:59" s="1120" customFormat="1" ht="24.95" customHeight="1">
      <c r="B49" s="445"/>
      <c r="C49" s="843"/>
      <c r="D49" s="843"/>
      <c r="E49" s="843"/>
      <c r="F49" s="1116"/>
      <c r="G49" s="1117"/>
      <c r="H49" s="868"/>
      <c r="I49" s="1118"/>
      <c r="J49" s="1138"/>
      <c r="K49" s="1138"/>
      <c r="L49" s="870"/>
      <c r="M49" s="868"/>
      <c r="N49" s="1118"/>
      <c r="O49" s="1119"/>
      <c r="P49" s="884"/>
      <c r="Q49" s="885"/>
      <c r="R49" s="843"/>
      <c r="S49" s="843"/>
      <c r="T49" s="843"/>
      <c r="U49" s="843"/>
      <c r="V49" s="843"/>
      <c r="W49" s="843"/>
      <c r="X49" s="870"/>
      <c r="Y49" s="843" t="str">
        <f>IF(OR(ISNA(MATCH(MID(X49,1,3)*1,UomConversion!$D$8:$D$500,0)),H49=""),"",IF(AV49="","",AV49))</f>
        <v/>
      </c>
      <c r="Z49" s="843" t="str">
        <f>IF(AND(AU49&gt;0,COUNTIFS(UomConversion!$D$8:$D$500,MID(X49,1,3)*1,UomConversion!$J$8:$J$500,1)&gt;1),TEXT(AU49,"000")&amp;"."&amp;VLOOKUP(AU49,uom_list,5,FALSE),"")</f>
        <v/>
      </c>
      <c r="AA49" s="843">
        <f t="shared" si="4"/>
        <v>0</v>
      </c>
      <c r="AB49" s="843" t="str">
        <f t="shared" si="5"/>
        <v/>
      </c>
      <c r="AC49" s="843">
        <f t="shared" si="6"/>
        <v>2</v>
      </c>
      <c r="AD49" s="1214"/>
      <c r="AE49" s="1214"/>
      <c r="AF49" s="1215"/>
      <c r="AG49" s="1215"/>
      <c r="AH49" s="1215"/>
      <c r="AI49" s="1215"/>
      <c r="AJ49" s="1216"/>
      <c r="AK49" s="1216"/>
      <c r="AL49" s="1216"/>
      <c r="AM49" s="1216"/>
      <c r="AN49" s="1216"/>
      <c r="AO49" s="1216"/>
      <c r="AP49" s="1216"/>
      <c r="AQ49" s="1216"/>
      <c r="AR49" s="1216"/>
      <c r="AS49" s="1216"/>
      <c r="AT49" s="1216"/>
      <c r="AU49" s="1120" t="str" cm="1">
        <f t="array" ref="AU49">IF(H49="","",Slookup(MID(X49,1,3)*1,UomConversion!$D$8:$J$500,2,UomConversion!$I$8:$I$500,1,UomConversion!$J$8:$J$500,1))</f>
        <v/>
      </c>
      <c r="AV49" s="401" t="str">
        <f t="shared" si="7"/>
        <v/>
      </c>
      <c r="AW49" s="757" t="str">
        <f t="shared" si="8"/>
        <v/>
      </c>
      <c r="AX49" s="757" t="str">
        <f t="shared" si="9"/>
        <v/>
      </c>
      <c r="AY49" s="757" t="str">
        <f t="shared" si="10"/>
        <v/>
      </c>
      <c r="AZ49" s="1209" cm="1">
        <f t="array" ref="AZ49">IF(Y49="",1,Slookup(MID(X49,1,3)*1,UomConversion!$D$8:$J$500,5,UomConversion!$E$8:$E$500,MID(Y49,1,3)*1,UomConversion!$I$8:$I$500,1))</f>
        <v>1</v>
      </c>
      <c r="BA49" s="1209" cm="1">
        <f t="array" ref="BA49">IF(Z49="",1,Slookup(MID(X49,1,3)*1,UomConversion!$D$8:$J$500,5,UomConversion!$E$8:$E$500,MID(Z49,1,3)*1,UomConversion!$I$8:$I$500,1))</f>
        <v>1</v>
      </c>
      <c r="BB49" s="1217">
        <f t="shared" si="11"/>
        <v>0</v>
      </c>
      <c r="BC49" s="1217"/>
      <c r="BD49" s="1217"/>
      <c r="BE49" s="1218"/>
      <c r="BG49" s="1121"/>
    </row>
    <row r="50" spans="2:59" s="1120" customFormat="1" ht="24.95" customHeight="1">
      <c r="B50" s="445"/>
      <c r="C50" s="843"/>
      <c r="D50" s="843"/>
      <c r="E50" s="843"/>
      <c r="F50" s="1116"/>
      <c r="G50" s="1117"/>
      <c r="H50" s="868"/>
      <c r="I50" s="1118"/>
      <c r="J50" s="1138"/>
      <c r="K50" s="1138"/>
      <c r="L50" s="870"/>
      <c r="M50" s="868"/>
      <c r="N50" s="1118"/>
      <c r="O50" s="1119"/>
      <c r="P50" s="884"/>
      <c r="Q50" s="885"/>
      <c r="R50" s="843"/>
      <c r="S50" s="843"/>
      <c r="T50" s="843"/>
      <c r="U50" s="843"/>
      <c r="V50" s="843"/>
      <c r="W50" s="843"/>
      <c r="X50" s="870"/>
      <c r="Y50" s="843" t="str">
        <f>IF(OR(ISNA(MATCH(MID(X50,1,3)*1,UomConversion!$D$8:$D$500,0)),H50=""),"",IF(AV50="","",AV50))</f>
        <v/>
      </c>
      <c r="Z50" s="843" t="str">
        <f>IF(AND(AU50&gt;0,COUNTIFS(UomConversion!$D$8:$D$500,MID(X50,1,3)*1,UomConversion!$J$8:$J$500,1)&gt;1),TEXT(AU50,"000")&amp;"."&amp;VLOOKUP(AU50,uom_list,5,FALSE),"")</f>
        <v/>
      </c>
      <c r="AA50" s="843">
        <f t="shared" si="4"/>
        <v>0</v>
      </c>
      <c r="AB50" s="843" t="str">
        <f t="shared" si="5"/>
        <v/>
      </c>
      <c r="AC50" s="843">
        <f t="shared" si="6"/>
        <v>2</v>
      </c>
      <c r="AD50" s="1214"/>
      <c r="AE50" s="1214"/>
      <c r="AF50" s="1215"/>
      <c r="AG50" s="1215"/>
      <c r="AH50" s="1215"/>
      <c r="AI50" s="1215"/>
      <c r="AJ50" s="1216"/>
      <c r="AK50" s="1216"/>
      <c r="AL50" s="1216"/>
      <c r="AM50" s="1216"/>
      <c r="AN50" s="1216"/>
      <c r="AO50" s="1216"/>
      <c r="AP50" s="1216"/>
      <c r="AQ50" s="1216"/>
      <c r="AR50" s="1216"/>
      <c r="AS50" s="1216"/>
      <c r="AT50" s="1216"/>
      <c r="AU50" s="1120" t="str" cm="1">
        <f t="array" ref="AU50">IF(H50="","",Slookup(MID(X50,1,3)*1,UomConversion!$D$8:$J$500,2,UomConversion!$I$8:$I$500,1,UomConversion!$J$8:$J$500,1))</f>
        <v/>
      </c>
      <c r="AV50" s="401" t="str">
        <f t="shared" si="7"/>
        <v/>
      </c>
      <c r="AW50" s="757" t="str">
        <f t="shared" si="8"/>
        <v/>
      </c>
      <c r="AX50" s="757" t="str">
        <f t="shared" si="9"/>
        <v/>
      </c>
      <c r="AY50" s="757" t="str">
        <f t="shared" si="10"/>
        <v/>
      </c>
      <c r="AZ50" s="1209" cm="1">
        <f t="array" ref="AZ50">IF(Y50="",1,Slookup(MID(X50,1,3)*1,UomConversion!$D$8:$J$500,5,UomConversion!$E$8:$E$500,MID(Y50,1,3)*1,UomConversion!$I$8:$I$500,1))</f>
        <v>1</v>
      </c>
      <c r="BA50" s="1209" cm="1">
        <f t="array" ref="BA50">IF(Z50="",1,Slookup(MID(X50,1,3)*1,UomConversion!$D$8:$J$500,5,UomConversion!$E$8:$E$500,MID(Z50,1,3)*1,UomConversion!$I$8:$I$500,1))</f>
        <v>1</v>
      </c>
      <c r="BB50" s="1217">
        <f t="shared" si="11"/>
        <v>0</v>
      </c>
      <c r="BC50" s="1217"/>
      <c r="BD50" s="1217"/>
      <c r="BG50" s="1121"/>
    </row>
    <row r="51" spans="2:59" s="1120" customFormat="1" ht="24.95" customHeight="1">
      <c r="B51" s="445"/>
      <c r="C51" s="843"/>
      <c r="D51" s="843"/>
      <c r="E51" s="843"/>
      <c r="F51" s="1116"/>
      <c r="G51" s="1117"/>
      <c r="H51" s="868"/>
      <c r="I51" s="1118"/>
      <c r="J51" s="1138"/>
      <c r="K51" s="1138"/>
      <c r="L51" s="870"/>
      <c r="M51" s="868"/>
      <c r="N51" s="1118"/>
      <c r="O51" s="1119"/>
      <c r="P51" s="884"/>
      <c r="Q51" s="885"/>
      <c r="R51" s="843"/>
      <c r="S51" s="843"/>
      <c r="T51" s="843"/>
      <c r="U51" s="843"/>
      <c r="V51" s="843"/>
      <c r="W51" s="843"/>
      <c r="X51" s="870"/>
      <c r="Y51" s="843" t="str">
        <f>IF(OR(ISNA(MATCH(MID(X51,1,3)*1,UomConversion!$D$8:$D$500,0)),H51=""),"",IF(AV51="","",AV51))</f>
        <v/>
      </c>
      <c r="Z51" s="843" t="str">
        <f>IF(AND(AU51&gt;0,COUNTIFS(UomConversion!$D$8:$D$500,MID(X51,1,3)*1,UomConversion!$J$8:$J$500,1)&gt;1),TEXT(AU51,"000")&amp;"."&amp;VLOOKUP(AU51,uom_list,5,FALSE),"")</f>
        <v/>
      </c>
      <c r="AA51" s="843">
        <f t="shared" si="4"/>
        <v>0</v>
      </c>
      <c r="AB51" s="843" t="str">
        <f t="shared" si="5"/>
        <v/>
      </c>
      <c r="AC51" s="843">
        <f t="shared" si="6"/>
        <v>2</v>
      </c>
      <c r="AD51" s="1214"/>
      <c r="AE51" s="1214"/>
      <c r="AF51" s="1215"/>
      <c r="AG51" s="1215"/>
      <c r="AH51" s="1215"/>
      <c r="AI51" s="1215"/>
      <c r="AJ51" s="1216"/>
      <c r="AK51" s="1216"/>
      <c r="AL51" s="1216"/>
      <c r="AM51" s="1216"/>
      <c r="AN51" s="1216"/>
      <c r="AO51" s="1216"/>
      <c r="AP51" s="1216"/>
      <c r="AQ51" s="1216"/>
      <c r="AR51" s="1216"/>
      <c r="AS51" s="1216"/>
      <c r="AT51" s="1216"/>
      <c r="AU51" s="1120" t="str" cm="1">
        <f t="array" ref="AU51">IF(H51="","",Slookup(MID(X51,1,3)*1,UomConversion!$D$8:$J$500,2,UomConversion!$I$8:$I$500,1,UomConversion!$J$8:$J$500,1))</f>
        <v/>
      </c>
      <c r="AV51" s="401" t="str">
        <f t="shared" si="7"/>
        <v/>
      </c>
      <c r="AW51" s="757" t="str">
        <f t="shared" si="8"/>
        <v/>
      </c>
      <c r="AX51" s="757" t="str">
        <f t="shared" si="9"/>
        <v/>
      </c>
      <c r="AY51" s="757" t="str">
        <f t="shared" si="10"/>
        <v/>
      </c>
      <c r="AZ51" s="1209" cm="1">
        <f t="array" ref="AZ51">IF(Y51="",1,Slookup(MID(X51,1,3)*1,UomConversion!$D$8:$J$500,5,UomConversion!$E$8:$E$500,MID(Y51,1,3)*1,UomConversion!$I$8:$I$500,1))</f>
        <v>1</v>
      </c>
      <c r="BA51" s="1209" cm="1">
        <f t="array" ref="BA51">IF(Z51="",1,Slookup(MID(X51,1,3)*1,UomConversion!$D$8:$J$500,5,UomConversion!$E$8:$E$500,MID(Z51,1,3)*1,UomConversion!$I$8:$I$500,1))</f>
        <v>1</v>
      </c>
      <c r="BB51" s="1217">
        <f t="shared" si="11"/>
        <v>0</v>
      </c>
      <c r="BC51" s="1217"/>
      <c r="BD51" s="1217"/>
      <c r="BG51" s="1121"/>
    </row>
    <row r="52" spans="2:59" s="1120" customFormat="1" ht="24.95" customHeight="1">
      <c r="B52" s="445"/>
      <c r="C52" s="843"/>
      <c r="D52" s="843"/>
      <c r="E52" s="843"/>
      <c r="F52" s="1116"/>
      <c r="G52" s="1117"/>
      <c r="H52" s="868"/>
      <c r="I52" s="1118"/>
      <c r="J52" s="1138"/>
      <c r="K52" s="1138"/>
      <c r="L52" s="870"/>
      <c r="M52" s="868"/>
      <c r="N52" s="1118"/>
      <c r="O52" s="1119"/>
      <c r="P52" s="884"/>
      <c r="Q52" s="885"/>
      <c r="R52" s="843"/>
      <c r="S52" s="843"/>
      <c r="T52" s="843"/>
      <c r="U52" s="843"/>
      <c r="V52" s="843"/>
      <c r="W52" s="843"/>
      <c r="X52" s="870"/>
      <c r="Y52" s="843" t="str">
        <f>IF(OR(ISNA(MATCH(MID(X52,1,3)*1,UomConversion!$D$8:$D$500,0)),H52=""),"",IF(AV52="","",AV52))</f>
        <v/>
      </c>
      <c r="Z52" s="843" t="str">
        <f>IF(AND(AU52&gt;0,COUNTIFS(UomConversion!$D$8:$D$500,MID(X52,1,3)*1,UomConversion!$J$8:$J$500,1)&gt;1),TEXT(AU52,"000")&amp;"."&amp;VLOOKUP(AU52,uom_list,5,FALSE),"")</f>
        <v/>
      </c>
      <c r="AA52" s="843">
        <f t="shared" ref="AA52:AA83" si="12">COUNT(AW52:AY52)</f>
        <v>0</v>
      </c>
      <c r="AB52" s="843" t="str">
        <f t="shared" si="5"/>
        <v/>
      </c>
      <c r="AC52" s="843">
        <f t="shared" ref="AC52:AC83" si="13">import_pro_number_of_price_type</f>
        <v>2</v>
      </c>
      <c r="AD52" s="1214"/>
      <c r="AE52" s="1214"/>
      <c r="AF52" s="1215"/>
      <c r="AG52" s="1215"/>
      <c r="AH52" s="1215"/>
      <c r="AI52" s="1215"/>
      <c r="AJ52" s="1216"/>
      <c r="AK52" s="1216"/>
      <c r="AL52" s="1216"/>
      <c r="AM52" s="1216"/>
      <c r="AN52" s="1216"/>
      <c r="AO52" s="1216"/>
      <c r="AP52" s="1216"/>
      <c r="AQ52" s="1216"/>
      <c r="AR52" s="1216"/>
      <c r="AS52" s="1216"/>
      <c r="AT52" s="1216"/>
      <c r="AU52" s="1120" t="str" cm="1">
        <f t="array" ref="AU52">IF(H52="","",Slookup(MID(X52,1,3)*1,UomConversion!$D$8:$J$500,2,UomConversion!$I$8:$I$500,1,UomConversion!$J$8:$J$500,1))</f>
        <v/>
      </c>
      <c r="AV52" s="401" t="str">
        <f t="shared" ref="AV52:AV83" si="14">IF(OR(ISNA(VLOOKUP(MID(X52,1,3)*1,uom_converion_list,2,FALSE)),H52=""),"",TEXT(VLOOKUP(MID(X52,1,3)*1,uom_converion_list,2,FALSE),"000")&amp;"."&amp;VLOOKUP(VLOOKUP(MID(X52,1,3)*1,uom_converion_list,2,FALSE),uom_list,5,FALSE))</f>
        <v/>
      </c>
      <c r="AW52" s="757" t="str">
        <f t="shared" ref="AW52:AW83" si="15">IF(X52="","",MID(X52,1,3)*1)</f>
        <v/>
      </c>
      <c r="AX52" s="757" t="str">
        <f t="shared" ref="AX52:AX83" si="16">IF(Y52="","",MID(Y52,1,3)*1)</f>
        <v/>
      </c>
      <c r="AY52" s="757" t="str">
        <f t="shared" ref="AY52:AY83" si="17">IF(Z52="","",MID(Z52,1,3)*1)</f>
        <v/>
      </c>
      <c r="AZ52" s="1209" cm="1">
        <f t="array" ref="AZ52">IF(Y52="",1,Slookup(MID(X52,1,3)*1,UomConversion!$D$8:$J$500,5,UomConversion!$E$8:$E$500,MID(Y52,1,3)*1,UomConversion!$I$8:$I$500,1))</f>
        <v>1</v>
      </c>
      <c r="BA52" s="1209" cm="1">
        <f t="array" ref="BA52">IF(Z52="",1,Slookup(MID(X52,1,3)*1,UomConversion!$D$8:$J$500,5,UomConversion!$E$8:$E$500,MID(Z52,1,3)*1,UomConversion!$I$8:$I$500,1))</f>
        <v>1</v>
      </c>
      <c r="BB52" s="1217">
        <f t="shared" si="11"/>
        <v>0</v>
      </c>
      <c r="BC52" s="1217"/>
      <c r="BD52" s="1217"/>
    </row>
    <row r="53" spans="2:59" s="1120" customFormat="1" ht="24.95" customHeight="1">
      <c r="B53" s="445"/>
      <c r="C53" s="843"/>
      <c r="D53" s="843"/>
      <c r="E53" s="843"/>
      <c r="F53" s="1116"/>
      <c r="G53" s="1117"/>
      <c r="H53" s="868"/>
      <c r="I53" s="1118"/>
      <c r="J53" s="1138"/>
      <c r="K53" s="1138"/>
      <c r="L53" s="870"/>
      <c r="M53" s="868"/>
      <c r="N53" s="1118"/>
      <c r="O53" s="1119"/>
      <c r="P53" s="884"/>
      <c r="Q53" s="885"/>
      <c r="R53" s="843"/>
      <c r="S53" s="843"/>
      <c r="T53" s="843"/>
      <c r="U53" s="843"/>
      <c r="V53" s="843"/>
      <c r="W53" s="843"/>
      <c r="X53" s="870"/>
      <c r="Y53" s="843" t="str">
        <f>IF(OR(ISNA(MATCH(MID(X53,1,3)*1,UomConversion!$D$8:$D$500,0)),H53=""),"",IF(AV53="","",AV53))</f>
        <v/>
      </c>
      <c r="Z53" s="843" t="str">
        <f>IF(AND(AU53&gt;0,COUNTIFS(UomConversion!$D$8:$D$500,MID(X53,1,3)*1,UomConversion!$J$8:$J$500,1)&gt;1),TEXT(AU53,"000")&amp;"."&amp;VLOOKUP(AU53,uom_list,5,FALSE),"")</f>
        <v/>
      </c>
      <c r="AA53" s="843">
        <f t="shared" si="12"/>
        <v>0</v>
      </c>
      <c r="AB53" s="843" t="str">
        <f t="shared" si="5"/>
        <v/>
      </c>
      <c r="AC53" s="843">
        <f t="shared" si="13"/>
        <v>2</v>
      </c>
      <c r="AD53" s="1214"/>
      <c r="AE53" s="1214"/>
      <c r="AF53" s="1215"/>
      <c r="AG53" s="1215"/>
      <c r="AH53" s="1215"/>
      <c r="AI53" s="1215"/>
      <c r="AJ53" s="1216"/>
      <c r="AK53" s="1216"/>
      <c r="AL53" s="1216"/>
      <c r="AM53" s="1216"/>
      <c r="AN53" s="1216"/>
      <c r="AO53" s="1216"/>
      <c r="AP53" s="1216"/>
      <c r="AQ53" s="1216"/>
      <c r="AR53" s="1216"/>
      <c r="AS53" s="1216"/>
      <c r="AT53" s="1216"/>
      <c r="AU53" s="1120" t="str" cm="1">
        <f t="array" ref="AU53">IF(H53="","",Slookup(MID(X53,1,3)*1,UomConversion!$D$8:$J$500,2,UomConversion!$I$8:$I$500,1,UomConversion!$J$8:$J$500,1))</f>
        <v/>
      </c>
      <c r="AV53" s="401" t="str">
        <f t="shared" si="14"/>
        <v/>
      </c>
      <c r="AW53" s="757" t="str">
        <f t="shared" si="15"/>
        <v/>
      </c>
      <c r="AX53" s="757" t="str">
        <f t="shared" si="16"/>
        <v/>
      </c>
      <c r="AY53" s="757" t="str">
        <f t="shared" si="17"/>
        <v/>
      </c>
      <c r="AZ53" s="1209" cm="1">
        <f t="array" ref="AZ53">IF(Y53="",1,Slookup(MID(X53,1,3)*1,UomConversion!$D$8:$J$500,5,UomConversion!$E$8:$E$500,MID(Y53,1,3)*1,UomConversion!$I$8:$I$500,1))</f>
        <v>1</v>
      </c>
      <c r="BA53" s="1209" cm="1">
        <f t="array" ref="BA53">IF(Z53="",1,Slookup(MID(X53,1,3)*1,UomConversion!$D$8:$J$500,5,UomConversion!$E$8:$E$500,MID(Z53,1,3)*1,UomConversion!$I$8:$I$500,1))</f>
        <v>1</v>
      </c>
      <c r="BB53" s="1217">
        <f t="shared" si="11"/>
        <v>0</v>
      </c>
      <c r="BC53" s="1217"/>
      <c r="BD53" s="1217"/>
    </row>
    <row r="54" spans="2:59" s="1120" customFormat="1" ht="24.95" customHeight="1">
      <c r="B54" s="445"/>
      <c r="C54" s="843"/>
      <c r="D54" s="843"/>
      <c r="E54" s="843"/>
      <c r="F54" s="1116"/>
      <c r="G54" s="1117"/>
      <c r="H54" s="868"/>
      <c r="I54" s="1118"/>
      <c r="J54" s="1138"/>
      <c r="K54" s="1138"/>
      <c r="L54" s="870"/>
      <c r="M54" s="868"/>
      <c r="N54" s="1118"/>
      <c r="O54" s="1119"/>
      <c r="P54" s="884"/>
      <c r="Q54" s="885"/>
      <c r="R54" s="843"/>
      <c r="S54" s="843"/>
      <c r="T54" s="843"/>
      <c r="U54" s="843"/>
      <c r="V54" s="843"/>
      <c r="W54" s="843"/>
      <c r="X54" s="870"/>
      <c r="Y54" s="843" t="str">
        <f>IF(OR(ISNA(MATCH(MID(X54,1,3)*1,UomConversion!$D$8:$D$500,0)),H54=""),"",IF(AV54="","",AV54))</f>
        <v/>
      </c>
      <c r="Z54" s="843" t="str">
        <f>IF(AND(AU54&gt;0,COUNTIFS(UomConversion!$D$8:$D$500,MID(X54,1,3)*1,UomConversion!$J$8:$J$500,1)&gt;1),TEXT(AU54,"000")&amp;"."&amp;VLOOKUP(AU54,uom_list,5,FALSE),"")</f>
        <v/>
      </c>
      <c r="AA54" s="843">
        <f t="shared" si="12"/>
        <v>0</v>
      </c>
      <c r="AB54" s="843" t="str">
        <f t="shared" si="5"/>
        <v/>
      </c>
      <c r="AC54" s="843">
        <f t="shared" si="13"/>
        <v>2</v>
      </c>
      <c r="AD54" s="1214"/>
      <c r="AE54" s="1214"/>
      <c r="AF54" s="1215"/>
      <c r="AG54" s="1215"/>
      <c r="AH54" s="1215"/>
      <c r="AI54" s="1215"/>
      <c r="AJ54" s="1216"/>
      <c r="AK54" s="1216"/>
      <c r="AL54" s="1216"/>
      <c r="AM54" s="1216"/>
      <c r="AN54" s="1216"/>
      <c r="AO54" s="1216"/>
      <c r="AP54" s="1216"/>
      <c r="AQ54" s="1216"/>
      <c r="AR54" s="1216"/>
      <c r="AS54" s="1216"/>
      <c r="AT54" s="1216"/>
      <c r="AU54" s="1120" t="str" cm="1">
        <f t="array" ref="AU54">IF(H54="","",Slookup(MID(X54,1,3)*1,UomConversion!$D$8:$J$500,2,UomConversion!$I$8:$I$500,1,UomConversion!$J$8:$J$500,1))</f>
        <v/>
      </c>
      <c r="AV54" s="401" t="str">
        <f t="shared" si="14"/>
        <v/>
      </c>
      <c r="AW54" s="757" t="str">
        <f t="shared" si="15"/>
        <v/>
      </c>
      <c r="AX54" s="757" t="str">
        <f t="shared" si="16"/>
        <v/>
      </c>
      <c r="AY54" s="757" t="str">
        <f t="shared" si="17"/>
        <v/>
      </c>
      <c r="AZ54" s="1209" cm="1">
        <f t="array" ref="AZ54">IF(Y54="",1,Slookup(MID(X54,1,3)*1,UomConversion!$D$8:$J$500,5,UomConversion!$E$8:$E$500,MID(Y54,1,3)*1,UomConversion!$I$8:$I$500,1))</f>
        <v>1</v>
      </c>
      <c r="BA54" s="1209" cm="1">
        <f t="array" ref="BA54">IF(Z54="",1,Slookup(MID(X54,1,3)*1,UomConversion!$D$8:$J$500,5,UomConversion!$E$8:$E$500,MID(Z54,1,3)*1,UomConversion!$I$8:$I$500,1))</f>
        <v>1</v>
      </c>
      <c r="BB54" s="1217">
        <f t="shared" si="11"/>
        <v>0</v>
      </c>
      <c r="BC54" s="1217"/>
      <c r="BD54" s="1217"/>
    </row>
    <row r="55" spans="2:59" s="1120" customFormat="1" ht="24.95" customHeight="1">
      <c r="B55" s="445"/>
      <c r="C55" s="843"/>
      <c r="D55" s="843"/>
      <c r="E55" s="843"/>
      <c r="F55" s="1116"/>
      <c r="G55" s="1117"/>
      <c r="H55" s="868"/>
      <c r="I55" s="1118"/>
      <c r="J55" s="1138"/>
      <c r="K55" s="1138"/>
      <c r="L55" s="870"/>
      <c r="M55" s="868"/>
      <c r="N55" s="1118"/>
      <c r="O55" s="1119"/>
      <c r="P55" s="884"/>
      <c r="Q55" s="885"/>
      <c r="R55" s="843"/>
      <c r="S55" s="843"/>
      <c r="T55" s="843"/>
      <c r="U55" s="843"/>
      <c r="V55" s="843"/>
      <c r="W55" s="843"/>
      <c r="X55" s="870"/>
      <c r="Y55" s="843" t="str">
        <f>IF(OR(ISNA(MATCH(MID(X55,1,3)*1,UomConversion!$D$8:$D$500,0)),H55=""),"",IF(AV55="","",AV55))</f>
        <v/>
      </c>
      <c r="Z55" s="843" t="str">
        <f>IF(AND(AU55&gt;0,COUNTIFS(UomConversion!$D$8:$D$500,MID(X55,1,3)*1,UomConversion!$J$8:$J$500,1)&gt;1),TEXT(AU55,"000")&amp;"."&amp;VLOOKUP(AU55,uom_list,5,FALSE),"")</f>
        <v/>
      </c>
      <c r="AA55" s="843">
        <f t="shared" si="12"/>
        <v>0</v>
      </c>
      <c r="AB55" s="843" t="str">
        <f t="shared" si="5"/>
        <v/>
      </c>
      <c r="AC55" s="843">
        <f t="shared" si="13"/>
        <v>2</v>
      </c>
      <c r="AD55" s="1214"/>
      <c r="AE55" s="1214"/>
      <c r="AF55" s="1215"/>
      <c r="AG55" s="1215"/>
      <c r="AH55" s="1215"/>
      <c r="AI55" s="1215"/>
      <c r="AJ55" s="1216"/>
      <c r="AK55" s="1216"/>
      <c r="AL55" s="1216"/>
      <c r="AM55" s="1216"/>
      <c r="AN55" s="1216"/>
      <c r="AO55" s="1216"/>
      <c r="AP55" s="1216"/>
      <c r="AQ55" s="1216"/>
      <c r="AR55" s="1216"/>
      <c r="AS55" s="1216"/>
      <c r="AT55" s="1216"/>
      <c r="AU55" s="1120" t="str" cm="1">
        <f t="array" ref="AU55">IF(H55="","",Slookup(MID(X55,1,3)*1,UomConversion!$D$8:$J$500,2,UomConversion!$I$8:$I$500,1,UomConversion!$J$8:$J$500,1))</f>
        <v/>
      </c>
      <c r="AV55" s="401" t="str">
        <f t="shared" si="14"/>
        <v/>
      </c>
      <c r="AW55" s="757" t="str">
        <f t="shared" si="15"/>
        <v/>
      </c>
      <c r="AX55" s="757" t="str">
        <f t="shared" si="16"/>
        <v/>
      </c>
      <c r="AY55" s="757" t="str">
        <f t="shared" si="17"/>
        <v/>
      </c>
      <c r="AZ55" s="1209" cm="1">
        <f t="array" ref="AZ55">IF(Y55="",1,Slookup(MID(X55,1,3)*1,UomConversion!$D$8:$J$500,5,UomConversion!$E$8:$E$500,MID(Y55,1,3)*1,UomConversion!$I$8:$I$500,1))</f>
        <v>1</v>
      </c>
      <c r="BA55" s="1209" cm="1">
        <f t="array" ref="BA55">IF(Z55="",1,Slookup(MID(X55,1,3)*1,UomConversion!$D$8:$J$500,5,UomConversion!$E$8:$E$500,MID(Z55,1,3)*1,UomConversion!$I$8:$I$500,1))</f>
        <v>1</v>
      </c>
      <c r="BB55" s="1217">
        <f t="shared" si="11"/>
        <v>0</v>
      </c>
      <c r="BC55" s="1217"/>
      <c r="BD55" s="1217"/>
    </row>
    <row r="56" spans="2:59" s="1120" customFormat="1" ht="24.95" customHeight="1">
      <c r="B56" s="445"/>
      <c r="C56" s="843"/>
      <c r="D56" s="843"/>
      <c r="E56" s="843"/>
      <c r="F56" s="1116"/>
      <c r="G56" s="1117"/>
      <c r="H56" s="868"/>
      <c r="I56" s="1118"/>
      <c r="J56" s="1138"/>
      <c r="K56" s="1138"/>
      <c r="L56" s="870"/>
      <c r="M56" s="868"/>
      <c r="N56" s="1118"/>
      <c r="O56" s="1119"/>
      <c r="P56" s="884"/>
      <c r="Q56" s="885"/>
      <c r="R56" s="843"/>
      <c r="S56" s="843"/>
      <c r="T56" s="843"/>
      <c r="U56" s="843"/>
      <c r="V56" s="843"/>
      <c r="W56" s="843"/>
      <c r="X56" s="870"/>
      <c r="Y56" s="843" t="str">
        <f>IF(OR(ISNA(MATCH(MID(X56,1,3)*1,UomConversion!$D$8:$D$500,0)),H56=""),"",IF(AV56="","",AV56))</f>
        <v/>
      </c>
      <c r="Z56" s="843" t="str">
        <f>IF(AND(AU56&gt;0,COUNTIFS(UomConversion!$D$8:$D$500,MID(X56,1,3)*1,UomConversion!$J$8:$J$500,1)&gt;1),TEXT(AU56,"000")&amp;"."&amp;VLOOKUP(AU56,uom_list,5,FALSE),"")</f>
        <v/>
      </c>
      <c r="AA56" s="843">
        <f t="shared" si="12"/>
        <v>0</v>
      </c>
      <c r="AB56" s="843" t="str">
        <f t="shared" si="5"/>
        <v/>
      </c>
      <c r="AC56" s="843">
        <f t="shared" si="13"/>
        <v>2</v>
      </c>
      <c r="AD56" s="1214"/>
      <c r="AE56" s="1214"/>
      <c r="AF56" s="1215"/>
      <c r="AG56" s="1215"/>
      <c r="AH56" s="1215"/>
      <c r="AI56" s="1215"/>
      <c r="AJ56" s="1216"/>
      <c r="AK56" s="1216"/>
      <c r="AL56" s="1216"/>
      <c r="AM56" s="1216"/>
      <c r="AN56" s="1216"/>
      <c r="AO56" s="1216"/>
      <c r="AP56" s="1216"/>
      <c r="AQ56" s="1216"/>
      <c r="AR56" s="1216"/>
      <c r="AS56" s="1216"/>
      <c r="AT56" s="1216"/>
      <c r="AU56" s="1120" t="str" cm="1">
        <f t="array" ref="AU56">IF(H56="","",Slookup(MID(X56,1,3)*1,UomConversion!$D$8:$J$500,2,UomConversion!$I$8:$I$500,1,UomConversion!$J$8:$J$500,1))</f>
        <v/>
      </c>
      <c r="AV56" s="401" t="str">
        <f t="shared" si="14"/>
        <v/>
      </c>
      <c r="AW56" s="757" t="str">
        <f t="shared" si="15"/>
        <v/>
      </c>
      <c r="AX56" s="757" t="str">
        <f t="shared" si="16"/>
        <v/>
      </c>
      <c r="AY56" s="757" t="str">
        <f t="shared" si="17"/>
        <v/>
      </c>
      <c r="AZ56" s="1209" cm="1">
        <f t="array" ref="AZ56">IF(Y56="",1,Slookup(MID(X56,1,3)*1,UomConversion!$D$8:$J$500,5,UomConversion!$E$8:$E$500,MID(Y56,1,3)*1,UomConversion!$I$8:$I$500,1))</f>
        <v>1</v>
      </c>
      <c r="BA56" s="1209" cm="1">
        <f t="array" ref="BA56">IF(Z56="",1,Slookup(MID(X56,1,3)*1,UomConversion!$D$8:$J$500,5,UomConversion!$E$8:$E$500,MID(Z56,1,3)*1,UomConversion!$I$8:$I$500,1))</f>
        <v>1</v>
      </c>
      <c r="BB56" s="1217">
        <f t="shared" si="11"/>
        <v>0</v>
      </c>
      <c r="BC56" s="1217"/>
      <c r="BD56" s="1217"/>
    </row>
    <row r="57" spans="2:59" s="1120" customFormat="1" ht="24.95" customHeight="1">
      <c r="B57" s="445"/>
      <c r="C57" s="843"/>
      <c r="D57" s="843"/>
      <c r="E57" s="843"/>
      <c r="F57" s="1116"/>
      <c r="G57" s="1117"/>
      <c r="H57" s="868"/>
      <c r="I57" s="1118"/>
      <c r="J57" s="1138"/>
      <c r="K57" s="1138"/>
      <c r="L57" s="870"/>
      <c r="M57" s="868"/>
      <c r="N57" s="1118"/>
      <c r="O57" s="1119"/>
      <c r="P57" s="884"/>
      <c r="Q57" s="885"/>
      <c r="R57" s="843"/>
      <c r="S57" s="843"/>
      <c r="T57" s="843"/>
      <c r="U57" s="843"/>
      <c r="V57" s="843"/>
      <c r="W57" s="843"/>
      <c r="X57" s="870"/>
      <c r="Y57" s="843" t="str">
        <f>IF(OR(ISNA(MATCH(MID(X57,1,3)*1,UomConversion!$D$8:$D$500,0)),H57=""),"",IF(AV57="","",AV57))</f>
        <v/>
      </c>
      <c r="Z57" s="843" t="str">
        <f>IF(AND(AU57&gt;0,COUNTIFS(UomConversion!$D$8:$D$500,MID(X57,1,3)*1,UomConversion!$J$8:$J$500,1)&gt;1),TEXT(AU57,"000")&amp;"."&amp;VLOOKUP(AU57,uom_list,5,FALSE),"")</f>
        <v/>
      </c>
      <c r="AA57" s="843">
        <f t="shared" si="12"/>
        <v>0</v>
      </c>
      <c r="AB57" s="843" t="str">
        <f t="shared" si="5"/>
        <v/>
      </c>
      <c r="AC57" s="843">
        <f t="shared" si="13"/>
        <v>2</v>
      </c>
      <c r="AD57" s="1214"/>
      <c r="AE57" s="1214"/>
      <c r="AF57" s="1215"/>
      <c r="AG57" s="1215"/>
      <c r="AH57" s="1215"/>
      <c r="AI57" s="1215"/>
      <c r="AJ57" s="1216"/>
      <c r="AK57" s="1216"/>
      <c r="AL57" s="1216"/>
      <c r="AM57" s="1216"/>
      <c r="AN57" s="1216"/>
      <c r="AO57" s="1216"/>
      <c r="AP57" s="1216"/>
      <c r="AQ57" s="1216"/>
      <c r="AR57" s="1216"/>
      <c r="AS57" s="1216"/>
      <c r="AT57" s="1216"/>
      <c r="AU57" s="1120" t="str" cm="1">
        <f t="array" ref="AU57">IF(H57="","",Slookup(MID(X57,1,3)*1,UomConversion!$D$8:$J$500,2,UomConversion!$I$8:$I$500,1,UomConversion!$J$8:$J$500,1))</f>
        <v/>
      </c>
      <c r="AV57" s="401" t="str">
        <f t="shared" si="14"/>
        <v/>
      </c>
      <c r="AW57" s="757" t="str">
        <f t="shared" si="15"/>
        <v/>
      </c>
      <c r="AX57" s="757" t="str">
        <f t="shared" si="16"/>
        <v/>
      </c>
      <c r="AY57" s="757" t="str">
        <f t="shared" si="17"/>
        <v/>
      </c>
      <c r="AZ57" s="1209" cm="1">
        <f t="array" ref="AZ57">IF(Y57="",1,Slookup(MID(X57,1,3)*1,UomConversion!$D$8:$J$500,5,UomConversion!$E$8:$E$500,MID(Y57,1,3)*1,UomConversion!$I$8:$I$500,1))</f>
        <v>1</v>
      </c>
      <c r="BA57" s="1209" cm="1">
        <f t="array" ref="BA57">IF(Z57="",1,Slookup(MID(X57,1,3)*1,UomConversion!$D$8:$J$500,5,UomConversion!$E$8:$E$500,MID(Z57,1,3)*1,UomConversion!$I$8:$I$500,1))</f>
        <v>1</v>
      </c>
      <c r="BB57" s="1217">
        <f t="shared" si="11"/>
        <v>0</v>
      </c>
      <c r="BC57" s="1217"/>
      <c r="BD57" s="1217"/>
    </row>
    <row r="58" spans="2:59" s="1120" customFormat="1" ht="24.95" customHeight="1">
      <c r="B58" s="445"/>
      <c r="C58" s="843"/>
      <c r="D58" s="843"/>
      <c r="E58" s="843"/>
      <c r="F58" s="1116"/>
      <c r="G58" s="1117"/>
      <c r="H58" s="868"/>
      <c r="I58" s="1118"/>
      <c r="J58" s="1138"/>
      <c r="K58" s="1138"/>
      <c r="L58" s="870"/>
      <c r="M58" s="868"/>
      <c r="N58" s="1118"/>
      <c r="O58" s="1119"/>
      <c r="P58" s="884"/>
      <c r="Q58" s="885"/>
      <c r="R58" s="843"/>
      <c r="S58" s="843"/>
      <c r="T58" s="843"/>
      <c r="U58" s="843"/>
      <c r="V58" s="843"/>
      <c r="W58" s="843"/>
      <c r="X58" s="870"/>
      <c r="Y58" s="843" t="str">
        <f>IF(OR(ISNA(MATCH(MID(X58,1,3)*1,UomConversion!$D$8:$D$500,0)),H58=""),"",IF(AV58="","",AV58))</f>
        <v/>
      </c>
      <c r="Z58" s="843" t="str">
        <f>IF(AND(AU58&gt;0,COUNTIFS(UomConversion!$D$8:$D$500,MID(X58,1,3)*1,UomConversion!$J$8:$J$500,1)&gt;1),TEXT(AU58,"000")&amp;"."&amp;VLOOKUP(AU58,uom_list,5,FALSE),"")</f>
        <v/>
      </c>
      <c r="AA58" s="843">
        <f t="shared" si="12"/>
        <v>0</v>
      </c>
      <c r="AB58" s="843" t="str">
        <f t="shared" si="5"/>
        <v/>
      </c>
      <c r="AC58" s="843">
        <f t="shared" si="13"/>
        <v>2</v>
      </c>
      <c r="AD58" s="1214"/>
      <c r="AE58" s="1214"/>
      <c r="AF58" s="1215"/>
      <c r="AG58" s="1215"/>
      <c r="AH58" s="1215"/>
      <c r="AI58" s="1215"/>
      <c r="AJ58" s="1216"/>
      <c r="AK58" s="1216"/>
      <c r="AL58" s="1216"/>
      <c r="AM58" s="1216"/>
      <c r="AN58" s="1216"/>
      <c r="AO58" s="1216"/>
      <c r="AP58" s="1216"/>
      <c r="AQ58" s="1216"/>
      <c r="AR58" s="1216"/>
      <c r="AS58" s="1216"/>
      <c r="AT58" s="1216"/>
      <c r="AU58" s="1120" t="str" cm="1">
        <f t="array" ref="AU58">IF(H58="","",Slookup(MID(X58,1,3)*1,UomConversion!$D$8:$J$500,2,UomConversion!$I$8:$I$500,1,UomConversion!$J$8:$J$500,1))</f>
        <v/>
      </c>
      <c r="AV58" s="401" t="str">
        <f t="shared" si="14"/>
        <v/>
      </c>
      <c r="AW58" s="757" t="str">
        <f t="shared" si="15"/>
        <v/>
      </c>
      <c r="AX58" s="757" t="str">
        <f t="shared" si="16"/>
        <v/>
      </c>
      <c r="AY58" s="757" t="str">
        <f t="shared" si="17"/>
        <v/>
      </c>
      <c r="AZ58" s="1209" cm="1">
        <f t="array" ref="AZ58">IF(Y58="",1,Slookup(MID(X58,1,3)*1,UomConversion!$D$8:$J$500,5,UomConversion!$E$8:$E$500,MID(Y58,1,3)*1,UomConversion!$I$8:$I$500,1))</f>
        <v>1</v>
      </c>
      <c r="BA58" s="1209" cm="1">
        <f t="array" ref="BA58">IF(Z58="",1,Slookup(MID(X58,1,3)*1,UomConversion!$D$8:$J$500,5,UomConversion!$E$8:$E$500,MID(Z58,1,3)*1,UomConversion!$I$8:$I$500,1))</f>
        <v>1</v>
      </c>
      <c r="BB58" s="1217">
        <f t="shared" si="11"/>
        <v>0</v>
      </c>
      <c r="BC58" s="1217"/>
      <c r="BD58" s="1217"/>
    </row>
    <row r="59" spans="2:59" s="1120" customFormat="1" ht="24.95" customHeight="1">
      <c r="B59" s="445"/>
      <c r="C59" s="843"/>
      <c r="D59" s="843"/>
      <c r="E59" s="843"/>
      <c r="F59" s="1116"/>
      <c r="G59" s="1117"/>
      <c r="H59" s="868"/>
      <c r="I59" s="1118"/>
      <c r="J59" s="1138"/>
      <c r="K59" s="1138"/>
      <c r="L59" s="870"/>
      <c r="M59" s="868"/>
      <c r="N59" s="1118"/>
      <c r="O59" s="1119"/>
      <c r="P59" s="884"/>
      <c r="Q59" s="885"/>
      <c r="R59" s="843"/>
      <c r="S59" s="843"/>
      <c r="T59" s="843"/>
      <c r="U59" s="843"/>
      <c r="V59" s="843"/>
      <c r="W59" s="843"/>
      <c r="X59" s="870"/>
      <c r="Y59" s="843" t="str">
        <f>IF(OR(ISNA(MATCH(MID(X59,1,3)*1,UomConversion!$D$8:$D$500,0)),H59=""),"",IF(AV59="","",AV59))</f>
        <v/>
      </c>
      <c r="Z59" s="843" t="str">
        <f>IF(AND(AU59&gt;0,COUNTIFS(UomConversion!$D$8:$D$500,MID(X59,1,3)*1,UomConversion!$J$8:$J$500,1)&gt;1),TEXT(AU59,"000")&amp;"."&amp;VLOOKUP(AU59,uom_list,5,FALSE),"")</f>
        <v/>
      </c>
      <c r="AA59" s="843">
        <f t="shared" si="12"/>
        <v>0</v>
      </c>
      <c r="AB59" s="843" t="str">
        <f t="shared" si="5"/>
        <v/>
      </c>
      <c r="AC59" s="843">
        <f t="shared" si="13"/>
        <v>2</v>
      </c>
      <c r="AD59" s="1214"/>
      <c r="AE59" s="1214"/>
      <c r="AF59" s="1215"/>
      <c r="AG59" s="1215"/>
      <c r="AH59" s="1215"/>
      <c r="AI59" s="1215"/>
      <c r="AJ59" s="1216"/>
      <c r="AK59" s="1216"/>
      <c r="AL59" s="1216"/>
      <c r="AM59" s="1216"/>
      <c r="AN59" s="1216"/>
      <c r="AO59" s="1216"/>
      <c r="AP59" s="1216"/>
      <c r="AQ59" s="1216"/>
      <c r="AR59" s="1216"/>
      <c r="AS59" s="1216"/>
      <c r="AT59" s="1216"/>
      <c r="AU59" s="1120" t="str" cm="1">
        <f t="array" ref="AU59">IF(H59="","",Slookup(MID(X59,1,3)*1,UomConversion!$D$8:$J$500,2,UomConversion!$I$8:$I$500,1,UomConversion!$J$8:$J$500,1))</f>
        <v/>
      </c>
      <c r="AV59" s="401" t="str">
        <f t="shared" si="14"/>
        <v/>
      </c>
      <c r="AW59" s="757" t="str">
        <f t="shared" si="15"/>
        <v/>
      </c>
      <c r="AX59" s="757" t="str">
        <f t="shared" si="16"/>
        <v/>
      </c>
      <c r="AY59" s="757" t="str">
        <f t="shared" si="17"/>
        <v/>
      </c>
      <c r="AZ59" s="1209" cm="1">
        <f t="array" ref="AZ59">IF(Y59="",1,Slookup(MID(X59,1,3)*1,UomConversion!$D$8:$J$500,5,UomConversion!$E$8:$E$500,MID(Y59,1,3)*1,UomConversion!$I$8:$I$500,1))</f>
        <v>1</v>
      </c>
      <c r="BA59" s="1209" cm="1">
        <f t="array" ref="BA59">IF(Z59="",1,Slookup(MID(X59,1,3)*1,UomConversion!$D$8:$J$500,5,UomConversion!$E$8:$E$500,MID(Z59,1,3)*1,UomConversion!$I$8:$I$500,1))</f>
        <v>1</v>
      </c>
      <c r="BB59" s="1217">
        <f t="shared" si="11"/>
        <v>0</v>
      </c>
      <c r="BC59" s="1217"/>
      <c r="BD59" s="1217"/>
    </row>
    <row r="60" spans="2:59" s="1120" customFormat="1" ht="24.95" customHeight="1">
      <c r="B60" s="445"/>
      <c r="C60" s="843"/>
      <c r="D60" s="843"/>
      <c r="E60" s="843"/>
      <c r="F60" s="1116"/>
      <c r="G60" s="1117"/>
      <c r="H60" s="868"/>
      <c r="I60" s="1118"/>
      <c r="J60" s="1138"/>
      <c r="K60" s="1138"/>
      <c r="L60" s="870"/>
      <c r="M60" s="868"/>
      <c r="N60" s="1118"/>
      <c r="O60" s="1119"/>
      <c r="P60" s="884"/>
      <c r="Q60" s="885"/>
      <c r="R60" s="843"/>
      <c r="S60" s="843"/>
      <c r="T60" s="843"/>
      <c r="U60" s="843"/>
      <c r="V60" s="843"/>
      <c r="W60" s="843"/>
      <c r="X60" s="870"/>
      <c r="Y60" s="843" t="str">
        <f>IF(OR(ISNA(MATCH(MID(X60,1,3)*1,UomConversion!$D$8:$D$500,0)),H60=""),"",IF(AV60="","",AV60))</f>
        <v/>
      </c>
      <c r="Z60" s="843" t="str">
        <f>IF(AND(AU60&gt;0,COUNTIFS(UomConversion!$D$8:$D$500,MID(X60,1,3)*1,UomConversion!$J$8:$J$500,1)&gt;1),TEXT(AU60,"000")&amp;"."&amp;VLOOKUP(AU60,uom_list,5,FALSE),"")</f>
        <v/>
      </c>
      <c r="AA60" s="843">
        <f t="shared" si="12"/>
        <v>0</v>
      </c>
      <c r="AB60" s="843" t="str">
        <f t="shared" si="5"/>
        <v/>
      </c>
      <c r="AC60" s="843">
        <f t="shared" si="13"/>
        <v>2</v>
      </c>
      <c r="AD60" s="1214"/>
      <c r="AE60" s="1214"/>
      <c r="AF60" s="1215"/>
      <c r="AG60" s="1215"/>
      <c r="AH60" s="1215"/>
      <c r="AI60" s="1215"/>
      <c r="AJ60" s="1216"/>
      <c r="AK60" s="1216"/>
      <c r="AL60" s="1216"/>
      <c r="AM60" s="1216"/>
      <c r="AN60" s="1216"/>
      <c r="AO60" s="1216"/>
      <c r="AP60" s="1216"/>
      <c r="AQ60" s="1216"/>
      <c r="AR60" s="1216"/>
      <c r="AS60" s="1216"/>
      <c r="AT60" s="1216"/>
      <c r="AU60" s="1120" t="str" cm="1">
        <f t="array" ref="AU60">IF(H60="","",Slookup(MID(X60,1,3)*1,UomConversion!$D$8:$J$500,2,UomConversion!$I$8:$I$500,1,UomConversion!$J$8:$J$500,1))</f>
        <v/>
      </c>
      <c r="AV60" s="401" t="str">
        <f t="shared" si="14"/>
        <v/>
      </c>
      <c r="AW60" s="757" t="str">
        <f t="shared" si="15"/>
        <v/>
      </c>
      <c r="AX60" s="757" t="str">
        <f t="shared" si="16"/>
        <v/>
      </c>
      <c r="AY60" s="757" t="str">
        <f t="shared" si="17"/>
        <v/>
      </c>
      <c r="AZ60" s="1209" cm="1">
        <f t="array" ref="AZ60">IF(Y60="",1,Slookup(MID(X60,1,3)*1,UomConversion!$D$8:$J$500,5,UomConversion!$E$8:$E$500,MID(Y60,1,3)*1,UomConversion!$I$8:$I$500,1))</f>
        <v>1</v>
      </c>
      <c r="BA60" s="1209" cm="1">
        <f t="array" ref="BA60">IF(Z60="",1,Slookup(MID(X60,1,3)*1,UomConversion!$D$8:$J$500,5,UomConversion!$E$8:$E$500,MID(Z60,1,3)*1,UomConversion!$I$8:$I$500,1))</f>
        <v>1</v>
      </c>
      <c r="BB60" s="1217">
        <f t="shared" si="11"/>
        <v>0</v>
      </c>
      <c r="BC60" s="1217"/>
      <c r="BD60" s="1217"/>
    </row>
    <row r="61" spans="2:59" s="1120" customFormat="1" ht="24.95" customHeight="1">
      <c r="B61" s="445"/>
      <c r="C61" s="843"/>
      <c r="D61" s="843"/>
      <c r="E61" s="843"/>
      <c r="F61" s="1116"/>
      <c r="G61" s="1117"/>
      <c r="H61" s="868"/>
      <c r="I61" s="1118"/>
      <c r="J61" s="1138"/>
      <c r="K61" s="1138"/>
      <c r="L61" s="870"/>
      <c r="M61" s="868"/>
      <c r="N61" s="1118"/>
      <c r="O61" s="1119"/>
      <c r="P61" s="884"/>
      <c r="Q61" s="885"/>
      <c r="R61" s="843"/>
      <c r="S61" s="843"/>
      <c r="T61" s="843"/>
      <c r="U61" s="843"/>
      <c r="V61" s="843"/>
      <c r="W61" s="843"/>
      <c r="X61" s="870"/>
      <c r="Y61" s="843" t="str">
        <f>IF(OR(ISNA(MATCH(MID(X61,1,3)*1,UomConversion!$D$8:$D$500,0)),H61=""),"",IF(AV61="","",AV61))</f>
        <v/>
      </c>
      <c r="Z61" s="843" t="str">
        <f>IF(AND(AU61&gt;0,COUNTIFS(UomConversion!$D$8:$D$500,MID(X61,1,3)*1,UomConversion!$J$8:$J$500,1)&gt;1),TEXT(AU61,"000")&amp;"."&amp;VLOOKUP(AU61,uom_list,5,FALSE),"")</f>
        <v/>
      </c>
      <c r="AA61" s="843">
        <f t="shared" si="12"/>
        <v>0</v>
      </c>
      <c r="AB61" s="843" t="str">
        <f t="shared" si="5"/>
        <v/>
      </c>
      <c r="AC61" s="843">
        <f t="shared" si="13"/>
        <v>2</v>
      </c>
      <c r="AD61" s="1214"/>
      <c r="AE61" s="1214"/>
      <c r="AF61" s="1215"/>
      <c r="AG61" s="1215"/>
      <c r="AH61" s="1215"/>
      <c r="AI61" s="1215"/>
      <c r="AJ61" s="1216"/>
      <c r="AK61" s="1216"/>
      <c r="AL61" s="1216"/>
      <c r="AM61" s="1216"/>
      <c r="AN61" s="1216"/>
      <c r="AO61" s="1216"/>
      <c r="AP61" s="1216"/>
      <c r="AQ61" s="1216"/>
      <c r="AR61" s="1216"/>
      <c r="AS61" s="1216"/>
      <c r="AT61" s="1216"/>
      <c r="AU61" s="1120" t="str" cm="1">
        <f t="array" ref="AU61">IF(H61="","",Slookup(MID(X61,1,3)*1,UomConversion!$D$8:$J$500,2,UomConversion!$I$8:$I$500,1,UomConversion!$J$8:$J$500,1))</f>
        <v/>
      </c>
      <c r="AV61" s="401" t="str">
        <f t="shared" si="14"/>
        <v/>
      </c>
      <c r="AW61" s="757" t="str">
        <f t="shared" si="15"/>
        <v/>
      </c>
      <c r="AX61" s="757" t="str">
        <f t="shared" si="16"/>
        <v/>
      </c>
      <c r="AY61" s="757" t="str">
        <f t="shared" si="17"/>
        <v/>
      </c>
      <c r="AZ61" s="1209" cm="1">
        <f t="array" ref="AZ61">IF(Y61="",1,Slookup(MID(X61,1,3)*1,UomConversion!$D$8:$J$500,5,UomConversion!$E$8:$E$500,MID(Y61,1,3)*1,UomConversion!$I$8:$I$500,1))</f>
        <v>1</v>
      </c>
      <c r="BA61" s="1209" cm="1">
        <f t="array" ref="BA61">IF(Z61="",1,Slookup(MID(X61,1,3)*1,UomConversion!$D$8:$J$500,5,UomConversion!$E$8:$E$500,MID(Z61,1,3)*1,UomConversion!$I$8:$I$500,1))</f>
        <v>1</v>
      </c>
      <c r="BB61" s="1217">
        <f t="shared" si="11"/>
        <v>0</v>
      </c>
      <c r="BC61" s="1217"/>
      <c r="BD61" s="1217"/>
    </row>
    <row r="62" spans="2:59" s="1120" customFormat="1" ht="24.95" customHeight="1">
      <c r="B62" s="445"/>
      <c r="C62" s="843"/>
      <c r="D62" s="843"/>
      <c r="E62" s="843"/>
      <c r="F62" s="1116"/>
      <c r="G62" s="1117"/>
      <c r="H62" s="868"/>
      <c r="I62" s="1118"/>
      <c r="J62" s="1138"/>
      <c r="K62" s="1138"/>
      <c r="L62" s="870"/>
      <c r="M62" s="868"/>
      <c r="N62" s="1118"/>
      <c r="O62" s="1119"/>
      <c r="P62" s="884"/>
      <c r="Q62" s="885"/>
      <c r="R62" s="843"/>
      <c r="S62" s="843"/>
      <c r="T62" s="843"/>
      <c r="U62" s="843"/>
      <c r="V62" s="843"/>
      <c r="W62" s="843"/>
      <c r="X62" s="870"/>
      <c r="Y62" s="843" t="str">
        <f>IF(OR(ISNA(MATCH(MID(X62,1,3)*1,UomConversion!$D$8:$D$500,0)),H62=""),"",IF(AV62="","",AV62))</f>
        <v/>
      </c>
      <c r="Z62" s="843" t="str">
        <f>IF(AND(AU62&gt;0,COUNTIFS(UomConversion!$D$8:$D$500,MID(X62,1,3)*1,UomConversion!$J$8:$J$500,1)&gt;1),TEXT(AU62,"000")&amp;"."&amp;VLOOKUP(AU62,uom_list,5,FALSE),"")</f>
        <v/>
      </c>
      <c r="AA62" s="843">
        <f t="shared" si="12"/>
        <v>0</v>
      </c>
      <c r="AB62" s="843" t="str">
        <f t="shared" si="5"/>
        <v/>
      </c>
      <c r="AC62" s="843">
        <f t="shared" si="13"/>
        <v>2</v>
      </c>
      <c r="AD62" s="1214"/>
      <c r="AE62" s="1214"/>
      <c r="AF62" s="1215"/>
      <c r="AG62" s="1215"/>
      <c r="AH62" s="1215"/>
      <c r="AI62" s="1215"/>
      <c r="AJ62" s="1216"/>
      <c r="AK62" s="1216"/>
      <c r="AL62" s="1216"/>
      <c r="AM62" s="1216"/>
      <c r="AN62" s="1216"/>
      <c r="AO62" s="1216"/>
      <c r="AP62" s="1216"/>
      <c r="AQ62" s="1216"/>
      <c r="AR62" s="1216"/>
      <c r="AS62" s="1216"/>
      <c r="AT62" s="1216"/>
      <c r="AU62" s="1120" t="str" cm="1">
        <f t="array" ref="AU62">IF(H62="","",Slookup(MID(X62,1,3)*1,UomConversion!$D$8:$J$500,2,UomConversion!$I$8:$I$500,1,UomConversion!$J$8:$J$500,1))</f>
        <v/>
      </c>
      <c r="AV62" s="401" t="str">
        <f t="shared" si="14"/>
        <v/>
      </c>
      <c r="AW62" s="757" t="str">
        <f t="shared" si="15"/>
        <v/>
      </c>
      <c r="AX62" s="757" t="str">
        <f t="shared" si="16"/>
        <v/>
      </c>
      <c r="AY62" s="757" t="str">
        <f t="shared" si="17"/>
        <v/>
      </c>
      <c r="AZ62" s="1209" cm="1">
        <f t="array" ref="AZ62">IF(Y62="",1,Slookup(MID(X62,1,3)*1,UomConversion!$D$8:$J$500,5,UomConversion!$E$8:$E$500,MID(Y62,1,3)*1,UomConversion!$I$8:$I$500,1))</f>
        <v>1</v>
      </c>
      <c r="BA62" s="1209" cm="1">
        <f t="array" ref="BA62">IF(Z62="",1,Slookup(MID(X62,1,3)*1,UomConversion!$D$8:$J$500,5,UomConversion!$E$8:$E$500,MID(Z62,1,3)*1,UomConversion!$I$8:$I$500,1))</f>
        <v>1</v>
      </c>
      <c r="BB62" s="1217">
        <f t="shared" si="11"/>
        <v>0</v>
      </c>
      <c r="BC62" s="1217"/>
      <c r="BD62" s="1217"/>
    </row>
    <row r="63" spans="2:59" s="1120" customFormat="1" ht="24.95" customHeight="1">
      <c r="B63" s="445"/>
      <c r="C63" s="843"/>
      <c r="D63" s="843"/>
      <c r="E63" s="843"/>
      <c r="F63" s="1116"/>
      <c r="G63" s="1117"/>
      <c r="H63" s="868"/>
      <c r="I63" s="1118"/>
      <c r="J63" s="1138"/>
      <c r="K63" s="1138"/>
      <c r="L63" s="870"/>
      <c r="M63" s="868"/>
      <c r="N63" s="1118"/>
      <c r="O63" s="1119"/>
      <c r="P63" s="884"/>
      <c r="Q63" s="885"/>
      <c r="R63" s="843"/>
      <c r="S63" s="843"/>
      <c r="T63" s="843"/>
      <c r="U63" s="843"/>
      <c r="V63" s="843"/>
      <c r="W63" s="843"/>
      <c r="X63" s="870"/>
      <c r="Y63" s="843" t="str">
        <f>IF(OR(ISNA(MATCH(MID(X63,1,3)*1,UomConversion!$D$8:$D$500,0)),H63=""),"",IF(AV63="","",AV63))</f>
        <v/>
      </c>
      <c r="Z63" s="843" t="str">
        <f>IF(AND(AU63&gt;0,COUNTIFS(UomConversion!$D$8:$D$500,MID(X63,1,3)*1,UomConversion!$J$8:$J$500,1)&gt;1),TEXT(AU63,"000")&amp;"."&amp;VLOOKUP(AU63,uom_list,5,FALSE),"")</f>
        <v/>
      </c>
      <c r="AA63" s="843">
        <f t="shared" si="12"/>
        <v>0</v>
      </c>
      <c r="AB63" s="843" t="str">
        <f t="shared" si="5"/>
        <v/>
      </c>
      <c r="AC63" s="843">
        <f t="shared" si="13"/>
        <v>2</v>
      </c>
      <c r="AD63" s="1214"/>
      <c r="AE63" s="1214"/>
      <c r="AF63" s="1215"/>
      <c r="AG63" s="1215"/>
      <c r="AH63" s="1215"/>
      <c r="AI63" s="1215"/>
      <c r="AJ63" s="1216"/>
      <c r="AK63" s="1216"/>
      <c r="AL63" s="1216"/>
      <c r="AM63" s="1216"/>
      <c r="AN63" s="1216"/>
      <c r="AO63" s="1216"/>
      <c r="AP63" s="1216"/>
      <c r="AQ63" s="1216"/>
      <c r="AR63" s="1216"/>
      <c r="AS63" s="1216"/>
      <c r="AT63" s="1216"/>
      <c r="AU63" s="1120" t="str" cm="1">
        <f t="array" ref="AU63">IF(H63="","",Slookup(MID(X63,1,3)*1,UomConversion!$D$8:$J$500,2,UomConversion!$I$8:$I$500,1,UomConversion!$J$8:$J$500,1))</f>
        <v/>
      </c>
      <c r="AV63" s="401" t="str">
        <f t="shared" si="14"/>
        <v/>
      </c>
      <c r="AW63" s="757" t="str">
        <f t="shared" si="15"/>
        <v/>
      </c>
      <c r="AX63" s="757" t="str">
        <f t="shared" si="16"/>
        <v/>
      </c>
      <c r="AY63" s="757" t="str">
        <f t="shared" si="17"/>
        <v/>
      </c>
      <c r="AZ63" s="1209" cm="1">
        <f t="array" ref="AZ63">IF(Y63="",1,Slookup(MID(X63,1,3)*1,UomConversion!$D$8:$J$500,5,UomConversion!$E$8:$E$500,MID(Y63,1,3)*1,UomConversion!$I$8:$I$500,1))</f>
        <v>1</v>
      </c>
      <c r="BA63" s="1209" cm="1">
        <f t="array" ref="BA63">IF(Z63="",1,Slookup(MID(X63,1,3)*1,UomConversion!$D$8:$J$500,5,UomConversion!$E$8:$E$500,MID(Z63,1,3)*1,UomConversion!$I$8:$I$500,1))</f>
        <v>1</v>
      </c>
      <c r="BB63" s="1217">
        <f t="shared" si="11"/>
        <v>0</v>
      </c>
      <c r="BC63" s="1217"/>
      <c r="BD63" s="1217"/>
    </row>
    <row r="64" spans="2:59" s="1120" customFormat="1" ht="24.95" customHeight="1">
      <c r="B64" s="445"/>
      <c r="C64" s="843"/>
      <c r="D64" s="843"/>
      <c r="E64" s="843"/>
      <c r="F64" s="1116"/>
      <c r="G64" s="1117"/>
      <c r="H64" s="868"/>
      <c r="I64" s="1118"/>
      <c r="J64" s="1138"/>
      <c r="K64" s="1138"/>
      <c r="L64" s="870"/>
      <c r="M64" s="868"/>
      <c r="N64" s="1118"/>
      <c r="O64" s="1119"/>
      <c r="P64" s="884"/>
      <c r="Q64" s="885"/>
      <c r="R64" s="843"/>
      <c r="S64" s="843"/>
      <c r="T64" s="843"/>
      <c r="U64" s="843"/>
      <c r="V64" s="843"/>
      <c r="W64" s="843"/>
      <c r="X64" s="870"/>
      <c r="Y64" s="843" t="str">
        <f>IF(OR(ISNA(MATCH(MID(X64,1,3)*1,UomConversion!$D$8:$D$500,0)),H64=""),"",IF(AV64="","",AV64))</f>
        <v/>
      </c>
      <c r="Z64" s="843" t="str">
        <f>IF(AND(AU64&gt;0,COUNTIFS(UomConversion!$D$8:$D$500,MID(X64,1,3)*1,UomConversion!$J$8:$J$500,1)&gt;1),TEXT(AU64,"000")&amp;"."&amp;VLOOKUP(AU64,uom_list,5,FALSE),"")</f>
        <v/>
      </c>
      <c r="AA64" s="843">
        <f t="shared" si="12"/>
        <v>0</v>
      </c>
      <c r="AB64" s="843" t="str">
        <f t="shared" si="5"/>
        <v/>
      </c>
      <c r="AC64" s="843">
        <f t="shared" si="13"/>
        <v>2</v>
      </c>
      <c r="AD64" s="1214"/>
      <c r="AE64" s="1214"/>
      <c r="AF64" s="1215"/>
      <c r="AG64" s="1215"/>
      <c r="AH64" s="1215"/>
      <c r="AI64" s="1215"/>
      <c r="AJ64" s="1216"/>
      <c r="AK64" s="1216"/>
      <c r="AL64" s="1216"/>
      <c r="AM64" s="1216"/>
      <c r="AN64" s="1216"/>
      <c r="AO64" s="1216"/>
      <c r="AP64" s="1216"/>
      <c r="AQ64" s="1216"/>
      <c r="AR64" s="1216"/>
      <c r="AS64" s="1216"/>
      <c r="AT64" s="1216"/>
      <c r="AU64" s="1120" t="str" cm="1">
        <f t="array" ref="AU64">IF(H64="","",Slookup(MID(X64,1,3)*1,UomConversion!$D$8:$J$500,2,UomConversion!$I$8:$I$500,1,UomConversion!$J$8:$J$500,1))</f>
        <v/>
      </c>
      <c r="AV64" s="401" t="str">
        <f t="shared" si="14"/>
        <v/>
      </c>
      <c r="AW64" s="757" t="str">
        <f t="shared" si="15"/>
        <v/>
      </c>
      <c r="AX64" s="757" t="str">
        <f t="shared" si="16"/>
        <v/>
      </c>
      <c r="AY64" s="757" t="str">
        <f t="shared" si="17"/>
        <v/>
      </c>
      <c r="AZ64" s="1209" cm="1">
        <f t="array" ref="AZ64">IF(Y64="",1,Slookup(MID(X64,1,3)*1,UomConversion!$D$8:$J$500,5,UomConversion!$E$8:$E$500,MID(Y64,1,3)*1,UomConversion!$I$8:$I$500,1))</f>
        <v>1</v>
      </c>
      <c r="BA64" s="1209" cm="1">
        <f t="array" ref="BA64">IF(Z64="",1,Slookup(MID(X64,1,3)*1,UomConversion!$D$8:$J$500,5,UomConversion!$E$8:$E$500,MID(Z64,1,3)*1,UomConversion!$I$8:$I$500,1))</f>
        <v>1</v>
      </c>
      <c r="BB64" s="1217">
        <f t="shared" si="11"/>
        <v>0</v>
      </c>
      <c r="BC64" s="1217"/>
      <c r="BD64" s="1217"/>
    </row>
    <row r="65" spans="2:56" s="1120" customFormat="1" ht="24.95" customHeight="1">
      <c r="B65" s="445"/>
      <c r="C65" s="843"/>
      <c r="D65" s="843"/>
      <c r="E65" s="843"/>
      <c r="F65" s="1116"/>
      <c r="G65" s="1117"/>
      <c r="H65" s="868"/>
      <c r="I65" s="1118"/>
      <c r="J65" s="1138"/>
      <c r="K65" s="1138"/>
      <c r="L65" s="870"/>
      <c r="M65" s="868"/>
      <c r="N65" s="1118"/>
      <c r="O65" s="1119"/>
      <c r="P65" s="884"/>
      <c r="Q65" s="885"/>
      <c r="R65" s="843"/>
      <c r="S65" s="843"/>
      <c r="T65" s="843"/>
      <c r="U65" s="843"/>
      <c r="V65" s="843"/>
      <c r="W65" s="843"/>
      <c r="X65" s="870"/>
      <c r="Y65" s="843" t="str">
        <f>IF(OR(ISNA(MATCH(MID(X65,1,3)*1,UomConversion!$D$8:$D$500,0)),H65=""),"",IF(AV65="","",AV65))</f>
        <v/>
      </c>
      <c r="Z65" s="843" t="str">
        <f>IF(AND(AU65&gt;0,COUNTIFS(UomConversion!$D$8:$D$500,MID(X65,1,3)*1,UomConversion!$J$8:$J$500,1)&gt;1),TEXT(AU65,"000")&amp;"."&amp;VLOOKUP(AU65,uom_list,5,FALSE),"")</f>
        <v/>
      </c>
      <c r="AA65" s="843">
        <f t="shared" si="12"/>
        <v>0</v>
      </c>
      <c r="AB65" s="843" t="str">
        <f t="shared" si="5"/>
        <v/>
      </c>
      <c r="AC65" s="843">
        <f t="shared" si="13"/>
        <v>2</v>
      </c>
      <c r="AD65" s="1214"/>
      <c r="AE65" s="1214"/>
      <c r="AF65" s="1215"/>
      <c r="AG65" s="1215"/>
      <c r="AH65" s="1215"/>
      <c r="AI65" s="1215"/>
      <c r="AJ65" s="1216"/>
      <c r="AK65" s="1216"/>
      <c r="AL65" s="1216"/>
      <c r="AM65" s="1216"/>
      <c r="AN65" s="1216"/>
      <c r="AO65" s="1216"/>
      <c r="AP65" s="1216"/>
      <c r="AQ65" s="1216"/>
      <c r="AR65" s="1216"/>
      <c r="AS65" s="1216"/>
      <c r="AT65" s="1216"/>
      <c r="AU65" s="1120" t="str" cm="1">
        <f t="array" ref="AU65">IF(H65="","",Slookup(MID(X65,1,3)*1,UomConversion!$D$8:$J$500,2,UomConversion!$I$8:$I$500,1,UomConversion!$J$8:$J$500,1))</f>
        <v/>
      </c>
      <c r="AV65" s="401" t="str">
        <f t="shared" si="14"/>
        <v/>
      </c>
      <c r="AW65" s="757" t="str">
        <f t="shared" si="15"/>
        <v/>
      </c>
      <c r="AX65" s="757" t="str">
        <f t="shared" si="16"/>
        <v/>
      </c>
      <c r="AY65" s="757" t="str">
        <f t="shared" si="17"/>
        <v/>
      </c>
      <c r="AZ65" s="1209" cm="1">
        <f t="array" ref="AZ65">IF(Y65="",1,Slookup(MID(X65,1,3)*1,UomConversion!$D$8:$J$500,5,UomConversion!$E$8:$E$500,MID(Y65,1,3)*1,UomConversion!$I$8:$I$500,1))</f>
        <v>1</v>
      </c>
      <c r="BA65" s="1209" cm="1">
        <f t="array" ref="BA65">IF(Z65="",1,Slookup(MID(X65,1,3)*1,UomConversion!$D$8:$J$500,5,UomConversion!$E$8:$E$500,MID(Z65,1,3)*1,UomConversion!$I$8:$I$500,1))</f>
        <v>1</v>
      </c>
      <c r="BB65" s="1217">
        <f t="shared" si="11"/>
        <v>0</v>
      </c>
      <c r="BC65" s="1217"/>
      <c r="BD65" s="1217"/>
    </row>
    <row r="66" spans="2:56" s="1120" customFormat="1" ht="24.95" customHeight="1">
      <c r="B66" s="445"/>
      <c r="C66" s="843"/>
      <c r="D66" s="843"/>
      <c r="E66" s="843"/>
      <c r="F66" s="1116"/>
      <c r="G66" s="1117"/>
      <c r="H66" s="868"/>
      <c r="I66" s="1118"/>
      <c r="J66" s="1138"/>
      <c r="K66" s="1138"/>
      <c r="L66" s="870"/>
      <c r="M66" s="868"/>
      <c r="N66" s="1118"/>
      <c r="O66" s="1119"/>
      <c r="P66" s="884"/>
      <c r="Q66" s="885"/>
      <c r="R66" s="843"/>
      <c r="S66" s="843"/>
      <c r="T66" s="843"/>
      <c r="U66" s="843"/>
      <c r="V66" s="843"/>
      <c r="W66" s="843"/>
      <c r="X66" s="870"/>
      <c r="Y66" s="843" t="str">
        <f>IF(OR(ISNA(MATCH(MID(X66,1,3)*1,UomConversion!$D$8:$D$500,0)),H66=""),"",IF(AV66="","",AV66))</f>
        <v/>
      </c>
      <c r="Z66" s="843" t="str">
        <f>IF(AND(AU66&gt;0,COUNTIFS(UomConversion!$D$8:$D$500,MID(X66,1,3)*1,UomConversion!$J$8:$J$500,1)&gt;1),TEXT(AU66,"000")&amp;"."&amp;VLOOKUP(AU66,uom_list,5,FALSE),"")</f>
        <v/>
      </c>
      <c r="AA66" s="843">
        <f t="shared" si="12"/>
        <v>0</v>
      </c>
      <c r="AB66" s="843" t="str">
        <f t="shared" si="5"/>
        <v/>
      </c>
      <c r="AC66" s="843">
        <f t="shared" si="13"/>
        <v>2</v>
      </c>
      <c r="AD66" s="1214"/>
      <c r="AE66" s="1214"/>
      <c r="AF66" s="1215"/>
      <c r="AG66" s="1215"/>
      <c r="AH66" s="1215"/>
      <c r="AI66" s="1215"/>
      <c r="AJ66" s="1216"/>
      <c r="AK66" s="1216"/>
      <c r="AL66" s="1216"/>
      <c r="AM66" s="1216"/>
      <c r="AN66" s="1216"/>
      <c r="AO66" s="1216"/>
      <c r="AP66" s="1216"/>
      <c r="AQ66" s="1216"/>
      <c r="AR66" s="1216"/>
      <c r="AS66" s="1216"/>
      <c r="AT66" s="1216"/>
      <c r="AU66" s="1120" t="str" cm="1">
        <f t="array" ref="AU66">IF(H66="","",Slookup(MID(X66,1,3)*1,UomConversion!$D$8:$J$500,2,UomConversion!$I$8:$I$500,1,UomConversion!$J$8:$J$500,1))</f>
        <v/>
      </c>
      <c r="AV66" s="401" t="str">
        <f t="shared" si="14"/>
        <v/>
      </c>
      <c r="AW66" s="757" t="str">
        <f t="shared" si="15"/>
        <v/>
      </c>
      <c r="AX66" s="757" t="str">
        <f t="shared" si="16"/>
        <v/>
      </c>
      <c r="AY66" s="757" t="str">
        <f t="shared" si="17"/>
        <v/>
      </c>
      <c r="AZ66" s="1209" cm="1">
        <f t="array" ref="AZ66">IF(Y66="",1,Slookup(MID(X66,1,3)*1,UomConversion!$D$8:$J$500,5,UomConversion!$E$8:$E$500,MID(Y66,1,3)*1,UomConversion!$I$8:$I$500,1))</f>
        <v>1</v>
      </c>
      <c r="BA66" s="1209" cm="1">
        <f t="array" ref="BA66">IF(Z66="",1,Slookup(MID(X66,1,3)*1,UomConversion!$D$8:$J$500,5,UomConversion!$E$8:$E$500,MID(Z66,1,3)*1,UomConversion!$I$8:$I$500,1))</f>
        <v>1</v>
      </c>
      <c r="BB66" s="1217">
        <f t="shared" si="11"/>
        <v>0</v>
      </c>
      <c r="BC66" s="1217"/>
      <c r="BD66" s="1217"/>
    </row>
    <row r="67" spans="2:56" s="1120" customFormat="1" ht="24.95" customHeight="1">
      <c r="B67" s="445"/>
      <c r="C67" s="843"/>
      <c r="D67" s="843"/>
      <c r="E67" s="843"/>
      <c r="F67" s="1116"/>
      <c r="G67" s="1117"/>
      <c r="H67" s="868"/>
      <c r="I67" s="1118"/>
      <c r="J67" s="1138"/>
      <c r="K67" s="1138"/>
      <c r="L67" s="870"/>
      <c r="M67" s="868"/>
      <c r="N67" s="1118"/>
      <c r="O67" s="1119"/>
      <c r="P67" s="884"/>
      <c r="Q67" s="885"/>
      <c r="R67" s="843"/>
      <c r="S67" s="843"/>
      <c r="T67" s="843"/>
      <c r="U67" s="843"/>
      <c r="V67" s="843"/>
      <c r="W67" s="843"/>
      <c r="X67" s="870"/>
      <c r="Y67" s="843" t="str">
        <f>IF(OR(ISNA(MATCH(MID(X67,1,3)*1,UomConversion!$D$8:$D$500,0)),H67=""),"",IF(AV67="","",AV67))</f>
        <v/>
      </c>
      <c r="Z67" s="843" t="str">
        <f>IF(AND(AU67&gt;0,COUNTIFS(UomConversion!$D$8:$D$500,MID(X67,1,3)*1,UomConversion!$J$8:$J$500,1)&gt;1),TEXT(AU67,"000")&amp;"."&amp;VLOOKUP(AU67,uom_list,5,FALSE),"")</f>
        <v/>
      </c>
      <c r="AA67" s="843">
        <f t="shared" si="12"/>
        <v>0</v>
      </c>
      <c r="AB67" s="843" t="str">
        <f t="shared" si="5"/>
        <v/>
      </c>
      <c r="AC67" s="843">
        <f t="shared" si="13"/>
        <v>2</v>
      </c>
      <c r="AD67" s="1214"/>
      <c r="AE67" s="1214"/>
      <c r="AF67" s="1215"/>
      <c r="AG67" s="1215"/>
      <c r="AH67" s="1215"/>
      <c r="AI67" s="1215"/>
      <c r="AJ67" s="1216"/>
      <c r="AK67" s="1216"/>
      <c r="AL67" s="1216"/>
      <c r="AM67" s="1216"/>
      <c r="AN67" s="1216"/>
      <c r="AO67" s="1216"/>
      <c r="AP67" s="1216"/>
      <c r="AQ67" s="1216"/>
      <c r="AR67" s="1216"/>
      <c r="AS67" s="1216"/>
      <c r="AT67" s="1216"/>
      <c r="AU67" s="1120" t="str" cm="1">
        <f t="array" ref="AU67">IF(H67="","",Slookup(MID(X67,1,3)*1,UomConversion!$D$8:$J$500,2,UomConversion!$I$8:$I$500,1,UomConversion!$J$8:$J$500,1))</f>
        <v/>
      </c>
      <c r="AV67" s="401" t="str">
        <f t="shared" si="14"/>
        <v/>
      </c>
      <c r="AW67" s="757" t="str">
        <f t="shared" si="15"/>
        <v/>
      </c>
      <c r="AX67" s="757" t="str">
        <f t="shared" si="16"/>
        <v/>
      </c>
      <c r="AY67" s="757" t="str">
        <f t="shared" si="17"/>
        <v/>
      </c>
      <c r="AZ67" s="1209" cm="1">
        <f t="array" ref="AZ67">IF(Y67="",1,Slookup(MID(X67,1,3)*1,UomConversion!$D$8:$J$500,5,UomConversion!$E$8:$E$500,MID(Y67,1,3)*1,UomConversion!$I$8:$I$500,1))</f>
        <v>1</v>
      </c>
      <c r="BA67" s="1209" cm="1">
        <f t="array" ref="BA67">IF(Z67="",1,Slookup(MID(X67,1,3)*1,UomConversion!$D$8:$J$500,5,UomConversion!$E$8:$E$500,MID(Z67,1,3)*1,UomConversion!$I$8:$I$500,1))</f>
        <v>1</v>
      </c>
      <c r="BB67" s="1217">
        <f t="shared" si="11"/>
        <v>0</v>
      </c>
      <c r="BC67" s="1217"/>
      <c r="BD67" s="1217"/>
    </row>
    <row r="68" spans="2:56" s="1120" customFormat="1" ht="24.95" customHeight="1">
      <c r="B68" s="445"/>
      <c r="C68" s="843"/>
      <c r="D68" s="843"/>
      <c r="E68" s="843"/>
      <c r="F68" s="1116"/>
      <c r="G68" s="1117"/>
      <c r="H68" s="868"/>
      <c r="I68" s="1118"/>
      <c r="J68" s="1138"/>
      <c r="K68" s="1138"/>
      <c r="L68" s="870"/>
      <c r="M68" s="868"/>
      <c r="N68" s="1118"/>
      <c r="O68" s="1119"/>
      <c r="P68" s="884"/>
      <c r="Q68" s="885"/>
      <c r="R68" s="843"/>
      <c r="S68" s="843"/>
      <c r="T68" s="843"/>
      <c r="U68" s="843"/>
      <c r="V68" s="843"/>
      <c r="W68" s="843"/>
      <c r="X68" s="870"/>
      <c r="Y68" s="843" t="str">
        <f>IF(OR(ISNA(MATCH(MID(X68,1,3)*1,UomConversion!$D$8:$D$500,0)),H68=""),"",IF(AV68="","",AV68))</f>
        <v/>
      </c>
      <c r="Z68" s="843" t="str">
        <f>IF(AND(AU68&gt;0,COUNTIFS(UomConversion!$D$8:$D$500,MID(X68,1,3)*1,UomConversion!$J$8:$J$500,1)&gt;1),TEXT(AU68,"000")&amp;"."&amp;VLOOKUP(AU68,uom_list,5,FALSE),"")</f>
        <v/>
      </c>
      <c r="AA68" s="843">
        <f t="shared" si="12"/>
        <v>0</v>
      </c>
      <c r="AB68" s="843" t="str">
        <f t="shared" si="5"/>
        <v/>
      </c>
      <c r="AC68" s="843">
        <f t="shared" si="13"/>
        <v>2</v>
      </c>
      <c r="AD68" s="1214"/>
      <c r="AE68" s="1214"/>
      <c r="AF68" s="1215"/>
      <c r="AG68" s="1215"/>
      <c r="AH68" s="1215"/>
      <c r="AI68" s="1215"/>
      <c r="AJ68" s="1216"/>
      <c r="AK68" s="1216"/>
      <c r="AL68" s="1216"/>
      <c r="AM68" s="1216"/>
      <c r="AN68" s="1216"/>
      <c r="AO68" s="1216"/>
      <c r="AP68" s="1216"/>
      <c r="AQ68" s="1216"/>
      <c r="AR68" s="1216"/>
      <c r="AS68" s="1216"/>
      <c r="AT68" s="1216"/>
      <c r="AU68" s="1120" t="str" cm="1">
        <f t="array" ref="AU68">IF(H68="","",Slookup(MID(X68,1,3)*1,UomConversion!$D$8:$J$500,2,UomConversion!$I$8:$I$500,1,UomConversion!$J$8:$J$500,1))</f>
        <v/>
      </c>
      <c r="AV68" s="401" t="str">
        <f t="shared" si="14"/>
        <v/>
      </c>
      <c r="AW68" s="757" t="str">
        <f t="shared" si="15"/>
        <v/>
      </c>
      <c r="AX68" s="757" t="str">
        <f t="shared" si="16"/>
        <v/>
      </c>
      <c r="AY68" s="757" t="str">
        <f t="shared" si="17"/>
        <v/>
      </c>
      <c r="AZ68" s="1209" cm="1">
        <f t="array" ref="AZ68">IF(Y68="",1,Slookup(MID(X68,1,3)*1,UomConversion!$D$8:$J$500,5,UomConversion!$E$8:$E$500,MID(Y68,1,3)*1,UomConversion!$I$8:$I$500,1))</f>
        <v>1</v>
      </c>
      <c r="BA68" s="1209" cm="1">
        <f t="array" ref="BA68">IF(Z68="",1,Slookup(MID(X68,1,3)*1,UomConversion!$D$8:$J$500,5,UomConversion!$E$8:$E$500,MID(Z68,1,3)*1,UomConversion!$I$8:$I$500,1))</f>
        <v>1</v>
      </c>
      <c r="BB68" s="1217">
        <f t="shared" si="11"/>
        <v>0</v>
      </c>
      <c r="BC68" s="1217"/>
      <c r="BD68" s="1217"/>
    </row>
    <row r="69" spans="2:56" s="1120" customFormat="1" ht="24.95" customHeight="1">
      <c r="B69" s="445"/>
      <c r="C69" s="843"/>
      <c r="D69" s="843"/>
      <c r="E69" s="843"/>
      <c r="F69" s="1116"/>
      <c r="G69" s="1117"/>
      <c r="H69" s="868"/>
      <c r="I69" s="1118"/>
      <c r="J69" s="1138"/>
      <c r="K69" s="1138"/>
      <c r="L69" s="870"/>
      <c r="M69" s="868"/>
      <c r="N69" s="1118"/>
      <c r="O69" s="1119"/>
      <c r="P69" s="884"/>
      <c r="Q69" s="885"/>
      <c r="R69" s="843"/>
      <c r="S69" s="843"/>
      <c r="T69" s="843"/>
      <c r="U69" s="843"/>
      <c r="V69" s="843"/>
      <c r="W69" s="843"/>
      <c r="X69" s="870"/>
      <c r="Y69" s="843" t="str">
        <f>IF(OR(ISNA(MATCH(MID(X69,1,3)*1,UomConversion!$D$8:$D$500,0)),H69=""),"",IF(AV69="","",AV69))</f>
        <v/>
      </c>
      <c r="Z69" s="843" t="str">
        <f>IF(AND(AU69&gt;0,COUNTIFS(UomConversion!$D$8:$D$500,MID(X69,1,3)*1,UomConversion!$J$8:$J$500,1)&gt;1),TEXT(AU69,"000")&amp;"."&amp;VLOOKUP(AU69,uom_list,5,FALSE),"")</f>
        <v/>
      </c>
      <c r="AA69" s="843">
        <f t="shared" si="12"/>
        <v>0</v>
      </c>
      <c r="AB69" s="843" t="str">
        <f t="shared" si="5"/>
        <v/>
      </c>
      <c r="AC69" s="843">
        <f t="shared" si="13"/>
        <v>2</v>
      </c>
      <c r="AD69" s="1214"/>
      <c r="AE69" s="1214"/>
      <c r="AF69" s="1215"/>
      <c r="AG69" s="1215"/>
      <c r="AH69" s="1215"/>
      <c r="AI69" s="1215"/>
      <c r="AJ69" s="1216"/>
      <c r="AK69" s="1216"/>
      <c r="AL69" s="1216"/>
      <c r="AM69" s="1216"/>
      <c r="AN69" s="1216"/>
      <c r="AO69" s="1216"/>
      <c r="AP69" s="1216"/>
      <c r="AQ69" s="1216"/>
      <c r="AR69" s="1216"/>
      <c r="AS69" s="1216"/>
      <c r="AT69" s="1216"/>
      <c r="AU69" s="1120" t="str" cm="1">
        <f t="array" ref="AU69">IF(H69="","",Slookup(MID(X69,1,3)*1,UomConversion!$D$8:$J$500,2,UomConversion!$I$8:$I$500,1,UomConversion!$J$8:$J$500,1))</f>
        <v/>
      </c>
      <c r="AV69" s="401" t="str">
        <f t="shared" si="14"/>
        <v/>
      </c>
      <c r="AW69" s="757" t="str">
        <f t="shared" si="15"/>
        <v/>
      </c>
      <c r="AX69" s="757" t="str">
        <f t="shared" si="16"/>
        <v/>
      </c>
      <c r="AY69" s="757" t="str">
        <f t="shared" si="17"/>
        <v/>
      </c>
      <c r="AZ69" s="1209" cm="1">
        <f t="array" ref="AZ69">IF(Y69="",1,Slookup(MID(X69,1,3)*1,UomConversion!$D$8:$J$500,5,UomConversion!$E$8:$E$500,MID(Y69,1,3)*1,UomConversion!$I$8:$I$500,1))</f>
        <v>1</v>
      </c>
      <c r="BA69" s="1209" cm="1">
        <f t="array" ref="BA69">IF(Z69="",1,Slookup(MID(X69,1,3)*1,UomConversion!$D$8:$J$500,5,UomConversion!$E$8:$E$500,MID(Z69,1,3)*1,UomConversion!$I$8:$I$500,1))</f>
        <v>1</v>
      </c>
      <c r="BB69" s="1217">
        <f t="shared" si="11"/>
        <v>0</v>
      </c>
      <c r="BC69" s="1217"/>
      <c r="BD69" s="1217"/>
    </row>
    <row r="70" spans="2:56" s="1120" customFormat="1" ht="24.95" customHeight="1">
      <c r="B70" s="445"/>
      <c r="C70" s="843"/>
      <c r="D70" s="843"/>
      <c r="E70" s="843"/>
      <c r="F70" s="1116"/>
      <c r="G70" s="1117"/>
      <c r="H70" s="868"/>
      <c r="I70" s="1118"/>
      <c r="J70" s="1138"/>
      <c r="K70" s="1138"/>
      <c r="L70" s="870"/>
      <c r="M70" s="868"/>
      <c r="N70" s="1118"/>
      <c r="O70" s="1119"/>
      <c r="P70" s="884"/>
      <c r="Q70" s="885"/>
      <c r="R70" s="843"/>
      <c r="S70" s="843"/>
      <c r="T70" s="843"/>
      <c r="U70" s="843"/>
      <c r="V70" s="843"/>
      <c r="W70" s="843"/>
      <c r="X70" s="870"/>
      <c r="Y70" s="843" t="str">
        <f>IF(OR(ISNA(MATCH(MID(X70,1,3)*1,UomConversion!$D$8:$D$500,0)),H70=""),"",IF(AV70="","",AV70))</f>
        <v/>
      </c>
      <c r="Z70" s="843" t="str">
        <f>IF(AND(AU70&gt;0,COUNTIFS(UomConversion!$D$8:$D$500,MID(X70,1,3)*1,UomConversion!$J$8:$J$500,1)&gt;1),TEXT(AU70,"000")&amp;"."&amp;VLOOKUP(AU70,uom_list,5,FALSE),"")</f>
        <v/>
      </c>
      <c r="AA70" s="843">
        <f t="shared" si="12"/>
        <v>0</v>
      </c>
      <c r="AB70" s="843" t="str">
        <f t="shared" si="5"/>
        <v/>
      </c>
      <c r="AC70" s="843">
        <f t="shared" si="13"/>
        <v>2</v>
      </c>
      <c r="AD70" s="1214"/>
      <c r="AE70" s="1214"/>
      <c r="AF70" s="1215"/>
      <c r="AG70" s="1215"/>
      <c r="AH70" s="1215"/>
      <c r="AI70" s="1215"/>
      <c r="AJ70" s="1216"/>
      <c r="AK70" s="1216"/>
      <c r="AL70" s="1216"/>
      <c r="AM70" s="1216"/>
      <c r="AN70" s="1216"/>
      <c r="AO70" s="1216"/>
      <c r="AP70" s="1216"/>
      <c r="AQ70" s="1216"/>
      <c r="AR70" s="1216"/>
      <c r="AS70" s="1216"/>
      <c r="AT70" s="1216"/>
      <c r="AU70" s="1120" t="str" cm="1">
        <f t="array" ref="AU70">IF(H70="","",Slookup(MID(X70,1,3)*1,UomConversion!$D$8:$J$500,2,UomConversion!$I$8:$I$500,1,UomConversion!$J$8:$J$500,1))</f>
        <v/>
      </c>
      <c r="AV70" s="401" t="str">
        <f t="shared" si="14"/>
        <v/>
      </c>
      <c r="AW70" s="757" t="str">
        <f t="shared" si="15"/>
        <v/>
      </c>
      <c r="AX70" s="757" t="str">
        <f t="shared" si="16"/>
        <v/>
      </c>
      <c r="AY70" s="757" t="str">
        <f t="shared" si="17"/>
        <v/>
      </c>
      <c r="AZ70" s="1209" cm="1">
        <f t="array" ref="AZ70">IF(Y70="",1,Slookup(MID(X70,1,3)*1,UomConversion!$D$8:$J$500,5,UomConversion!$E$8:$E$500,MID(Y70,1,3)*1,UomConversion!$I$8:$I$500,1))</f>
        <v>1</v>
      </c>
      <c r="BA70" s="1209" cm="1">
        <f t="array" ref="BA70">IF(Z70="",1,Slookup(MID(X70,1,3)*1,UomConversion!$D$8:$J$500,5,UomConversion!$E$8:$E$500,MID(Z70,1,3)*1,UomConversion!$I$8:$I$500,1))</f>
        <v>1</v>
      </c>
      <c r="BB70" s="1217">
        <f t="shared" si="11"/>
        <v>0</v>
      </c>
      <c r="BC70" s="1217"/>
      <c r="BD70" s="1217"/>
    </row>
    <row r="71" spans="2:56" s="1120" customFormat="1" ht="24.95" customHeight="1">
      <c r="B71" s="445"/>
      <c r="C71" s="843"/>
      <c r="D71" s="843"/>
      <c r="E71" s="843"/>
      <c r="F71" s="1116"/>
      <c r="G71" s="1117"/>
      <c r="H71" s="868"/>
      <c r="I71" s="1118"/>
      <c r="J71" s="1138"/>
      <c r="K71" s="1138"/>
      <c r="L71" s="870"/>
      <c r="M71" s="868"/>
      <c r="N71" s="1118"/>
      <c r="O71" s="1119"/>
      <c r="P71" s="884"/>
      <c r="Q71" s="885"/>
      <c r="R71" s="843"/>
      <c r="S71" s="843"/>
      <c r="T71" s="843"/>
      <c r="U71" s="843"/>
      <c r="V71" s="843"/>
      <c r="W71" s="843"/>
      <c r="X71" s="870"/>
      <c r="Y71" s="843" t="str">
        <f>IF(OR(ISNA(MATCH(MID(X71,1,3)*1,UomConversion!$D$8:$D$500,0)),H71=""),"",IF(AV71="","",AV71))</f>
        <v/>
      </c>
      <c r="Z71" s="843" t="str">
        <f>IF(AND(AU71&gt;0,COUNTIFS(UomConversion!$D$8:$D$500,MID(X71,1,3)*1,UomConversion!$J$8:$J$500,1)&gt;1),TEXT(AU71,"000")&amp;"."&amp;VLOOKUP(AU71,uom_list,5,FALSE),"")</f>
        <v/>
      </c>
      <c r="AA71" s="843">
        <f t="shared" si="12"/>
        <v>0</v>
      </c>
      <c r="AB71" s="843" t="str">
        <f t="shared" si="5"/>
        <v/>
      </c>
      <c r="AC71" s="843">
        <f t="shared" si="13"/>
        <v>2</v>
      </c>
      <c r="AD71" s="1214"/>
      <c r="AE71" s="1214"/>
      <c r="AF71" s="1215"/>
      <c r="AG71" s="1215"/>
      <c r="AH71" s="1215"/>
      <c r="AI71" s="1215"/>
      <c r="AJ71" s="1216"/>
      <c r="AK71" s="1216"/>
      <c r="AL71" s="1216"/>
      <c r="AM71" s="1216"/>
      <c r="AN71" s="1216"/>
      <c r="AO71" s="1216"/>
      <c r="AP71" s="1216"/>
      <c r="AQ71" s="1216"/>
      <c r="AR71" s="1216"/>
      <c r="AS71" s="1216"/>
      <c r="AT71" s="1216"/>
      <c r="AU71" s="1120" t="str" cm="1">
        <f t="array" ref="AU71">IF(H71="","",Slookup(MID(X71,1,3)*1,UomConversion!$D$8:$J$500,2,UomConversion!$I$8:$I$500,1,UomConversion!$J$8:$J$500,1))</f>
        <v/>
      </c>
      <c r="AV71" s="401" t="str">
        <f t="shared" si="14"/>
        <v/>
      </c>
      <c r="AW71" s="757" t="str">
        <f t="shared" si="15"/>
        <v/>
      </c>
      <c r="AX71" s="757" t="str">
        <f t="shared" si="16"/>
        <v/>
      </c>
      <c r="AY71" s="757" t="str">
        <f t="shared" si="17"/>
        <v/>
      </c>
      <c r="AZ71" s="1209" cm="1">
        <f t="array" ref="AZ71">IF(Y71="",1,Slookup(MID(X71,1,3)*1,UomConversion!$D$8:$J$500,5,UomConversion!$E$8:$E$500,MID(Y71,1,3)*1,UomConversion!$I$8:$I$500,1))</f>
        <v>1</v>
      </c>
      <c r="BA71" s="1209" cm="1">
        <f t="array" ref="BA71">IF(Z71="",1,Slookup(MID(X71,1,3)*1,UomConversion!$D$8:$J$500,5,UomConversion!$E$8:$E$500,MID(Z71,1,3)*1,UomConversion!$I$8:$I$500,1))</f>
        <v>1</v>
      </c>
      <c r="BB71" s="1217">
        <f t="shared" si="11"/>
        <v>0</v>
      </c>
      <c r="BC71" s="1217"/>
      <c r="BD71" s="1217"/>
    </row>
    <row r="72" spans="2:56" s="1120" customFormat="1" ht="24.95" customHeight="1">
      <c r="B72" s="445"/>
      <c r="C72" s="843"/>
      <c r="D72" s="843"/>
      <c r="E72" s="843"/>
      <c r="F72" s="1116"/>
      <c r="G72" s="1117"/>
      <c r="H72" s="868"/>
      <c r="I72" s="1118"/>
      <c r="J72" s="1138"/>
      <c r="K72" s="1138"/>
      <c r="L72" s="870"/>
      <c r="M72" s="868"/>
      <c r="N72" s="1118"/>
      <c r="O72" s="1119"/>
      <c r="P72" s="884"/>
      <c r="Q72" s="885"/>
      <c r="R72" s="843"/>
      <c r="S72" s="843"/>
      <c r="T72" s="843"/>
      <c r="U72" s="843"/>
      <c r="V72" s="843"/>
      <c r="W72" s="843"/>
      <c r="X72" s="870"/>
      <c r="Y72" s="843" t="str">
        <f>IF(OR(ISNA(MATCH(MID(X72,1,3)*1,UomConversion!$D$8:$D$500,0)),H72=""),"",IF(AV72="","",AV72))</f>
        <v/>
      </c>
      <c r="Z72" s="843" t="str">
        <f>IF(AND(AU72&gt;0,COUNTIFS(UomConversion!$D$8:$D$500,MID(X72,1,3)*1,UomConversion!$J$8:$J$500,1)&gt;1),TEXT(AU72,"000")&amp;"."&amp;VLOOKUP(AU72,uom_list,5,FALSE),"")</f>
        <v/>
      </c>
      <c r="AA72" s="843">
        <f t="shared" si="12"/>
        <v>0</v>
      </c>
      <c r="AB72" s="843" t="str">
        <f t="shared" si="5"/>
        <v/>
      </c>
      <c r="AC72" s="843">
        <f t="shared" si="13"/>
        <v>2</v>
      </c>
      <c r="AD72" s="1214"/>
      <c r="AE72" s="1214"/>
      <c r="AF72" s="1215"/>
      <c r="AG72" s="1215"/>
      <c r="AH72" s="1215"/>
      <c r="AI72" s="1215"/>
      <c r="AJ72" s="1216"/>
      <c r="AK72" s="1216"/>
      <c r="AL72" s="1216"/>
      <c r="AM72" s="1216"/>
      <c r="AN72" s="1216"/>
      <c r="AO72" s="1216"/>
      <c r="AP72" s="1216"/>
      <c r="AQ72" s="1216"/>
      <c r="AR72" s="1216"/>
      <c r="AS72" s="1216"/>
      <c r="AT72" s="1216"/>
      <c r="AU72" s="1120" t="str" cm="1">
        <f t="array" ref="AU72">IF(H72="","",Slookup(MID(X72,1,3)*1,UomConversion!$D$8:$J$500,2,UomConversion!$I$8:$I$500,1,UomConversion!$J$8:$J$500,1))</f>
        <v/>
      </c>
      <c r="AV72" s="401" t="str">
        <f t="shared" si="14"/>
        <v/>
      </c>
      <c r="AW72" s="757" t="str">
        <f t="shared" si="15"/>
        <v/>
      </c>
      <c r="AX72" s="757" t="str">
        <f t="shared" si="16"/>
        <v/>
      </c>
      <c r="AY72" s="757" t="str">
        <f t="shared" si="17"/>
        <v/>
      </c>
      <c r="AZ72" s="1209" cm="1">
        <f t="array" ref="AZ72">IF(Y72="",1,Slookup(MID(X72,1,3)*1,UomConversion!$D$8:$J$500,5,UomConversion!$E$8:$E$500,MID(Y72,1,3)*1,UomConversion!$I$8:$I$500,1))</f>
        <v>1</v>
      </c>
      <c r="BA72" s="1209" cm="1">
        <f t="array" ref="BA72">IF(Z72="",1,Slookup(MID(X72,1,3)*1,UomConversion!$D$8:$J$500,5,UomConversion!$E$8:$E$500,MID(Z72,1,3)*1,UomConversion!$I$8:$I$500,1))</f>
        <v>1</v>
      </c>
      <c r="BB72" s="1217">
        <f t="shared" si="11"/>
        <v>0</v>
      </c>
      <c r="BC72" s="1217"/>
      <c r="BD72" s="1217"/>
    </row>
    <row r="73" spans="2:56" s="1120" customFormat="1" ht="24.95" customHeight="1">
      <c r="B73" s="445"/>
      <c r="C73" s="843"/>
      <c r="D73" s="843"/>
      <c r="E73" s="843"/>
      <c r="F73" s="1116"/>
      <c r="G73" s="1117"/>
      <c r="H73" s="868"/>
      <c r="I73" s="1118"/>
      <c r="J73" s="1138"/>
      <c r="K73" s="1138"/>
      <c r="L73" s="870"/>
      <c r="M73" s="868"/>
      <c r="N73" s="1118"/>
      <c r="O73" s="1119"/>
      <c r="P73" s="884"/>
      <c r="Q73" s="885"/>
      <c r="R73" s="843"/>
      <c r="S73" s="843"/>
      <c r="T73" s="843"/>
      <c r="U73" s="843"/>
      <c r="V73" s="843"/>
      <c r="W73" s="843"/>
      <c r="X73" s="870"/>
      <c r="Y73" s="843" t="str">
        <f>IF(OR(ISNA(MATCH(MID(X73,1,3)*1,UomConversion!$D$8:$D$500,0)),H73=""),"",IF(AV73="","",AV73))</f>
        <v/>
      </c>
      <c r="Z73" s="843" t="str">
        <f>IF(AND(AU73&gt;0,COUNTIFS(UomConversion!$D$8:$D$500,MID(X73,1,3)*1,UomConversion!$J$8:$J$500,1)&gt;1),TEXT(AU73,"000")&amp;"."&amp;VLOOKUP(AU73,uom_list,5,FALSE),"")</f>
        <v/>
      </c>
      <c r="AA73" s="843">
        <f t="shared" si="12"/>
        <v>0</v>
      </c>
      <c r="AB73" s="843" t="str">
        <f t="shared" si="5"/>
        <v/>
      </c>
      <c r="AC73" s="843">
        <f t="shared" si="13"/>
        <v>2</v>
      </c>
      <c r="AD73" s="1214"/>
      <c r="AE73" s="1214"/>
      <c r="AF73" s="1215"/>
      <c r="AG73" s="1215"/>
      <c r="AH73" s="1215"/>
      <c r="AI73" s="1215"/>
      <c r="AJ73" s="1216"/>
      <c r="AK73" s="1216"/>
      <c r="AL73" s="1216"/>
      <c r="AM73" s="1216"/>
      <c r="AN73" s="1216"/>
      <c r="AO73" s="1216"/>
      <c r="AP73" s="1216"/>
      <c r="AQ73" s="1216"/>
      <c r="AR73" s="1216"/>
      <c r="AS73" s="1216"/>
      <c r="AT73" s="1216"/>
      <c r="AU73" s="1120" t="str" cm="1">
        <f t="array" ref="AU73">IF(H73="","",Slookup(MID(X73,1,3)*1,UomConversion!$D$8:$J$500,2,UomConversion!$I$8:$I$500,1,UomConversion!$J$8:$J$500,1))</f>
        <v/>
      </c>
      <c r="AV73" s="401" t="str">
        <f t="shared" si="14"/>
        <v/>
      </c>
      <c r="AW73" s="757" t="str">
        <f t="shared" si="15"/>
        <v/>
      </c>
      <c r="AX73" s="757" t="str">
        <f t="shared" si="16"/>
        <v/>
      </c>
      <c r="AY73" s="757" t="str">
        <f t="shared" si="17"/>
        <v/>
      </c>
      <c r="AZ73" s="1209" cm="1">
        <f t="array" ref="AZ73">IF(Y73="",1,Slookup(MID(X73,1,3)*1,UomConversion!$D$8:$J$500,5,UomConversion!$E$8:$E$500,MID(Y73,1,3)*1,UomConversion!$I$8:$I$500,1))</f>
        <v>1</v>
      </c>
      <c r="BA73" s="1209" cm="1">
        <f t="array" ref="BA73">IF(Z73="",1,Slookup(MID(X73,1,3)*1,UomConversion!$D$8:$J$500,5,UomConversion!$E$8:$E$500,MID(Z73,1,3)*1,UomConversion!$I$8:$I$500,1))</f>
        <v>1</v>
      </c>
      <c r="BB73" s="1217">
        <f t="shared" si="11"/>
        <v>0</v>
      </c>
      <c r="BC73" s="1217"/>
      <c r="BD73" s="1217"/>
    </row>
    <row r="74" spans="2:56" s="1120" customFormat="1" ht="24.95" customHeight="1">
      <c r="B74" s="445"/>
      <c r="C74" s="843"/>
      <c r="D74" s="843"/>
      <c r="E74" s="843"/>
      <c r="F74" s="1116"/>
      <c r="G74" s="1117"/>
      <c r="H74" s="868"/>
      <c r="I74" s="1118"/>
      <c r="J74" s="1138"/>
      <c r="K74" s="1138"/>
      <c r="L74" s="870"/>
      <c r="M74" s="868"/>
      <c r="N74" s="1118"/>
      <c r="O74" s="1119"/>
      <c r="P74" s="884"/>
      <c r="Q74" s="885"/>
      <c r="R74" s="843"/>
      <c r="S74" s="843"/>
      <c r="T74" s="843"/>
      <c r="U74" s="843"/>
      <c r="V74" s="843"/>
      <c r="W74" s="843"/>
      <c r="X74" s="870"/>
      <c r="Y74" s="843" t="str">
        <f>IF(OR(ISNA(MATCH(MID(X74,1,3)*1,UomConversion!$D$8:$D$500,0)),H74=""),"",IF(AV74="","",AV74))</f>
        <v/>
      </c>
      <c r="Z74" s="843" t="str">
        <f>IF(AND(AU74&gt;0,COUNTIFS(UomConversion!$D$8:$D$500,MID(X74,1,3)*1,UomConversion!$J$8:$J$500,1)&gt;1),TEXT(AU74,"000")&amp;"."&amp;VLOOKUP(AU74,uom_list,5,FALSE),"")</f>
        <v/>
      </c>
      <c r="AA74" s="843">
        <f t="shared" si="12"/>
        <v>0</v>
      </c>
      <c r="AB74" s="843" t="str">
        <f t="shared" si="5"/>
        <v/>
      </c>
      <c r="AC74" s="843">
        <f t="shared" si="13"/>
        <v>2</v>
      </c>
      <c r="AD74" s="1214"/>
      <c r="AE74" s="1214"/>
      <c r="AF74" s="1215"/>
      <c r="AG74" s="1215"/>
      <c r="AH74" s="1215"/>
      <c r="AI74" s="1215"/>
      <c r="AJ74" s="1216"/>
      <c r="AK74" s="1216"/>
      <c r="AL74" s="1216"/>
      <c r="AM74" s="1216"/>
      <c r="AN74" s="1216"/>
      <c r="AO74" s="1216"/>
      <c r="AP74" s="1216"/>
      <c r="AQ74" s="1216"/>
      <c r="AR74" s="1216"/>
      <c r="AS74" s="1216"/>
      <c r="AT74" s="1216"/>
      <c r="AU74" s="1120" t="str" cm="1">
        <f t="array" ref="AU74">IF(H74="","",Slookup(MID(X74,1,3)*1,UomConversion!$D$8:$J$500,2,UomConversion!$I$8:$I$500,1,UomConversion!$J$8:$J$500,1))</f>
        <v/>
      </c>
      <c r="AV74" s="401" t="str">
        <f t="shared" si="14"/>
        <v/>
      </c>
      <c r="AW74" s="757" t="str">
        <f t="shared" si="15"/>
        <v/>
      </c>
      <c r="AX74" s="757" t="str">
        <f t="shared" si="16"/>
        <v/>
      </c>
      <c r="AY74" s="757" t="str">
        <f t="shared" si="17"/>
        <v/>
      </c>
      <c r="AZ74" s="1209" cm="1">
        <f t="array" ref="AZ74">IF(Y74="",1,Slookup(MID(X74,1,3)*1,UomConversion!$D$8:$J$500,5,UomConversion!$E$8:$E$500,MID(Y74,1,3)*1,UomConversion!$I$8:$I$500,1))</f>
        <v>1</v>
      </c>
      <c r="BA74" s="1209" cm="1">
        <f t="array" ref="BA74">IF(Z74="",1,Slookup(MID(X74,1,3)*1,UomConversion!$D$8:$J$500,5,UomConversion!$E$8:$E$500,MID(Z74,1,3)*1,UomConversion!$I$8:$I$500,1))</f>
        <v>1</v>
      </c>
      <c r="BB74" s="1217">
        <f t="shared" si="11"/>
        <v>0</v>
      </c>
      <c r="BC74" s="1217"/>
      <c r="BD74" s="1217"/>
    </row>
    <row r="75" spans="2:56" s="1120" customFormat="1" ht="24.95" customHeight="1">
      <c r="B75" s="445"/>
      <c r="C75" s="843"/>
      <c r="D75" s="843"/>
      <c r="E75" s="843"/>
      <c r="F75" s="1116"/>
      <c r="G75" s="1117"/>
      <c r="H75" s="868"/>
      <c r="I75" s="1118"/>
      <c r="J75" s="1138"/>
      <c r="K75" s="1138"/>
      <c r="L75" s="870"/>
      <c r="M75" s="868"/>
      <c r="N75" s="1118"/>
      <c r="O75" s="1119"/>
      <c r="P75" s="884"/>
      <c r="Q75" s="885"/>
      <c r="R75" s="843"/>
      <c r="S75" s="843"/>
      <c r="T75" s="843"/>
      <c r="U75" s="843"/>
      <c r="V75" s="843"/>
      <c r="W75" s="843"/>
      <c r="X75" s="870"/>
      <c r="Y75" s="843" t="str">
        <f>IF(OR(ISNA(MATCH(MID(X75,1,3)*1,UomConversion!$D$8:$D$500,0)),H75=""),"",IF(AV75="","",AV75))</f>
        <v/>
      </c>
      <c r="Z75" s="843" t="str">
        <f>IF(AND(AU75&gt;0,COUNTIFS(UomConversion!$D$8:$D$500,MID(X75,1,3)*1,UomConversion!$J$8:$J$500,1)&gt;1),TEXT(AU75,"000")&amp;"."&amp;VLOOKUP(AU75,uom_list,5,FALSE),"")</f>
        <v/>
      </c>
      <c r="AA75" s="843">
        <f t="shared" si="12"/>
        <v>0</v>
      </c>
      <c r="AB75" s="843" t="str">
        <f t="shared" si="5"/>
        <v/>
      </c>
      <c r="AC75" s="843">
        <f t="shared" si="13"/>
        <v>2</v>
      </c>
      <c r="AD75" s="1214"/>
      <c r="AE75" s="1214"/>
      <c r="AF75" s="1215"/>
      <c r="AG75" s="1215"/>
      <c r="AH75" s="1215"/>
      <c r="AI75" s="1215"/>
      <c r="AJ75" s="1216"/>
      <c r="AK75" s="1216"/>
      <c r="AL75" s="1216"/>
      <c r="AM75" s="1216"/>
      <c r="AN75" s="1216"/>
      <c r="AO75" s="1216"/>
      <c r="AP75" s="1216"/>
      <c r="AQ75" s="1216"/>
      <c r="AR75" s="1216"/>
      <c r="AS75" s="1216"/>
      <c r="AT75" s="1216"/>
      <c r="AU75" s="1120" t="str" cm="1">
        <f t="array" ref="AU75">IF(H75="","",Slookup(MID(X75,1,3)*1,UomConversion!$D$8:$J$500,2,UomConversion!$I$8:$I$500,1,UomConversion!$J$8:$J$500,1))</f>
        <v/>
      </c>
      <c r="AV75" s="401" t="str">
        <f t="shared" si="14"/>
        <v/>
      </c>
      <c r="AW75" s="757" t="str">
        <f t="shared" si="15"/>
        <v/>
      </c>
      <c r="AX75" s="757" t="str">
        <f t="shared" si="16"/>
        <v/>
      </c>
      <c r="AY75" s="757" t="str">
        <f t="shared" si="17"/>
        <v/>
      </c>
      <c r="AZ75" s="1209" cm="1">
        <f t="array" ref="AZ75">IF(Y75="",1,Slookup(MID(X75,1,3)*1,UomConversion!$D$8:$J$500,5,UomConversion!$E$8:$E$500,MID(Y75,1,3)*1,UomConversion!$I$8:$I$500,1))</f>
        <v>1</v>
      </c>
      <c r="BA75" s="1209" cm="1">
        <f t="array" ref="BA75">IF(Z75="",1,Slookup(MID(X75,1,3)*1,UomConversion!$D$8:$J$500,5,UomConversion!$E$8:$E$500,MID(Z75,1,3)*1,UomConversion!$I$8:$I$500,1))</f>
        <v>1</v>
      </c>
      <c r="BB75" s="1217">
        <f t="shared" si="11"/>
        <v>0</v>
      </c>
      <c r="BC75" s="1217"/>
      <c r="BD75" s="1217"/>
    </row>
    <row r="76" spans="2:56" s="1120" customFormat="1" ht="24.95" customHeight="1">
      <c r="B76" s="445"/>
      <c r="C76" s="843"/>
      <c r="D76" s="843"/>
      <c r="E76" s="843"/>
      <c r="F76" s="1116"/>
      <c r="G76" s="1117"/>
      <c r="H76" s="868"/>
      <c r="I76" s="1118"/>
      <c r="J76" s="1138"/>
      <c r="K76" s="1138"/>
      <c r="L76" s="870"/>
      <c r="M76" s="868"/>
      <c r="N76" s="1118"/>
      <c r="O76" s="1119"/>
      <c r="P76" s="884"/>
      <c r="Q76" s="885"/>
      <c r="R76" s="843"/>
      <c r="S76" s="843"/>
      <c r="T76" s="843"/>
      <c r="U76" s="843"/>
      <c r="V76" s="843"/>
      <c r="W76" s="843"/>
      <c r="X76" s="870"/>
      <c r="Y76" s="843" t="str">
        <f>IF(OR(ISNA(MATCH(MID(X76,1,3)*1,UomConversion!$D$8:$D$500,0)),H76=""),"",IF(AV76="","",AV76))</f>
        <v/>
      </c>
      <c r="Z76" s="843" t="str">
        <f>IF(AND(AU76&gt;0,COUNTIFS(UomConversion!$D$8:$D$500,MID(X76,1,3)*1,UomConversion!$J$8:$J$500,1)&gt;1),TEXT(AU76,"000")&amp;"."&amp;VLOOKUP(AU76,uom_list,5,FALSE),"")</f>
        <v/>
      </c>
      <c r="AA76" s="843">
        <f t="shared" si="12"/>
        <v>0</v>
      </c>
      <c r="AB76" s="843" t="str">
        <f t="shared" si="5"/>
        <v/>
      </c>
      <c r="AC76" s="843">
        <f t="shared" si="13"/>
        <v>2</v>
      </c>
      <c r="AD76" s="1214"/>
      <c r="AE76" s="1214"/>
      <c r="AF76" s="1215"/>
      <c r="AG76" s="1215"/>
      <c r="AH76" s="1215"/>
      <c r="AI76" s="1215"/>
      <c r="AJ76" s="1216"/>
      <c r="AK76" s="1216"/>
      <c r="AL76" s="1216"/>
      <c r="AM76" s="1216"/>
      <c r="AN76" s="1216"/>
      <c r="AO76" s="1216"/>
      <c r="AP76" s="1216"/>
      <c r="AQ76" s="1216"/>
      <c r="AR76" s="1216"/>
      <c r="AS76" s="1216"/>
      <c r="AT76" s="1216"/>
      <c r="AU76" s="1120" t="str" cm="1">
        <f t="array" ref="AU76">IF(H76="","",Slookup(MID(X76,1,3)*1,UomConversion!$D$8:$J$500,2,UomConversion!$I$8:$I$500,1,UomConversion!$J$8:$J$500,1))</f>
        <v/>
      </c>
      <c r="AV76" s="401" t="str">
        <f t="shared" si="14"/>
        <v/>
      </c>
      <c r="AW76" s="757" t="str">
        <f t="shared" si="15"/>
        <v/>
      </c>
      <c r="AX76" s="757" t="str">
        <f t="shared" si="16"/>
        <v/>
      </c>
      <c r="AY76" s="757" t="str">
        <f t="shared" si="17"/>
        <v/>
      </c>
      <c r="AZ76" s="1209" cm="1">
        <f t="array" ref="AZ76">IF(Y76="",1,Slookup(MID(X76,1,3)*1,UomConversion!$D$8:$J$500,5,UomConversion!$E$8:$E$500,MID(Y76,1,3)*1,UomConversion!$I$8:$I$500,1))</f>
        <v>1</v>
      </c>
      <c r="BA76" s="1209" cm="1">
        <f t="array" ref="BA76">IF(Z76="",1,Slookup(MID(X76,1,3)*1,UomConversion!$D$8:$J$500,5,UomConversion!$E$8:$E$500,MID(Z76,1,3)*1,UomConversion!$I$8:$I$500,1))</f>
        <v>1</v>
      </c>
      <c r="BB76" s="1217">
        <f t="shared" si="11"/>
        <v>0</v>
      </c>
      <c r="BC76" s="1217"/>
      <c r="BD76" s="1217"/>
    </row>
    <row r="77" spans="2:56" s="1120" customFormat="1" ht="24.95" customHeight="1">
      <c r="B77" s="445"/>
      <c r="C77" s="843"/>
      <c r="D77" s="843"/>
      <c r="E77" s="843"/>
      <c r="F77" s="1116"/>
      <c r="G77" s="1117"/>
      <c r="H77" s="868"/>
      <c r="I77" s="1118"/>
      <c r="J77" s="1138"/>
      <c r="K77" s="1138"/>
      <c r="L77" s="870"/>
      <c r="M77" s="868"/>
      <c r="N77" s="1118"/>
      <c r="O77" s="1119"/>
      <c r="P77" s="884"/>
      <c r="Q77" s="885"/>
      <c r="R77" s="843"/>
      <c r="S77" s="843"/>
      <c r="T77" s="843"/>
      <c r="U77" s="843"/>
      <c r="V77" s="843"/>
      <c r="W77" s="843"/>
      <c r="X77" s="870"/>
      <c r="Y77" s="843" t="str">
        <f>IF(OR(ISNA(MATCH(MID(X77,1,3)*1,UomConversion!$D$8:$D$500,0)),H77=""),"",IF(AV77="","",AV77))</f>
        <v/>
      </c>
      <c r="Z77" s="843" t="str">
        <f>IF(AND(AU77&gt;0,COUNTIFS(UomConversion!$D$8:$D$500,MID(X77,1,3)*1,UomConversion!$J$8:$J$500,1)&gt;1),TEXT(AU77,"000")&amp;"."&amp;VLOOKUP(AU77,uom_list,5,FALSE),"")</f>
        <v/>
      </c>
      <c r="AA77" s="843">
        <f t="shared" si="12"/>
        <v>0</v>
      </c>
      <c r="AB77" s="843" t="str">
        <f t="shared" si="5"/>
        <v/>
      </c>
      <c r="AC77" s="843">
        <f t="shared" si="13"/>
        <v>2</v>
      </c>
      <c r="AD77" s="1214"/>
      <c r="AE77" s="1214"/>
      <c r="AF77" s="1215"/>
      <c r="AG77" s="1215"/>
      <c r="AH77" s="1215"/>
      <c r="AI77" s="1215"/>
      <c r="AJ77" s="1216"/>
      <c r="AK77" s="1216"/>
      <c r="AL77" s="1216"/>
      <c r="AM77" s="1216"/>
      <c r="AN77" s="1216"/>
      <c r="AO77" s="1216"/>
      <c r="AP77" s="1216"/>
      <c r="AQ77" s="1216"/>
      <c r="AR77" s="1216"/>
      <c r="AS77" s="1216"/>
      <c r="AT77" s="1216"/>
      <c r="AU77" s="1120" t="str" cm="1">
        <f t="array" ref="AU77">IF(H77="","",Slookup(MID(X77,1,3)*1,UomConversion!$D$8:$J$500,2,UomConversion!$I$8:$I$500,1,UomConversion!$J$8:$J$500,1))</f>
        <v/>
      </c>
      <c r="AV77" s="401" t="str">
        <f t="shared" si="14"/>
        <v/>
      </c>
      <c r="AW77" s="757" t="str">
        <f t="shared" si="15"/>
        <v/>
      </c>
      <c r="AX77" s="757" t="str">
        <f t="shared" si="16"/>
        <v/>
      </c>
      <c r="AY77" s="757" t="str">
        <f t="shared" si="17"/>
        <v/>
      </c>
      <c r="AZ77" s="1209" cm="1">
        <f t="array" ref="AZ77">IF(Y77="",1,Slookup(MID(X77,1,3)*1,UomConversion!$D$8:$J$500,5,UomConversion!$E$8:$E$500,MID(Y77,1,3)*1,UomConversion!$I$8:$I$500,1))</f>
        <v>1</v>
      </c>
      <c r="BA77" s="1209" cm="1">
        <f t="array" ref="BA77">IF(Z77="",1,Slookup(MID(X77,1,3)*1,UomConversion!$D$8:$J$500,5,UomConversion!$E$8:$E$500,MID(Z77,1,3)*1,UomConversion!$I$8:$I$500,1))</f>
        <v>1</v>
      </c>
      <c r="BB77" s="1217">
        <f t="shared" si="11"/>
        <v>0</v>
      </c>
      <c r="BC77" s="1217"/>
      <c r="BD77" s="1217"/>
    </row>
    <row r="78" spans="2:56" s="1120" customFormat="1" ht="24.95" customHeight="1">
      <c r="B78" s="445"/>
      <c r="C78" s="843"/>
      <c r="D78" s="843"/>
      <c r="E78" s="843"/>
      <c r="F78" s="1116"/>
      <c r="G78" s="1117"/>
      <c r="H78" s="868"/>
      <c r="I78" s="1118"/>
      <c r="J78" s="1138"/>
      <c r="K78" s="1138"/>
      <c r="L78" s="870"/>
      <c r="M78" s="868"/>
      <c r="N78" s="1118"/>
      <c r="O78" s="1119"/>
      <c r="P78" s="884"/>
      <c r="Q78" s="885"/>
      <c r="R78" s="843"/>
      <c r="S78" s="843"/>
      <c r="T78" s="843"/>
      <c r="U78" s="843"/>
      <c r="V78" s="843"/>
      <c r="W78" s="843"/>
      <c r="X78" s="870"/>
      <c r="Y78" s="843" t="str">
        <f>IF(OR(ISNA(MATCH(MID(X78,1,3)*1,UomConversion!$D$8:$D$500,0)),H78=""),"",IF(AV78="","",AV78))</f>
        <v/>
      </c>
      <c r="Z78" s="843" t="str">
        <f>IF(AND(AU78&gt;0,COUNTIFS(UomConversion!$D$8:$D$500,MID(X78,1,3)*1,UomConversion!$J$8:$J$500,1)&gt;1),TEXT(AU78,"000")&amp;"."&amp;VLOOKUP(AU78,uom_list,5,FALSE),"")</f>
        <v/>
      </c>
      <c r="AA78" s="843">
        <f t="shared" si="12"/>
        <v>0</v>
      </c>
      <c r="AB78" s="843" t="str">
        <f t="shared" si="5"/>
        <v/>
      </c>
      <c r="AC78" s="843">
        <f t="shared" si="13"/>
        <v>2</v>
      </c>
      <c r="AD78" s="1214"/>
      <c r="AE78" s="1214"/>
      <c r="AF78" s="1215"/>
      <c r="AG78" s="1215"/>
      <c r="AH78" s="1215"/>
      <c r="AI78" s="1215"/>
      <c r="AJ78" s="1216"/>
      <c r="AK78" s="1216"/>
      <c r="AL78" s="1216"/>
      <c r="AM78" s="1216"/>
      <c r="AN78" s="1216"/>
      <c r="AO78" s="1216"/>
      <c r="AP78" s="1216"/>
      <c r="AQ78" s="1216"/>
      <c r="AR78" s="1216"/>
      <c r="AS78" s="1216"/>
      <c r="AT78" s="1216"/>
      <c r="AU78" s="1120" t="str" cm="1">
        <f t="array" ref="AU78">IF(H78="","",Slookup(MID(X78,1,3)*1,UomConversion!$D$8:$J$500,2,UomConversion!$I$8:$I$500,1,UomConversion!$J$8:$J$500,1))</f>
        <v/>
      </c>
      <c r="AV78" s="401" t="str">
        <f t="shared" si="14"/>
        <v/>
      </c>
      <c r="AW78" s="757" t="str">
        <f t="shared" si="15"/>
        <v/>
      </c>
      <c r="AX78" s="757" t="str">
        <f t="shared" si="16"/>
        <v/>
      </c>
      <c r="AY78" s="757" t="str">
        <f t="shared" si="17"/>
        <v/>
      </c>
      <c r="AZ78" s="1209" cm="1">
        <f t="array" ref="AZ78">IF(Y78="",1,Slookup(MID(X78,1,3)*1,UomConversion!$D$8:$J$500,5,UomConversion!$E$8:$E$500,MID(Y78,1,3)*1,UomConversion!$I$8:$I$500,1))</f>
        <v>1</v>
      </c>
      <c r="BA78" s="1209" cm="1">
        <f t="array" ref="BA78">IF(Z78="",1,Slookup(MID(X78,1,3)*1,UomConversion!$D$8:$J$500,5,UomConversion!$E$8:$E$500,MID(Z78,1,3)*1,UomConversion!$I$8:$I$500,1))</f>
        <v>1</v>
      </c>
      <c r="BB78" s="1217">
        <f t="shared" si="11"/>
        <v>0</v>
      </c>
      <c r="BC78" s="1217"/>
      <c r="BD78" s="1217"/>
    </row>
    <row r="79" spans="2:56" s="1120" customFormat="1" ht="24.95" customHeight="1">
      <c r="B79" s="445"/>
      <c r="C79" s="843"/>
      <c r="D79" s="843"/>
      <c r="E79" s="843"/>
      <c r="F79" s="1116"/>
      <c r="G79" s="1117"/>
      <c r="H79" s="868"/>
      <c r="I79" s="1118"/>
      <c r="J79" s="1138"/>
      <c r="K79" s="1138"/>
      <c r="L79" s="870"/>
      <c r="M79" s="868"/>
      <c r="N79" s="1118"/>
      <c r="O79" s="1119"/>
      <c r="P79" s="884"/>
      <c r="Q79" s="885"/>
      <c r="R79" s="843"/>
      <c r="S79" s="843"/>
      <c r="T79" s="843"/>
      <c r="U79" s="843"/>
      <c r="V79" s="843"/>
      <c r="W79" s="843"/>
      <c r="X79" s="870"/>
      <c r="Y79" s="843" t="str">
        <f>IF(OR(ISNA(MATCH(MID(X79,1,3)*1,UomConversion!$D$8:$D$500,0)),H79=""),"",IF(AV79="","",AV79))</f>
        <v/>
      </c>
      <c r="Z79" s="843" t="str">
        <f>IF(AND(AU79&gt;0,COUNTIFS(UomConversion!$D$8:$D$500,MID(X79,1,3)*1,UomConversion!$J$8:$J$500,1)&gt;1),TEXT(AU79,"000")&amp;"."&amp;VLOOKUP(AU79,uom_list,5,FALSE),"")</f>
        <v/>
      </c>
      <c r="AA79" s="843">
        <f t="shared" si="12"/>
        <v>0</v>
      </c>
      <c r="AB79" s="843" t="str">
        <f t="shared" si="5"/>
        <v/>
      </c>
      <c r="AC79" s="843">
        <f t="shared" si="13"/>
        <v>2</v>
      </c>
      <c r="AD79" s="1214"/>
      <c r="AE79" s="1214"/>
      <c r="AF79" s="1215"/>
      <c r="AG79" s="1215"/>
      <c r="AH79" s="1215"/>
      <c r="AI79" s="1215"/>
      <c r="AJ79" s="1216"/>
      <c r="AK79" s="1216"/>
      <c r="AL79" s="1216"/>
      <c r="AM79" s="1216"/>
      <c r="AN79" s="1216"/>
      <c r="AO79" s="1216"/>
      <c r="AP79" s="1216"/>
      <c r="AQ79" s="1216"/>
      <c r="AR79" s="1216"/>
      <c r="AS79" s="1216"/>
      <c r="AT79" s="1216"/>
      <c r="AU79" s="1120" t="str" cm="1">
        <f t="array" ref="AU79">IF(H79="","",Slookup(MID(X79,1,3)*1,UomConversion!$D$8:$J$500,2,UomConversion!$I$8:$I$500,1,UomConversion!$J$8:$J$500,1))</f>
        <v/>
      </c>
      <c r="AV79" s="401" t="str">
        <f t="shared" si="14"/>
        <v/>
      </c>
      <c r="AW79" s="757" t="str">
        <f t="shared" si="15"/>
        <v/>
      </c>
      <c r="AX79" s="757" t="str">
        <f t="shared" si="16"/>
        <v/>
      </c>
      <c r="AY79" s="757" t="str">
        <f t="shared" si="17"/>
        <v/>
      </c>
      <c r="AZ79" s="1209" cm="1">
        <f t="array" ref="AZ79">IF(Y79="",1,Slookup(MID(X79,1,3)*1,UomConversion!$D$8:$J$500,5,UomConversion!$E$8:$E$500,MID(Y79,1,3)*1,UomConversion!$I$8:$I$500,1))</f>
        <v>1</v>
      </c>
      <c r="BA79" s="1209" cm="1">
        <f t="array" ref="BA79">IF(Z79="",1,Slookup(MID(X79,1,3)*1,UomConversion!$D$8:$J$500,5,UomConversion!$E$8:$E$500,MID(Z79,1,3)*1,UomConversion!$I$8:$I$500,1))</f>
        <v>1</v>
      </c>
      <c r="BB79" s="1217">
        <f t="shared" si="11"/>
        <v>0</v>
      </c>
      <c r="BC79" s="1217"/>
      <c r="BD79" s="1217"/>
    </row>
    <row r="80" spans="2:56" s="1120" customFormat="1" ht="24.95" customHeight="1">
      <c r="B80" s="445"/>
      <c r="C80" s="843"/>
      <c r="D80" s="843"/>
      <c r="E80" s="843"/>
      <c r="F80" s="1116"/>
      <c r="G80" s="1117"/>
      <c r="H80" s="868"/>
      <c r="I80" s="1118"/>
      <c r="J80" s="1138"/>
      <c r="K80" s="1138"/>
      <c r="L80" s="870"/>
      <c r="M80" s="868"/>
      <c r="N80" s="1118"/>
      <c r="O80" s="1119"/>
      <c r="P80" s="884"/>
      <c r="Q80" s="885"/>
      <c r="R80" s="843"/>
      <c r="S80" s="843"/>
      <c r="T80" s="843"/>
      <c r="U80" s="843"/>
      <c r="V80" s="843"/>
      <c r="W80" s="843"/>
      <c r="X80" s="870"/>
      <c r="Y80" s="843" t="str">
        <f>IF(OR(ISNA(MATCH(MID(X80,1,3)*1,UomConversion!$D$8:$D$500,0)),H80=""),"",IF(AV80="","",AV80))</f>
        <v/>
      </c>
      <c r="Z80" s="843" t="str">
        <f>IF(AND(AU80&gt;0,COUNTIFS(UomConversion!$D$8:$D$500,MID(X80,1,3)*1,UomConversion!$J$8:$J$500,1)&gt;1),TEXT(AU80,"000")&amp;"."&amp;VLOOKUP(AU80,uom_list,5,FALSE),"")</f>
        <v/>
      </c>
      <c r="AA80" s="843">
        <f t="shared" si="12"/>
        <v>0</v>
      </c>
      <c r="AB80" s="843" t="str">
        <f t="shared" si="5"/>
        <v/>
      </c>
      <c r="AC80" s="843">
        <f t="shared" si="13"/>
        <v>2</v>
      </c>
      <c r="AD80" s="1214"/>
      <c r="AE80" s="1214"/>
      <c r="AF80" s="1215"/>
      <c r="AG80" s="1215"/>
      <c r="AH80" s="1215"/>
      <c r="AI80" s="1215"/>
      <c r="AJ80" s="1216"/>
      <c r="AK80" s="1216"/>
      <c r="AL80" s="1216"/>
      <c r="AM80" s="1216"/>
      <c r="AN80" s="1216"/>
      <c r="AO80" s="1216"/>
      <c r="AP80" s="1216"/>
      <c r="AQ80" s="1216"/>
      <c r="AR80" s="1216"/>
      <c r="AS80" s="1216"/>
      <c r="AT80" s="1216"/>
      <c r="AU80" s="1120" t="str" cm="1">
        <f t="array" ref="AU80">IF(H80="","",Slookup(MID(X80,1,3)*1,UomConversion!$D$8:$J$500,2,UomConversion!$I$8:$I$500,1,UomConversion!$J$8:$J$500,1))</f>
        <v/>
      </c>
      <c r="AV80" s="401" t="str">
        <f t="shared" si="14"/>
        <v/>
      </c>
      <c r="AW80" s="757" t="str">
        <f t="shared" si="15"/>
        <v/>
      </c>
      <c r="AX80" s="757" t="str">
        <f t="shared" si="16"/>
        <v/>
      </c>
      <c r="AY80" s="757" t="str">
        <f t="shared" si="17"/>
        <v/>
      </c>
      <c r="AZ80" s="1209" cm="1">
        <f t="array" ref="AZ80">IF(Y80="",1,Slookup(MID(X80,1,3)*1,UomConversion!$D$8:$J$500,5,UomConversion!$E$8:$E$500,MID(Y80,1,3)*1,UomConversion!$I$8:$I$500,1))</f>
        <v>1</v>
      </c>
      <c r="BA80" s="1209" cm="1">
        <f t="array" ref="BA80">IF(Z80="",1,Slookup(MID(X80,1,3)*1,UomConversion!$D$8:$J$500,5,UomConversion!$E$8:$E$500,MID(Z80,1,3)*1,UomConversion!$I$8:$I$500,1))</f>
        <v>1</v>
      </c>
      <c r="BB80" s="1217">
        <f t="shared" si="11"/>
        <v>0</v>
      </c>
      <c r="BC80" s="1217"/>
      <c r="BD80" s="1217"/>
    </row>
    <row r="81" spans="2:57" s="1120" customFormat="1" ht="24.95" customHeight="1">
      <c r="B81" s="445"/>
      <c r="C81" s="843"/>
      <c r="D81" s="843"/>
      <c r="E81" s="843"/>
      <c r="F81" s="1116"/>
      <c r="G81" s="1117"/>
      <c r="H81" s="868"/>
      <c r="I81" s="1118"/>
      <c r="J81" s="1138"/>
      <c r="K81" s="1138"/>
      <c r="L81" s="870"/>
      <c r="M81" s="868"/>
      <c r="N81" s="1118"/>
      <c r="O81" s="1119"/>
      <c r="P81" s="884"/>
      <c r="Q81" s="885"/>
      <c r="R81" s="843"/>
      <c r="S81" s="843"/>
      <c r="T81" s="843"/>
      <c r="U81" s="843"/>
      <c r="V81" s="843"/>
      <c r="W81" s="843"/>
      <c r="X81" s="870"/>
      <c r="Y81" s="843" t="str">
        <f>IF(OR(ISNA(MATCH(MID(X81,1,3)*1,UomConversion!$D$8:$D$500,0)),H81=""),"",IF(AV81="","",AV81))</f>
        <v/>
      </c>
      <c r="Z81" s="843" t="str">
        <f>IF(AND(AU81&gt;0,COUNTIFS(UomConversion!$D$8:$D$500,MID(X81,1,3)*1,UomConversion!$J$8:$J$500,1)&gt;1),TEXT(AU81,"000")&amp;"."&amp;VLOOKUP(AU81,uom_list,5,FALSE),"")</f>
        <v/>
      </c>
      <c r="AA81" s="843">
        <f t="shared" si="12"/>
        <v>0</v>
      </c>
      <c r="AB81" s="843" t="str">
        <f t="shared" si="5"/>
        <v/>
      </c>
      <c r="AC81" s="843">
        <f t="shared" si="13"/>
        <v>2</v>
      </c>
      <c r="AD81" s="1214"/>
      <c r="AE81" s="1214"/>
      <c r="AF81" s="1215"/>
      <c r="AG81" s="1215"/>
      <c r="AH81" s="1215"/>
      <c r="AI81" s="1215"/>
      <c r="AJ81" s="1216"/>
      <c r="AK81" s="1216"/>
      <c r="AL81" s="1216"/>
      <c r="AM81" s="1216"/>
      <c r="AN81" s="1216"/>
      <c r="AO81" s="1216"/>
      <c r="AP81" s="1216"/>
      <c r="AQ81" s="1216"/>
      <c r="AR81" s="1216"/>
      <c r="AS81" s="1216"/>
      <c r="AT81" s="1216"/>
      <c r="AU81" s="1120" t="str" cm="1">
        <f t="array" ref="AU81">IF(H81="","",Slookup(MID(X81,1,3)*1,UomConversion!$D$8:$J$500,2,UomConversion!$I$8:$I$500,1,UomConversion!$J$8:$J$500,1))</f>
        <v/>
      </c>
      <c r="AV81" s="401" t="str">
        <f t="shared" si="14"/>
        <v/>
      </c>
      <c r="AW81" s="757" t="str">
        <f t="shared" si="15"/>
        <v/>
      </c>
      <c r="AX81" s="757" t="str">
        <f t="shared" si="16"/>
        <v/>
      </c>
      <c r="AY81" s="757" t="str">
        <f t="shared" si="17"/>
        <v/>
      </c>
      <c r="AZ81" s="1209" cm="1">
        <f t="array" ref="AZ81">IF(Y81="",1,Slookup(MID(X81,1,3)*1,UomConversion!$D$8:$J$500,5,UomConversion!$E$8:$E$500,MID(Y81,1,3)*1,UomConversion!$I$8:$I$500,1))</f>
        <v>1</v>
      </c>
      <c r="BA81" s="1209" cm="1">
        <f t="array" ref="BA81">IF(Z81="",1,Slookup(MID(X81,1,3)*1,UomConversion!$D$8:$J$500,5,UomConversion!$E$8:$E$500,MID(Z81,1,3)*1,UomConversion!$I$8:$I$500,1))</f>
        <v>1</v>
      </c>
      <c r="BB81" s="1217">
        <f t="shared" si="11"/>
        <v>0</v>
      </c>
      <c r="BC81" s="1217"/>
      <c r="BD81" s="1217"/>
    </row>
    <row r="82" spans="2:57" s="1120" customFormat="1" ht="24.95" customHeight="1">
      <c r="B82" s="445"/>
      <c r="C82" s="843"/>
      <c r="D82" s="843"/>
      <c r="E82" s="843"/>
      <c r="F82" s="1116"/>
      <c r="G82" s="1117"/>
      <c r="H82" s="868"/>
      <c r="I82" s="1118"/>
      <c r="J82" s="1138"/>
      <c r="K82" s="1138"/>
      <c r="L82" s="870"/>
      <c r="M82" s="868"/>
      <c r="N82" s="1118"/>
      <c r="O82" s="1119"/>
      <c r="P82" s="884"/>
      <c r="Q82" s="885"/>
      <c r="R82" s="843"/>
      <c r="S82" s="843"/>
      <c r="T82" s="843"/>
      <c r="U82" s="843"/>
      <c r="V82" s="843"/>
      <c r="W82" s="843"/>
      <c r="X82" s="870"/>
      <c r="Y82" s="843" t="str">
        <f>IF(OR(ISNA(MATCH(MID(X82,1,3)*1,UomConversion!$D$8:$D$500,0)),H82=""),"",IF(AV82="","",AV82))</f>
        <v/>
      </c>
      <c r="Z82" s="843" t="str">
        <f>IF(AND(AU82&gt;0,COUNTIFS(UomConversion!$D$8:$D$500,MID(X82,1,3)*1,UomConversion!$J$8:$J$500,1)&gt;1),TEXT(AU82,"000")&amp;"."&amp;VLOOKUP(AU82,uom_list,5,FALSE),"")</f>
        <v/>
      </c>
      <c r="AA82" s="843">
        <f t="shared" si="12"/>
        <v>0</v>
      </c>
      <c r="AB82" s="843" t="str">
        <f t="shared" si="5"/>
        <v/>
      </c>
      <c r="AC82" s="843">
        <f t="shared" si="13"/>
        <v>2</v>
      </c>
      <c r="AD82" s="1214"/>
      <c r="AE82" s="1214"/>
      <c r="AF82" s="1215"/>
      <c r="AG82" s="1215"/>
      <c r="AH82" s="1215"/>
      <c r="AI82" s="1215"/>
      <c r="AJ82" s="1216"/>
      <c r="AK82" s="1216"/>
      <c r="AL82" s="1216"/>
      <c r="AM82" s="1216"/>
      <c r="AN82" s="1216"/>
      <c r="AO82" s="1216"/>
      <c r="AP82" s="1216"/>
      <c r="AQ82" s="1216"/>
      <c r="AR82" s="1216"/>
      <c r="AS82" s="1216"/>
      <c r="AT82" s="1216"/>
      <c r="AU82" s="1120" t="str" cm="1">
        <f t="array" ref="AU82">IF(H82="","",Slookup(MID(X82,1,3)*1,UomConversion!$D$8:$J$500,2,UomConversion!$I$8:$I$500,1,UomConversion!$J$8:$J$500,1))</f>
        <v/>
      </c>
      <c r="AV82" s="401" t="str">
        <f t="shared" si="14"/>
        <v/>
      </c>
      <c r="AW82" s="757" t="str">
        <f t="shared" si="15"/>
        <v/>
      </c>
      <c r="AX82" s="757" t="str">
        <f t="shared" si="16"/>
        <v/>
      </c>
      <c r="AY82" s="757" t="str">
        <f t="shared" si="17"/>
        <v/>
      </c>
      <c r="AZ82" s="1209" cm="1">
        <f t="array" ref="AZ82">IF(Y82="",1,Slookup(MID(X82,1,3)*1,UomConversion!$D$8:$J$500,5,UomConversion!$E$8:$E$500,MID(Y82,1,3)*1,UomConversion!$I$8:$I$500,1))</f>
        <v>1</v>
      </c>
      <c r="BA82" s="1209" cm="1">
        <f t="array" ref="BA82">IF(Z82="",1,Slookup(MID(X82,1,3)*1,UomConversion!$D$8:$J$500,5,UomConversion!$E$8:$E$500,MID(Z82,1,3)*1,UomConversion!$I$8:$I$500,1))</f>
        <v>1</v>
      </c>
      <c r="BB82" s="1217">
        <f t="shared" si="11"/>
        <v>0</v>
      </c>
      <c r="BC82" s="1217"/>
      <c r="BD82" s="1217"/>
    </row>
    <row r="83" spans="2:57" s="1120" customFormat="1" ht="24.95" customHeight="1">
      <c r="B83" s="445"/>
      <c r="C83" s="843"/>
      <c r="D83" s="843"/>
      <c r="E83" s="843"/>
      <c r="F83" s="1116"/>
      <c r="G83" s="1117"/>
      <c r="H83" s="868"/>
      <c r="I83" s="1118"/>
      <c r="J83" s="1138"/>
      <c r="K83" s="1138"/>
      <c r="L83" s="870"/>
      <c r="M83" s="868"/>
      <c r="N83" s="1118"/>
      <c r="O83" s="1119"/>
      <c r="P83" s="884"/>
      <c r="Q83" s="885"/>
      <c r="R83" s="843"/>
      <c r="S83" s="843"/>
      <c r="T83" s="843"/>
      <c r="U83" s="843"/>
      <c r="V83" s="843"/>
      <c r="W83" s="843"/>
      <c r="X83" s="870"/>
      <c r="Y83" s="843" t="str">
        <f>IF(OR(ISNA(MATCH(MID(X83,1,3)*1,UomConversion!$D$8:$D$500,0)),H83=""),"",IF(AV83="","",AV83))</f>
        <v/>
      </c>
      <c r="Z83" s="843" t="str">
        <f>IF(AND(AU83&gt;0,COUNTIFS(UomConversion!$D$8:$D$500,MID(X83,1,3)*1,UomConversion!$J$8:$J$500,1)&gt;1),TEXT(AU83,"000")&amp;"."&amp;VLOOKUP(AU83,uom_list,5,FALSE),"")</f>
        <v/>
      </c>
      <c r="AA83" s="843">
        <f t="shared" si="12"/>
        <v>0</v>
      </c>
      <c r="AB83" s="843" t="str">
        <f t="shared" si="5"/>
        <v/>
      </c>
      <c r="AC83" s="843">
        <f t="shared" si="13"/>
        <v>2</v>
      </c>
      <c r="AD83" s="1214"/>
      <c r="AE83" s="1214"/>
      <c r="AF83" s="1215"/>
      <c r="AG83" s="1215"/>
      <c r="AH83" s="1215"/>
      <c r="AI83" s="1215"/>
      <c r="AJ83" s="1216"/>
      <c r="AK83" s="1216"/>
      <c r="AL83" s="1216"/>
      <c r="AM83" s="1216"/>
      <c r="AN83" s="1216"/>
      <c r="AO83" s="1216"/>
      <c r="AP83" s="1216"/>
      <c r="AQ83" s="1216"/>
      <c r="AR83" s="1216"/>
      <c r="AS83" s="1216"/>
      <c r="AT83" s="1216"/>
      <c r="AU83" s="1120" t="str" cm="1">
        <f t="array" ref="AU83">IF(H83="","",Slookup(MID(X83,1,3)*1,UomConversion!$D$8:$J$500,2,UomConversion!$I$8:$I$500,1,UomConversion!$J$8:$J$500,1))</f>
        <v/>
      </c>
      <c r="AV83" s="401" t="str">
        <f t="shared" si="14"/>
        <v/>
      </c>
      <c r="AW83" s="757" t="str">
        <f t="shared" si="15"/>
        <v/>
      </c>
      <c r="AX83" s="757" t="str">
        <f t="shared" si="16"/>
        <v/>
      </c>
      <c r="AY83" s="757" t="str">
        <f t="shared" si="17"/>
        <v/>
      </c>
      <c r="AZ83" s="1209" cm="1">
        <f t="array" ref="AZ83">IF(Y83="",1,Slookup(MID(X83,1,3)*1,UomConversion!$D$8:$J$500,5,UomConversion!$E$8:$E$500,MID(Y83,1,3)*1,UomConversion!$I$8:$I$500,1))</f>
        <v>1</v>
      </c>
      <c r="BA83" s="1209" cm="1">
        <f t="array" ref="BA83">IF(Z83="",1,Slookup(MID(X83,1,3)*1,UomConversion!$D$8:$J$500,5,UomConversion!$E$8:$E$500,MID(Z83,1,3)*1,UomConversion!$I$8:$I$500,1))</f>
        <v>1</v>
      </c>
      <c r="BB83" s="1217">
        <f t="shared" si="11"/>
        <v>0</v>
      </c>
      <c r="BC83" s="1217"/>
      <c r="BD83" s="1217"/>
    </row>
    <row r="84" spans="2:57" s="1120" customFormat="1" ht="24.95" customHeight="1">
      <c r="B84" s="445"/>
      <c r="C84" s="843"/>
      <c r="D84" s="843"/>
      <c r="E84" s="843"/>
      <c r="F84" s="1116"/>
      <c r="G84" s="1117"/>
      <c r="H84" s="868"/>
      <c r="I84" s="1118"/>
      <c r="J84" s="1138"/>
      <c r="K84" s="1138"/>
      <c r="L84" s="870"/>
      <c r="M84" s="868"/>
      <c r="N84" s="1118"/>
      <c r="O84" s="1119"/>
      <c r="P84" s="884"/>
      <c r="Q84" s="885"/>
      <c r="R84" s="843"/>
      <c r="S84" s="843"/>
      <c r="T84" s="843"/>
      <c r="U84" s="843"/>
      <c r="V84" s="843"/>
      <c r="W84" s="843"/>
      <c r="X84" s="870"/>
      <c r="Y84" s="843" t="str">
        <f>IF(OR(ISNA(MATCH(MID(X84,1,3)*1,UomConversion!$D$8:$D$500,0)),H84=""),"",IF(AV84="","",AV84))</f>
        <v/>
      </c>
      <c r="Z84" s="843" t="str">
        <f>IF(AND(AU84&gt;0,COUNTIFS(UomConversion!$D$8:$D$500,MID(X84,1,3)*1,UomConversion!$J$8:$J$500,1)&gt;1),TEXT(AU84,"000")&amp;"."&amp;VLOOKUP(AU84,uom_list,5,FALSE),"")</f>
        <v/>
      </c>
      <c r="AA84" s="843">
        <f t="shared" ref="AA84:AA115" si="18">COUNT(AW84:AY84)</f>
        <v>0</v>
      </c>
      <c r="AB84" s="843" t="str">
        <f t="shared" si="5"/>
        <v/>
      </c>
      <c r="AC84" s="843">
        <f t="shared" ref="AC84:AC115" si="19">import_pro_number_of_price_type</f>
        <v>2</v>
      </c>
      <c r="AD84" s="1214"/>
      <c r="AE84" s="1214"/>
      <c r="AF84" s="1215"/>
      <c r="AG84" s="1215"/>
      <c r="AH84" s="1215"/>
      <c r="AI84" s="1215"/>
      <c r="AJ84" s="1216"/>
      <c r="AK84" s="1216"/>
      <c r="AL84" s="1216"/>
      <c r="AM84" s="1216"/>
      <c r="AN84" s="1216"/>
      <c r="AO84" s="1216"/>
      <c r="AP84" s="1216"/>
      <c r="AQ84" s="1216"/>
      <c r="AR84" s="1216"/>
      <c r="AS84" s="1216"/>
      <c r="AT84" s="1216"/>
      <c r="AU84" s="1120" t="str" cm="1">
        <f t="array" ref="AU84">IF(H84="","",Slookup(MID(X84,1,3)*1,UomConversion!$D$8:$J$500,2,UomConversion!$I$8:$I$500,1,UomConversion!$J$8:$J$500,1))</f>
        <v/>
      </c>
      <c r="AV84" s="401" t="str">
        <f t="shared" ref="AV84:AV115" si="20">IF(OR(ISNA(VLOOKUP(MID(X84,1,3)*1,uom_converion_list,2,FALSE)),H84=""),"",TEXT(VLOOKUP(MID(X84,1,3)*1,uom_converion_list,2,FALSE),"000")&amp;"."&amp;VLOOKUP(VLOOKUP(MID(X84,1,3)*1,uom_converion_list,2,FALSE),uom_list,5,FALSE))</f>
        <v/>
      </c>
      <c r="AW84" s="757" t="str">
        <f t="shared" ref="AW84:AW115" si="21">IF(X84="","",MID(X84,1,3)*1)</f>
        <v/>
      </c>
      <c r="AX84" s="757" t="str">
        <f t="shared" ref="AX84:AX115" si="22">IF(Y84="","",MID(Y84,1,3)*1)</f>
        <v/>
      </c>
      <c r="AY84" s="757" t="str">
        <f t="shared" ref="AY84:AY115" si="23">IF(Z84="","",MID(Z84,1,3)*1)</f>
        <v/>
      </c>
      <c r="AZ84" s="1209" cm="1">
        <f t="array" ref="AZ84">IF(Y84="",1,Slookup(MID(X84,1,3)*1,UomConversion!$D$8:$J$500,5,UomConversion!$E$8:$E$500,MID(Y84,1,3)*1,UomConversion!$I$8:$I$500,1))</f>
        <v>1</v>
      </c>
      <c r="BA84" s="1209" cm="1">
        <f t="array" ref="BA84">IF(Z84="",1,Slookup(MID(X84,1,3)*1,UomConversion!$D$8:$J$500,5,UomConversion!$E$8:$E$500,MID(Z84,1,3)*1,UomConversion!$I$8:$I$500,1))</f>
        <v>1</v>
      </c>
      <c r="BB84" s="1217">
        <f t="shared" si="11"/>
        <v>0</v>
      </c>
      <c r="BC84" s="1217"/>
      <c r="BD84" s="1217"/>
    </row>
    <row r="85" spans="2:57" s="1120" customFormat="1" ht="24.95" customHeight="1">
      <c r="B85" s="445"/>
      <c r="C85" s="843"/>
      <c r="D85" s="843"/>
      <c r="E85" s="843"/>
      <c r="F85" s="1116"/>
      <c r="G85" s="1117"/>
      <c r="H85" s="868"/>
      <c r="I85" s="1118"/>
      <c r="J85" s="1138"/>
      <c r="K85" s="1138"/>
      <c r="L85" s="870"/>
      <c r="M85" s="868"/>
      <c r="N85" s="1118"/>
      <c r="O85" s="1119"/>
      <c r="P85" s="884"/>
      <c r="Q85" s="885"/>
      <c r="R85" s="843"/>
      <c r="S85" s="843"/>
      <c r="T85" s="843"/>
      <c r="U85" s="843"/>
      <c r="V85" s="843"/>
      <c r="W85" s="843"/>
      <c r="X85" s="870"/>
      <c r="Y85" s="843" t="str">
        <f>IF(OR(ISNA(MATCH(MID(X85,1,3)*1,UomConversion!$D$8:$D$500,0)),H85=""),"",IF(AV85="","",AV85))</f>
        <v/>
      </c>
      <c r="Z85" s="843" t="str">
        <f>IF(AND(AU85&gt;0,COUNTIFS(UomConversion!$D$8:$D$500,MID(X85,1,3)*1,UomConversion!$J$8:$J$500,1)&gt;1),TEXT(AU85,"000")&amp;"."&amp;VLOOKUP(AU85,uom_list,5,FALSE),"")</f>
        <v/>
      </c>
      <c r="AA85" s="843">
        <f t="shared" si="18"/>
        <v>0</v>
      </c>
      <c r="AB85" s="843" t="str">
        <f t="shared" ref="AB85:AB148" si="24">_xlfn.TEXTJOIN(",",TRUE,AW85:AY85)</f>
        <v/>
      </c>
      <c r="AC85" s="843">
        <f t="shared" si="19"/>
        <v>2</v>
      </c>
      <c r="AD85" s="1214"/>
      <c r="AE85" s="1214"/>
      <c r="AF85" s="1215"/>
      <c r="AG85" s="1215"/>
      <c r="AH85" s="1215"/>
      <c r="AI85" s="1215"/>
      <c r="AJ85" s="1216"/>
      <c r="AK85" s="1216"/>
      <c r="AL85" s="1216"/>
      <c r="AM85" s="1216"/>
      <c r="AN85" s="1216"/>
      <c r="AO85" s="1216"/>
      <c r="AP85" s="1216"/>
      <c r="AQ85" s="1216"/>
      <c r="AR85" s="1216"/>
      <c r="AS85" s="1216"/>
      <c r="AT85" s="1216"/>
      <c r="AU85" s="1120" t="str" cm="1">
        <f t="array" ref="AU85">IF(H85="","",Slookup(MID(X85,1,3)*1,UomConversion!$D$8:$J$500,2,UomConversion!$I$8:$I$500,1,UomConversion!$J$8:$J$500,1))</f>
        <v/>
      </c>
      <c r="AV85" s="401" t="str">
        <f t="shared" si="20"/>
        <v/>
      </c>
      <c r="AW85" s="757" t="str">
        <f t="shared" si="21"/>
        <v/>
      </c>
      <c r="AX85" s="757" t="str">
        <f t="shared" si="22"/>
        <v/>
      </c>
      <c r="AY85" s="757" t="str">
        <f t="shared" si="23"/>
        <v/>
      </c>
      <c r="AZ85" s="1209" cm="1">
        <f t="array" ref="AZ85">IF(Y85="",1,Slookup(MID(X85,1,3)*1,UomConversion!$D$8:$J$500,5,UomConversion!$E$8:$E$500,MID(Y85,1,3)*1,UomConversion!$I$8:$I$500,1))</f>
        <v>1</v>
      </c>
      <c r="BA85" s="1209" cm="1">
        <f t="array" ref="BA85">IF(Z85="",1,Slookup(MID(X85,1,3)*1,UomConversion!$D$8:$J$500,5,UomConversion!$E$8:$E$500,MID(Z85,1,3)*1,UomConversion!$I$8:$I$500,1))</f>
        <v>1</v>
      </c>
      <c r="BB85" s="1217">
        <f t="shared" ref="BB85:BB148" si="25">IF(AA85=1,AE85,IF(AA85=2,AE85*R85,IF(AA85=3,AE85*BA85,0)))</f>
        <v>0</v>
      </c>
      <c r="BC85" s="1217"/>
      <c r="BD85" s="1217"/>
    </row>
    <row r="86" spans="2:57" s="1120" customFormat="1" ht="24.95" customHeight="1">
      <c r="B86" s="445"/>
      <c r="C86" s="843"/>
      <c r="D86" s="843"/>
      <c r="E86" s="843"/>
      <c r="F86" s="1116"/>
      <c r="G86" s="1117"/>
      <c r="H86" s="868"/>
      <c r="I86" s="1118"/>
      <c r="J86" s="1138"/>
      <c r="K86" s="1138"/>
      <c r="L86" s="870"/>
      <c r="M86" s="868"/>
      <c r="N86" s="1118"/>
      <c r="O86" s="1119"/>
      <c r="P86" s="884"/>
      <c r="Q86" s="885"/>
      <c r="R86" s="843"/>
      <c r="S86" s="843"/>
      <c r="T86" s="843"/>
      <c r="U86" s="843"/>
      <c r="V86" s="843"/>
      <c r="W86" s="843"/>
      <c r="X86" s="870"/>
      <c r="Y86" s="843" t="str">
        <f>IF(OR(ISNA(MATCH(MID(X86,1,3)*1,UomConversion!$D$8:$D$500,0)),H86=""),"",IF(AV86="","",AV86))</f>
        <v/>
      </c>
      <c r="Z86" s="843" t="str">
        <f>IF(AND(AU86&gt;0,COUNTIFS(UomConversion!$D$8:$D$500,MID(X86,1,3)*1,UomConversion!$J$8:$J$500,1)&gt;1),TEXT(AU86,"000")&amp;"."&amp;VLOOKUP(AU86,uom_list,5,FALSE),"")</f>
        <v/>
      </c>
      <c r="AA86" s="843">
        <f t="shared" si="18"/>
        <v>0</v>
      </c>
      <c r="AB86" s="843" t="str">
        <f t="shared" si="24"/>
        <v/>
      </c>
      <c r="AC86" s="843">
        <f t="shared" si="19"/>
        <v>2</v>
      </c>
      <c r="AD86" s="1214"/>
      <c r="AE86" s="1214"/>
      <c r="AF86" s="1215"/>
      <c r="AG86" s="1215"/>
      <c r="AH86" s="1215"/>
      <c r="AI86" s="1215"/>
      <c r="AJ86" s="1216"/>
      <c r="AK86" s="1216"/>
      <c r="AL86" s="1216"/>
      <c r="AM86" s="1216"/>
      <c r="AN86" s="1216"/>
      <c r="AO86" s="1216"/>
      <c r="AP86" s="1216"/>
      <c r="AQ86" s="1216"/>
      <c r="AR86" s="1216"/>
      <c r="AS86" s="1216"/>
      <c r="AT86" s="1216"/>
      <c r="AU86" s="1120" t="str" cm="1">
        <f t="array" ref="AU86">IF(H86="","",Slookup(MID(X86,1,3)*1,UomConversion!$D$8:$J$500,2,UomConversion!$I$8:$I$500,1,UomConversion!$J$8:$J$500,1))</f>
        <v/>
      </c>
      <c r="AV86" s="401" t="str">
        <f t="shared" si="20"/>
        <v/>
      </c>
      <c r="AW86" s="757" t="str">
        <f t="shared" si="21"/>
        <v/>
      </c>
      <c r="AX86" s="757" t="str">
        <f t="shared" si="22"/>
        <v/>
      </c>
      <c r="AY86" s="757" t="str">
        <f t="shared" si="23"/>
        <v/>
      </c>
      <c r="AZ86" s="1209" cm="1">
        <f t="array" ref="AZ86">IF(Y86="",1,Slookup(MID(X86,1,3)*1,UomConversion!$D$8:$J$500,5,UomConversion!$E$8:$E$500,MID(Y86,1,3)*1,UomConversion!$I$8:$I$500,1))</f>
        <v>1</v>
      </c>
      <c r="BA86" s="1209" cm="1">
        <f t="array" ref="BA86">IF(Z86="",1,Slookup(MID(X86,1,3)*1,UomConversion!$D$8:$J$500,5,UomConversion!$E$8:$E$500,MID(Z86,1,3)*1,UomConversion!$I$8:$I$500,1))</f>
        <v>1</v>
      </c>
      <c r="BB86" s="1217">
        <f t="shared" si="25"/>
        <v>0</v>
      </c>
      <c r="BC86" s="1217"/>
      <c r="BD86" s="1217"/>
    </row>
    <row r="87" spans="2:57" s="1120" customFormat="1" ht="24.95" customHeight="1">
      <c r="B87" s="445"/>
      <c r="C87" s="843"/>
      <c r="D87" s="843"/>
      <c r="E87" s="843"/>
      <c r="F87" s="1116"/>
      <c r="G87" s="1117"/>
      <c r="H87" s="868"/>
      <c r="I87" s="1118"/>
      <c r="J87" s="1138"/>
      <c r="K87" s="1138"/>
      <c r="L87" s="870"/>
      <c r="M87" s="868"/>
      <c r="N87" s="1118"/>
      <c r="O87" s="1119"/>
      <c r="P87" s="884"/>
      <c r="Q87" s="885"/>
      <c r="R87" s="843"/>
      <c r="S87" s="843"/>
      <c r="T87" s="843"/>
      <c r="U87" s="843"/>
      <c r="V87" s="843"/>
      <c r="W87" s="843"/>
      <c r="X87" s="870"/>
      <c r="Y87" s="843" t="str">
        <f>IF(OR(ISNA(MATCH(MID(X87,1,3)*1,UomConversion!$D$8:$D$500,0)),H87=""),"",IF(AV87="","",AV87))</f>
        <v/>
      </c>
      <c r="Z87" s="843" t="str">
        <f>IF(AND(AU87&gt;0,COUNTIFS(UomConversion!$D$8:$D$500,MID(X87,1,3)*1,UomConversion!$J$8:$J$500,1)&gt;1),TEXT(AU87,"000")&amp;"."&amp;VLOOKUP(AU87,uom_list,5,FALSE),"")</f>
        <v/>
      </c>
      <c r="AA87" s="843">
        <f t="shared" si="18"/>
        <v>0</v>
      </c>
      <c r="AB87" s="843" t="str">
        <f t="shared" si="24"/>
        <v/>
      </c>
      <c r="AC87" s="843">
        <f t="shared" si="19"/>
        <v>2</v>
      </c>
      <c r="AD87" s="1214"/>
      <c r="AE87" s="1214"/>
      <c r="AF87" s="1215"/>
      <c r="AG87" s="1215"/>
      <c r="AH87" s="1215"/>
      <c r="AI87" s="1215"/>
      <c r="AJ87" s="1216"/>
      <c r="AK87" s="1216"/>
      <c r="AL87" s="1216"/>
      <c r="AM87" s="1216"/>
      <c r="AN87" s="1216"/>
      <c r="AO87" s="1216"/>
      <c r="AP87" s="1216"/>
      <c r="AQ87" s="1216"/>
      <c r="AR87" s="1216"/>
      <c r="AS87" s="1216"/>
      <c r="AT87" s="1216"/>
      <c r="AU87" s="1120" t="str" cm="1">
        <f t="array" ref="AU87">IF(H87="","",Slookup(MID(X87,1,3)*1,UomConversion!$D$8:$J$500,2,UomConversion!$I$8:$I$500,1,UomConversion!$J$8:$J$500,1))</f>
        <v/>
      </c>
      <c r="AV87" s="401" t="str">
        <f t="shared" si="20"/>
        <v/>
      </c>
      <c r="AW87" s="757" t="str">
        <f t="shared" si="21"/>
        <v/>
      </c>
      <c r="AX87" s="757" t="str">
        <f t="shared" si="22"/>
        <v/>
      </c>
      <c r="AY87" s="757" t="str">
        <f t="shared" si="23"/>
        <v/>
      </c>
      <c r="AZ87" s="1209" cm="1">
        <f t="array" ref="AZ87">IF(Y87="",1,Slookup(MID(X87,1,3)*1,UomConversion!$D$8:$J$500,5,UomConversion!$E$8:$E$500,MID(Y87,1,3)*1,UomConversion!$I$8:$I$500,1))</f>
        <v>1</v>
      </c>
      <c r="BA87" s="1209" cm="1">
        <f t="array" ref="BA87">IF(Z87="",1,Slookup(MID(X87,1,3)*1,UomConversion!$D$8:$J$500,5,UomConversion!$E$8:$E$500,MID(Z87,1,3)*1,UomConversion!$I$8:$I$500,1))</f>
        <v>1</v>
      </c>
      <c r="BB87" s="1217">
        <f t="shared" si="25"/>
        <v>0</v>
      </c>
      <c r="BC87" s="1217"/>
      <c r="BD87" s="1217"/>
    </row>
    <row r="88" spans="2:57" s="1120" customFormat="1" ht="24.95" customHeight="1">
      <c r="B88" s="445"/>
      <c r="C88" s="843"/>
      <c r="D88" s="843"/>
      <c r="E88" s="843"/>
      <c r="F88" s="1116"/>
      <c r="G88" s="1117"/>
      <c r="H88" s="868"/>
      <c r="I88" s="1118"/>
      <c r="J88" s="1138"/>
      <c r="K88" s="1138"/>
      <c r="L88" s="870"/>
      <c r="M88" s="868"/>
      <c r="N88" s="1118"/>
      <c r="O88" s="1119"/>
      <c r="P88" s="884"/>
      <c r="Q88" s="885"/>
      <c r="R88" s="843"/>
      <c r="S88" s="843"/>
      <c r="T88" s="843"/>
      <c r="U88" s="843"/>
      <c r="V88" s="843"/>
      <c r="W88" s="843"/>
      <c r="X88" s="870"/>
      <c r="Y88" s="843" t="str">
        <f>IF(OR(ISNA(MATCH(MID(X88,1,3)*1,UomConversion!$D$8:$D$500,0)),H88=""),"",IF(AV88="","",AV88))</f>
        <v/>
      </c>
      <c r="Z88" s="843" t="str">
        <f>IF(AND(AU88&gt;0,COUNTIFS(UomConversion!$D$8:$D$500,MID(X88,1,3)*1,UomConversion!$J$8:$J$500,1)&gt;1),TEXT(AU88,"000")&amp;"."&amp;VLOOKUP(AU88,uom_list,5,FALSE),"")</f>
        <v/>
      </c>
      <c r="AA88" s="843">
        <f t="shared" si="18"/>
        <v>0</v>
      </c>
      <c r="AB88" s="843" t="str">
        <f t="shared" si="24"/>
        <v/>
      </c>
      <c r="AC88" s="843">
        <f t="shared" si="19"/>
        <v>2</v>
      </c>
      <c r="AD88" s="1214"/>
      <c r="AE88" s="1214"/>
      <c r="AF88" s="1215"/>
      <c r="AG88" s="1215"/>
      <c r="AH88" s="1215"/>
      <c r="AI88" s="1215"/>
      <c r="AJ88" s="1216"/>
      <c r="AK88" s="1216"/>
      <c r="AL88" s="1216"/>
      <c r="AM88" s="1216"/>
      <c r="AN88" s="1216"/>
      <c r="AO88" s="1216"/>
      <c r="AP88" s="1216"/>
      <c r="AQ88" s="1216"/>
      <c r="AR88" s="1216"/>
      <c r="AS88" s="1216"/>
      <c r="AT88" s="1216"/>
      <c r="AU88" s="1120" t="str" cm="1">
        <f t="array" ref="AU88">IF(H88="","",Slookup(MID(X88,1,3)*1,UomConversion!$D$8:$J$500,2,UomConversion!$I$8:$I$500,1,UomConversion!$J$8:$J$500,1))</f>
        <v/>
      </c>
      <c r="AV88" s="401" t="str">
        <f t="shared" si="20"/>
        <v/>
      </c>
      <c r="AW88" s="757" t="str">
        <f t="shared" si="21"/>
        <v/>
      </c>
      <c r="AX88" s="757" t="str">
        <f t="shared" si="22"/>
        <v/>
      </c>
      <c r="AY88" s="757" t="str">
        <f t="shared" si="23"/>
        <v/>
      </c>
      <c r="AZ88" s="1209" cm="1">
        <f t="array" ref="AZ88">IF(Y88="",1,Slookup(MID(X88,1,3)*1,UomConversion!$D$8:$J$500,5,UomConversion!$E$8:$E$500,MID(Y88,1,3)*1,UomConversion!$I$8:$I$500,1))</f>
        <v>1</v>
      </c>
      <c r="BA88" s="1209" cm="1">
        <f t="array" ref="BA88">IF(Z88="",1,Slookup(MID(X88,1,3)*1,UomConversion!$D$8:$J$500,5,UomConversion!$E$8:$E$500,MID(Z88,1,3)*1,UomConversion!$I$8:$I$500,1))</f>
        <v>1</v>
      </c>
      <c r="BB88" s="1217">
        <f t="shared" si="25"/>
        <v>0</v>
      </c>
      <c r="BC88" s="1217"/>
      <c r="BD88" s="1217"/>
    </row>
    <row r="89" spans="2:57" s="1120" customFormat="1" ht="24.95" customHeight="1">
      <c r="B89" s="445"/>
      <c r="C89" s="843"/>
      <c r="D89" s="843"/>
      <c r="E89" s="843"/>
      <c r="F89" s="1116"/>
      <c r="G89" s="1117"/>
      <c r="H89" s="868"/>
      <c r="I89" s="1118"/>
      <c r="J89" s="1138"/>
      <c r="K89" s="1138"/>
      <c r="L89" s="870"/>
      <c r="M89" s="868"/>
      <c r="N89" s="1118"/>
      <c r="O89" s="1119"/>
      <c r="P89" s="884"/>
      <c r="Q89" s="885"/>
      <c r="R89" s="843"/>
      <c r="S89" s="843"/>
      <c r="T89" s="843"/>
      <c r="U89" s="843"/>
      <c r="V89" s="843"/>
      <c r="W89" s="843"/>
      <c r="X89" s="870"/>
      <c r="Y89" s="843" t="str">
        <f>IF(OR(ISNA(MATCH(MID(X89,1,3)*1,UomConversion!$D$8:$D$500,0)),H89=""),"",IF(AV89="","",AV89))</f>
        <v/>
      </c>
      <c r="Z89" s="843" t="str">
        <f>IF(AND(AU89&gt;0,COUNTIFS(UomConversion!$D$8:$D$500,MID(X89,1,3)*1,UomConversion!$J$8:$J$500,1)&gt;1),TEXT(AU89,"000")&amp;"."&amp;VLOOKUP(AU89,uom_list,5,FALSE),"")</f>
        <v/>
      </c>
      <c r="AA89" s="843">
        <f t="shared" si="18"/>
        <v>0</v>
      </c>
      <c r="AB89" s="843" t="str">
        <f t="shared" si="24"/>
        <v/>
      </c>
      <c r="AC89" s="843">
        <f t="shared" si="19"/>
        <v>2</v>
      </c>
      <c r="AD89" s="1214"/>
      <c r="AE89" s="1214"/>
      <c r="AF89" s="1215"/>
      <c r="AG89" s="1215"/>
      <c r="AH89" s="1215"/>
      <c r="AI89" s="1215"/>
      <c r="AJ89" s="1216"/>
      <c r="AK89" s="1216"/>
      <c r="AL89" s="1216"/>
      <c r="AM89" s="1216"/>
      <c r="AN89" s="1216"/>
      <c r="AO89" s="1216"/>
      <c r="AP89" s="1216"/>
      <c r="AQ89" s="1216"/>
      <c r="AR89" s="1216"/>
      <c r="AS89" s="1216"/>
      <c r="AT89" s="1216"/>
      <c r="AU89" s="1120" t="str" cm="1">
        <f t="array" ref="AU89">IF(H89="","",Slookup(MID(X89,1,3)*1,UomConversion!$D$8:$J$500,2,UomConversion!$I$8:$I$500,1,UomConversion!$J$8:$J$500,1))</f>
        <v/>
      </c>
      <c r="AV89" s="401" t="str">
        <f t="shared" si="20"/>
        <v/>
      </c>
      <c r="AW89" s="757" t="str">
        <f t="shared" si="21"/>
        <v/>
      </c>
      <c r="AX89" s="757" t="str">
        <f t="shared" si="22"/>
        <v/>
      </c>
      <c r="AY89" s="757" t="str">
        <f t="shared" si="23"/>
        <v/>
      </c>
      <c r="AZ89" s="1209" cm="1">
        <f t="array" ref="AZ89">IF(Y89="",1,Slookup(MID(X89,1,3)*1,UomConversion!$D$8:$J$500,5,UomConversion!$E$8:$E$500,MID(Y89,1,3)*1,UomConversion!$I$8:$I$500,1))</f>
        <v>1</v>
      </c>
      <c r="BA89" s="1209" cm="1">
        <f t="array" ref="BA89">IF(Z89="",1,Slookup(MID(X89,1,3)*1,UomConversion!$D$8:$J$500,5,UomConversion!$E$8:$E$500,MID(Z89,1,3)*1,UomConversion!$I$8:$I$500,1))</f>
        <v>1</v>
      </c>
      <c r="BB89" s="1217">
        <f t="shared" si="25"/>
        <v>0</v>
      </c>
      <c r="BC89" s="1217"/>
      <c r="BD89" s="1217"/>
    </row>
    <row r="90" spans="2:57" s="1120" customFormat="1" ht="24.95" customHeight="1">
      <c r="B90" s="445"/>
      <c r="C90" s="843"/>
      <c r="D90" s="843"/>
      <c r="E90" s="843"/>
      <c r="F90" s="1116"/>
      <c r="G90" s="1117"/>
      <c r="H90" s="868"/>
      <c r="I90" s="1118"/>
      <c r="J90" s="1138"/>
      <c r="K90" s="1138"/>
      <c r="L90" s="870"/>
      <c r="M90" s="868"/>
      <c r="N90" s="1118"/>
      <c r="O90" s="1119"/>
      <c r="P90" s="884"/>
      <c r="Q90" s="885"/>
      <c r="R90" s="843"/>
      <c r="S90" s="843"/>
      <c r="T90" s="843"/>
      <c r="U90" s="843"/>
      <c r="V90" s="843"/>
      <c r="W90" s="843"/>
      <c r="X90" s="870"/>
      <c r="Y90" s="843" t="str">
        <f>IF(OR(ISNA(MATCH(MID(X90,1,3)*1,UomConversion!$D$8:$D$500,0)),H90=""),"",IF(AV90="","",AV90))</f>
        <v/>
      </c>
      <c r="Z90" s="843" t="str">
        <f>IF(AND(AU90&gt;0,COUNTIFS(UomConversion!$D$8:$D$500,MID(X90,1,3)*1,UomConversion!$J$8:$J$500,1)&gt;1),TEXT(AU90,"000")&amp;"."&amp;VLOOKUP(AU90,uom_list,5,FALSE),"")</f>
        <v/>
      </c>
      <c r="AA90" s="843">
        <f t="shared" si="18"/>
        <v>0</v>
      </c>
      <c r="AB90" s="843" t="str">
        <f t="shared" si="24"/>
        <v/>
      </c>
      <c r="AC90" s="843">
        <f t="shared" si="19"/>
        <v>2</v>
      </c>
      <c r="AD90" s="1214"/>
      <c r="AE90" s="1214"/>
      <c r="AF90" s="1215"/>
      <c r="AG90" s="1215"/>
      <c r="AH90" s="1215"/>
      <c r="AI90" s="1215"/>
      <c r="AJ90" s="1216"/>
      <c r="AK90" s="1216"/>
      <c r="AL90" s="1216"/>
      <c r="AM90" s="1216"/>
      <c r="AN90" s="1216"/>
      <c r="AO90" s="1216"/>
      <c r="AP90" s="1216"/>
      <c r="AQ90" s="1216"/>
      <c r="AR90" s="1216"/>
      <c r="AS90" s="1216"/>
      <c r="AT90" s="1216"/>
      <c r="AU90" s="1120" t="str" cm="1">
        <f t="array" ref="AU90">IF(H90="","",Slookup(MID(X90,1,3)*1,UomConversion!$D$8:$J$500,2,UomConversion!$I$8:$I$500,1,UomConversion!$J$8:$J$500,1))</f>
        <v/>
      </c>
      <c r="AV90" s="401" t="str">
        <f t="shared" si="20"/>
        <v/>
      </c>
      <c r="AW90" s="757" t="str">
        <f t="shared" si="21"/>
        <v/>
      </c>
      <c r="AX90" s="757" t="str">
        <f t="shared" si="22"/>
        <v/>
      </c>
      <c r="AY90" s="757" t="str">
        <f t="shared" si="23"/>
        <v/>
      </c>
      <c r="AZ90" s="1209" cm="1">
        <f t="array" ref="AZ90">IF(Y90="",1,Slookup(MID(X90,1,3)*1,UomConversion!$D$8:$J$500,5,UomConversion!$E$8:$E$500,MID(Y90,1,3)*1,UomConversion!$I$8:$I$500,1))</f>
        <v>1</v>
      </c>
      <c r="BA90" s="1209" cm="1">
        <f t="array" ref="BA90">IF(Z90="",1,Slookup(MID(X90,1,3)*1,UomConversion!$D$8:$J$500,5,UomConversion!$E$8:$E$500,MID(Z90,1,3)*1,UomConversion!$I$8:$I$500,1))</f>
        <v>1</v>
      </c>
      <c r="BB90" s="1217">
        <f t="shared" si="25"/>
        <v>0</v>
      </c>
      <c r="BC90" s="1217"/>
      <c r="BD90" s="1217"/>
    </row>
    <row r="91" spans="2:57" s="1120" customFormat="1" ht="24.95" customHeight="1">
      <c r="B91" s="445"/>
      <c r="C91" s="843"/>
      <c r="D91" s="843"/>
      <c r="E91" s="843"/>
      <c r="F91" s="1116"/>
      <c r="G91" s="1117"/>
      <c r="H91" s="868"/>
      <c r="I91" s="1118"/>
      <c r="J91" s="1138"/>
      <c r="K91" s="1138"/>
      <c r="L91" s="870"/>
      <c r="M91" s="868"/>
      <c r="N91" s="1118"/>
      <c r="O91" s="1119"/>
      <c r="P91" s="884"/>
      <c r="Q91" s="885"/>
      <c r="R91" s="843"/>
      <c r="S91" s="843"/>
      <c r="T91" s="843"/>
      <c r="U91" s="843"/>
      <c r="V91" s="843"/>
      <c r="W91" s="843"/>
      <c r="X91" s="870"/>
      <c r="Y91" s="843" t="str">
        <f>IF(OR(ISNA(MATCH(MID(X91,1,3)*1,UomConversion!$D$8:$D$500,0)),H91=""),"",IF(AV91="","",AV91))</f>
        <v/>
      </c>
      <c r="Z91" s="843" t="str">
        <f>IF(AND(AU91&gt;0,COUNTIFS(UomConversion!$D$8:$D$500,MID(X91,1,3)*1,UomConversion!$J$8:$J$500,1)&gt;1),TEXT(AU91,"000")&amp;"."&amp;VLOOKUP(AU91,uom_list,5,FALSE),"")</f>
        <v/>
      </c>
      <c r="AA91" s="843">
        <f t="shared" si="18"/>
        <v>0</v>
      </c>
      <c r="AB91" s="843" t="str">
        <f t="shared" si="24"/>
        <v/>
      </c>
      <c r="AC91" s="843">
        <f t="shared" si="19"/>
        <v>2</v>
      </c>
      <c r="AD91" s="1214"/>
      <c r="AE91" s="1214"/>
      <c r="AF91" s="1215"/>
      <c r="AG91" s="1215"/>
      <c r="AH91" s="1215"/>
      <c r="AI91" s="1215"/>
      <c r="AJ91" s="1216"/>
      <c r="AK91" s="1216"/>
      <c r="AL91" s="1216"/>
      <c r="AM91" s="1216"/>
      <c r="AN91" s="1216"/>
      <c r="AO91" s="1216"/>
      <c r="AP91" s="1216"/>
      <c r="AQ91" s="1216"/>
      <c r="AR91" s="1216"/>
      <c r="AS91" s="1216"/>
      <c r="AT91" s="1216"/>
      <c r="AU91" s="1120" t="str" cm="1">
        <f t="array" ref="AU91">IF(H91="","",Slookup(MID(X91,1,3)*1,UomConversion!$D$8:$J$500,2,UomConversion!$I$8:$I$500,1,UomConversion!$J$8:$J$500,1))</f>
        <v/>
      </c>
      <c r="AV91" s="401" t="str">
        <f t="shared" si="20"/>
        <v/>
      </c>
      <c r="AW91" s="757" t="str">
        <f t="shared" si="21"/>
        <v/>
      </c>
      <c r="AX91" s="757" t="str">
        <f t="shared" si="22"/>
        <v/>
      </c>
      <c r="AY91" s="757" t="str">
        <f t="shared" si="23"/>
        <v/>
      </c>
      <c r="AZ91" s="1209" cm="1">
        <f t="array" ref="AZ91">IF(Y91="",1,Slookup(MID(X91,1,3)*1,UomConversion!$D$8:$J$500,5,UomConversion!$E$8:$E$500,MID(Y91,1,3)*1,UomConversion!$I$8:$I$500,1))</f>
        <v>1</v>
      </c>
      <c r="BA91" s="1209" cm="1">
        <f t="array" ref="BA91">IF(Z91="",1,Slookup(MID(X91,1,3)*1,UomConversion!$D$8:$J$500,5,UomConversion!$E$8:$E$500,MID(Z91,1,3)*1,UomConversion!$I$8:$I$500,1))</f>
        <v>1</v>
      </c>
      <c r="BB91" s="1217">
        <f t="shared" si="25"/>
        <v>0</v>
      </c>
      <c r="BC91" s="1217"/>
      <c r="BD91" s="1217"/>
    </row>
    <row r="92" spans="2:57" s="1120" customFormat="1" ht="24.95" customHeight="1">
      <c r="B92" s="445"/>
      <c r="C92" s="843"/>
      <c r="D92" s="843"/>
      <c r="E92" s="843"/>
      <c r="F92" s="1116"/>
      <c r="G92" s="1117"/>
      <c r="H92" s="868"/>
      <c r="I92" s="1118"/>
      <c r="J92" s="1138"/>
      <c r="K92" s="1138"/>
      <c r="L92" s="870"/>
      <c r="M92" s="868"/>
      <c r="N92" s="1118"/>
      <c r="O92" s="1119"/>
      <c r="P92" s="884"/>
      <c r="Q92" s="885"/>
      <c r="R92" s="843"/>
      <c r="S92" s="843"/>
      <c r="T92" s="843"/>
      <c r="U92" s="843"/>
      <c r="V92" s="843"/>
      <c r="W92" s="843"/>
      <c r="X92" s="870"/>
      <c r="Y92" s="843" t="str">
        <f>IF(OR(ISNA(MATCH(MID(X92,1,3)*1,UomConversion!$D$8:$D$500,0)),H92=""),"",IF(AV92="","",AV92))</f>
        <v/>
      </c>
      <c r="Z92" s="843" t="str">
        <f>IF(AND(AU92&gt;0,COUNTIFS(UomConversion!$D$8:$D$500,MID(X92,1,3)*1,UomConversion!$J$8:$J$500,1)&gt;1),TEXT(AU92,"000")&amp;"."&amp;VLOOKUP(AU92,uom_list,5,FALSE),"")</f>
        <v/>
      </c>
      <c r="AA92" s="843">
        <f t="shared" si="18"/>
        <v>0</v>
      </c>
      <c r="AB92" s="843" t="str">
        <f t="shared" si="24"/>
        <v/>
      </c>
      <c r="AC92" s="843">
        <f t="shared" si="19"/>
        <v>2</v>
      </c>
      <c r="AD92" s="1214"/>
      <c r="AE92" s="1214"/>
      <c r="AF92" s="1215"/>
      <c r="AG92" s="1215"/>
      <c r="AH92" s="1215"/>
      <c r="AI92" s="1215"/>
      <c r="AJ92" s="1216"/>
      <c r="AK92" s="1216"/>
      <c r="AL92" s="1216"/>
      <c r="AM92" s="1216"/>
      <c r="AN92" s="1216"/>
      <c r="AO92" s="1216"/>
      <c r="AP92" s="1216"/>
      <c r="AQ92" s="1216"/>
      <c r="AR92" s="1216"/>
      <c r="AS92" s="1216"/>
      <c r="AT92" s="1216"/>
      <c r="AU92" s="1120" t="str" cm="1">
        <f t="array" ref="AU92">IF(H92="","",Slookup(MID(X92,1,3)*1,UomConversion!$D$8:$J$500,2,UomConversion!$I$8:$I$500,1,UomConversion!$J$8:$J$500,1))</f>
        <v/>
      </c>
      <c r="AV92" s="401" t="str">
        <f t="shared" si="20"/>
        <v/>
      </c>
      <c r="AW92" s="757" t="str">
        <f t="shared" si="21"/>
        <v/>
      </c>
      <c r="AX92" s="757" t="str">
        <f t="shared" si="22"/>
        <v/>
      </c>
      <c r="AY92" s="757" t="str">
        <f t="shared" si="23"/>
        <v/>
      </c>
      <c r="AZ92" s="1209" cm="1">
        <f t="array" ref="AZ92">IF(Y92="",1,Slookup(MID(X92,1,3)*1,UomConversion!$D$8:$J$500,5,UomConversion!$E$8:$E$500,MID(Y92,1,3)*1,UomConversion!$I$8:$I$500,1))</f>
        <v>1</v>
      </c>
      <c r="BA92" s="1209" cm="1">
        <f t="array" ref="BA92">IF(Z92="",1,Slookup(MID(X92,1,3)*1,UomConversion!$D$8:$J$500,5,UomConversion!$E$8:$E$500,MID(Z92,1,3)*1,UomConversion!$I$8:$I$500,1))</f>
        <v>1</v>
      </c>
      <c r="BB92" s="1217">
        <f t="shared" si="25"/>
        <v>0</v>
      </c>
      <c r="BC92" s="1217"/>
      <c r="BD92" s="1217"/>
    </row>
    <row r="93" spans="2:57" s="1120" customFormat="1" ht="24.95" customHeight="1">
      <c r="B93" s="445"/>
      <c r="C93" s="843"/>
      <c r="D93" s="843"/>
      <c r="E93" s="843"/>
      <c r="F93" s="1116"/>
      <c r="G93" s="1117"/>
      <c r="H93" s="868"/>
      <c r="I93" s="1118"/>
      <c r="J93" s="1138"/>
      <c r="K93" s="1138"/>
      <c r="L93" s="870"/>
      <c r="M93" s="868"/>
      <c r="N93" s="1118"/>
      <c r="O93" s="1119"/>
      <c r="P93" s="884"/>
      <c r="Q93" s="885"/>
      <c r="R93" s="843"/>
      <c r="S93" s="843"/>
      <c r="T93" s="843"/>
      <c r="U93" s="843"/>
      <c r="V93" s="843"/>
      <c r="W93" s="843"/>
      <c r="X93" s="870"/>
      <c r="Y93" s="843" t="str">
        <f>IF(OR(ISNA(MATCH(MID(X93,1,3)*1,UomConversion!$D$8:$D$500,0)),H93=""),"",IF(AV93="","",AV93))</f>
        <v/>
      </c>
      <c r="Z93" s="843" t="str">
        <f>IF(AND(AU93&gt;0,COUNTIFS(UomConversion!$D$8:$D$500,MID(X93,1,3)*1,UomConversion!$J$8:$J$500,1)&gt;1),TEXT(AU93,"000")&amp;"."&amp;VLOOKUP(AU93,uom_list,5,FALSE),"")</f>
        <v/>
      </c>
      <c r="AA93" s="843">
        <f t="shared" si="18"/>
        <v>0</v>
      </c>
      <c r="AB93" s="843" t="str">
        <f t="shared" si="24"/>
        <v/>
      </c>
      <c r="AC93" s="843">
        <f t="shared" si="19"/>
        <v>2</v>
      </c>
      <c r="AD93" s="1214"/>
      <c r="AE93" s="1214"/>
      <c r="AF93" s="1215"/>
      <c r="AG93" s="1215"/>
      <c r="AH93" s="1215"/>
      <c r="AI93" s="1215"/>
      <c r="AJ93" s="1216"/>
      <c r="AK93" s="1216"/>
      <c r="AL93" s="1216"/>
      <c r="AM93" s="1216"/>
      <c r="AN93" s="1216"/>
      <c r="AO93" s="1216"/>
      <c r="AP93" s="1216"/>
      <c r="AQ93" s="1216"/>
      <c r="AR93" s="1216"/>
      <c r="AS93" s="1216"/>
      <c r="AT93" s="1216"/>
      <c r="AU93" s="1120" t="str" cm="1">
        <f t="array" ref="AU93">IF(H93="","",Slookup(MID(X93,1,3)*1,UomConversion!$D$8:$J$500,2,UomConversion!$I$8:$I$500,1,UomConversion!$J$8:$J$500,1))</f>
        <v/>
      </c>
      <c r="AV93" s="401" t="str">
        <f t="shared" si="20"/>
        <v/>
      </c>
      <c r="AW93" s="757" t="str">
        <f t="shared" si="21"/>
        <v/>
      </c>
      <c r="AX93" s="757" t="str">
        <f t="shared" si="22"/>
        <v/>
      </c>
      <c r="AY93" s="757" t="str">
        <f t="shared" si="23"/>
        <v/>
      </c>
      <c r="AZ93" s="1209" cm="1">
        <f t="array" ref="AZ93">IF(Y93="",1,Slookup(MID(X93,1,3)*1,UomConversion!$D$8:$J$500,5,UomConversion!$E$8:$E$500,MID(Y93,1,3)*1,UomConversion!$I$8:$I$500,1))</f>
        <v>1</v>
      </c>
      <c r="BA93" s="1209" cm="1">
        <f t="array" ref="BA93">IF(Z93="",1,Slookup(MID(X93,1,3)*1,UomConversion!$D$8:$J$500,5,UomConversion!$E$8:$E$500,MID(Z93,1,3)*1,UomConversion!$I$8:$I$500,1))</f>
        <v>1</v>
      </c>
      <c r="BB93" s="1217">
        <f t="shared" si="25"/>
        <v>0</v>
      </c>
      <c r="BC93" s="1217"/>
      <c r="BD93" s="1217"/>
    </row>
    <row r="94" spans="2:57" s="1120" customFormat="1" ht="24.95" customHeight="1">
      <c r="B94" s="445"/>
      <c r="C94" s="843"/>
      <c r="D94" s="843"/>
      <c r="E94" s="843"/>
      <c r="F94" s="1116"/>
      <c r="G94" s="1117"/>
      <c r="H94" s="868"/>
      <c r="I94" s="1118"/>
      <c r="J94" s="1138"/>
      <c r="K94" s="1138"/>
      <c r="L94" s="870"/>
      <c r="M94" s="868"/>
      <c r="N94" s="1118"/>
      <c r="O94" s="1119"/>
      <c r="P94" s="884"/>
      <c r="Q94" s="885"/>
      <c r="R94" s="843"/>
      <c r="S94" s="843"/>
      <c r="T94" s="843"/>
      <c r="U94" s="843"/>
      <c r="V94" s="843"/>
      <c r="W94" s="843"/>
      <c r="X94" s="870"/>
      <c r="Y94" s="843" t="str">
        <f>IF(OR(ISNA(MATCH(MID(X94,1,3)*1,UomConversion!$D$8:$D$500,0)),H94=""),"",IF(AV94="","",AV94))</f>
        <v/>
      </c>
      <c r="Z94" s="843" t="str">
        <f>IF(AND(AU94&gt;0,COUNTIFS(UomConversion!$D$8:$D$500,MID(X94,1,3)*1,UomConversion!$J$8:$J$500,1)&gt;1),TEXT(AU94,"000")&amp;"."&amp;VLOOKUP(AU94,uom_list,5,FALSE),"")</f>
        <v/>
      </c>
      <c r="AA94" s="843">
        <f t="shared" si="18"/>
        <v>0</v>
      </c>
      <c r="AB94" s="843" t="str">
        <f t="shared" si="24"/>
        <v/>
      </c>
      <c r="AC94" s="843">
        <f t="shared" si="19"/>
        <v>2</v>
      </c>
      <c r="AD94" s="1214"/>
      <c r="AE94" s="1214"/>
      <c r="AF94" s="1215"/>
      <c r="AG94" s="1215"/>
      <c r="AH94" s="1215"/>
      <c r="AI94" s="1215"/>
      <c r="AJ94" s="1216"/>
      <c r="AK94" s="1216"/>
      <c r="AL94" s="1216"/>
      <c r="AM94" s="1216"/>
      <c r="AN94" s="1216"/>
      <c r="AO94" s="1216"/>
      <c r="AP94" s="1216"/>
      <c r="AQ94" s="1216"/>
      <c r="AR94" s="1216"/>
      <c r="AS94" s="1216"/>
      <c r="AT94" s="1216"/>
      <c r="AU94" s="1120" t="str" cm="1">
        <f t="array" ref="AU94">IF(H94="","",Slookup(MID(X94,1,3)*1,UomConversion!$D$8:$J$500,2,UomConversion!$I$8:$I$500,1,UomConversion!$J$8:$J$500,1))</f>
        <v/>
      </c>
      <c r="AV94" s="401" t="str">
        <f t="shared" si="20"/>
        <v/>
      </c>
      <c r="AW94" s="757" t="str">
        <f t="shared" si="21"/>
        <v/>
      </c>
      <c r="AX94" s="757" t="str">
        <f t="shared" si="22"/>
        <v/>
      </c>
      <c r="AY94" s="757" t="str">
        <f t="shared" si="23"/>
        <v/>
      </c>
      <c r="AZ94" s="1209" cm="1">
        <f t="array" ref="AZ94">IF(Y94="",1,Slookup(MID(X94,1,3)*1,UomConversion!$D$8:$J$500,5,UomConversion!$E$8:$E$500,MID(Y94,1,3)*1,UomConversion!$I$8:$I$500,1))</f>
        <v>1</v>
      </c>
      <c r="BA94" s="1209" cm="1">
        <f t="array" ref="BA94">IF(Z94="",1,Slookup(MID(X94,1,3)*1,UomConversion!$D$8:$J$500,5,UomConversion!$E$8:$E$500,MID(Z94,1,3)*1,UomConversion!$I$8:$I$500,1))</f>
        <v>1</v>
      </c>
      <c r="BB94" s="1217">
        <f t="shared" si="25"/>
        <v>0</v>
      </c>
      <c r="BC94" s="1217"/>
      <c r="BD94" s="1217"/>
    </row>
    <row r="95" spans="2:57" s="1120" customFormat="1" ht="24.95" customHeight="1">
      <c r="B95" s="445"/>
      <c r="C95" s="843"/>
      <c r="D95" s="843"/>
      <c r="E95" s="843"/>
      <c r="F95" s="1116"/>
      <c r="G95" s="1117"/>
      <c r="H95" s="868"/>
      <c r="I95" s="1118"/>
      <c r="J95" s="1138"/>
      <c r="K95" s="1138"/>
      <c r="L95" s="870"/>
      <c r="M95" s="868"/>
      <c r="N95" s="1118"/>
      <c r="O95" s="1119"/>
      <c r="P95" s="884"/>
      <c r="Q95" s="885"/>
      <c r="R95" s="843"/>
      <c r="S95" s="843"/>
      <c r="T95" s="843"/>
      <c r="U95" s="843"/>
      <c r="V95" s="843"/>
      <c r="W95" s="843"/>
      <c r="X95" s="870"/>
      <c r="Y95" s="843" t="str">
        <f>IF(OR(ISNA(MATCH(MID(X95,1,3)*1,UomConversion!$D$8:$D$500,0)),H95=""),"",IF(AV95="","",AV95))</f>
        <v/>
      </c>
      <c r="Z95" s="843" t="str">
        <f>IF(AND(AU95&gt;0,COUNTIFS(UomConversion!$D$8:$D$500,MID(X95,1,3)*1,UomConversion!$J$8:$J$500,1)&gt;1),TEXT(AU95,"000")&amp;"."&amp;VLOOKUP(AU95,uom_list,5,FALSE),"")</f>
        <v/>
      </c>
      <c r="AA95" s="843">
        <f t="shared" si="18"/>
        <v>0</v>
      </c>
      <c r="AB95" s="843" t="str">
        <f t="shared" si="24"/>
        <v/>
      </c>
      <c r="AC95" s="843">
        <f t="shared" si="19"/>
        <v>2</v>
      </c>
      <c r="AD95" s="1214"/>
      <c r="AE95" s="1214"/>
      <c r="AF95" s="1215"/>
      <c r="AG95" s="1215"/>
      <c r="AH95" s="1215"/>
      <c r="AI95" s="1215"/>
      <c r="AJ95" s="1216"/>
      <c r="AK95" s="1216"/>
      <c r="AL95" s="1216"/>
      <c r="AM95" s="1216"/>
      <c r="AN95" s="1216"/>
      <c r="AO95" s="1216"/>
      <c r="AP95" s="1216"/>
      <c r="AQ95" s="1216"/>
      <c r="AR95" s="1216"/>
      <c r="AS95" s="1216"/>
      <c r="AT95" s="1216"/>
      <c r="AU95" s="1120" t="str" cm="1">
        <f t="array" ref="AU95">IF(H95="","",Slookup(MID(X95,1,3)*1,UomConversion!$D$8:$J$500,2,UomConversion!$I$8:$I$500,1,UomConversion!$J$8:$J$500,1))</f>
        <v/>
      </c>
      <c r="AV95" s="401" t="str">
        <f t="shared" si="20"/>
        <v/>
      </c>
      <c r="AW95" s="757" t="str">
        <f t="shared" si="21"/>
        <v/>
      </c>
      <c r="AX95" s="757" t="str">
        <f t="shared" si="22"/>
        <v/>
      </c>
      <c r="AY95" s="757" t="str">
        <f t="shared" si="23"/>
        <v/>
      </c>
      <c r="AZ95" s="1209" cm="1">
        <f t="array" ref="AZ95">IF(Y95="",1,Slookup(MID(X95,1,3)*1,UomConversion!$D$8:$J$500,5,UomConversion!$E$8:$E$500,MID(Y95,1,3)*1,UomConversion!$I$8:$I$500,1))</f>
        <v>1</v>
      </c>
      <c r="BA95" s="1209" cm="1">
        <f t="array" ref="BA95">IF(Z95="",1,Slookup(MID(X95,1,3)*1,UomConversion!$D$8:$J$500,5,UomConversion!$E$8:$E$500,MID(Z95,1,3)*1,UomConversion!$I$8:$I$500,1))</f>
        <v>1</v>
      </c>
      <c r="BB95" s="1217">
        <f t="shared" si="25"/>
        <v>0</v>
      </c>
      <c r="BC95" s="1217"/>
      <c r="BD95" s="1217"/>
    </row>
    <row r="96" spans="2:57" s="1120" customFormat="1" ht="24.95" customHeight="1">
      <c r="B96" s="445"/>
      <c r="C96" s="843"/>
      <c r="D96" s="843"/>
      <c r="E96" s="843"/>
      <c r="F96" s="1116"/>
      <c r="G96" s="1117"/>
      <c r="H96" s="868"/>
      <c r="I96" s="1118"/>
      <c r="J96" s="1138"/>
      <c r="K96" s="1138"/>
      <c r="L96" s="870"/>
      <c r="M96" s="868"/>
      <c r="N96" s="1118"/>
      <c r="O96" s="1119"/>
      <c r="P96" s="884"/>
      <c r="Q96" s="885"/>
      <c r="R96" s="843"/>
      <c r="S96" s="843"/>
      <c r="T96" s="843"/>
      <c r="U96" s="843"/>
      <c r="V96" s="843"/>
      <c r="W96" s="843"/>
      <c r="X96" s="870"/>
      <c r="Y96" s="843" t="str">
        <f>IF(OR(ISNA(MATCH(MID(X96,1,3)*1,UomConversion!$D$8:$D$500,0)),H96=""),"",IF(AV96="","",AV96))</f>
        <v/>
      </c>
      <c r="Z96" s="843" t="str">
        <f>IF(AND(AU96&gt;0,COUNTIFS(UomConversion!$D$8:$D$500,MID(X96,1,3)*1,UomConversion!$J$8:$J$500,1)&gt;1),TEXT(AU96,"000")&amp;"."&amp;VLOOKUP(AU96,uom_list,5,FALSE),"")</f>
        <v/>
      </c>
      <c r="AA96" s="843">
        <f t="shared" si="18"/>
        <v>0</v>
      </c>
      <c r="AB96" s="843" t="str">
        <f t="shared" si="24"/>
        <v/>
      </c>
      <c r="AC96" s="843">
        <f t="shared" si="19"/>
        <v>2</v>
      </c>
      <c r="AD96" s="1219"/>
      <c r="AE96" s="1219"/>
      <c r="AF96" s="1215"/>
      <c r="AG96" s="1215"/>
      <c r="AH96" s="1215"/>
      <c r="AI96" s="1215"/>
      <c r="AJ96" s="1216"/>
      <c r="AK96" s="1216"/>
      <c r="AL96" s="1216"/>
      <c r="AM96" s="1216"/>
      <c r="AN96" s="1216"/>
      <c r="AO96" s="1216"/>
      <c r="AP96" s="1216"/>
      <c r="AQ96" s="1216"/>
      <c r="AR96" s="1216"/>
      <c r="AS96" s="1216"/>
      <c r="AT96" s="1216"/>
      <c r="AU96" s="1120" t="str" cm="1">
        <f t="array" ref="AU96">IF(H96="","",Slookup(MID(X96,1,3)*1,UomConversion!$D$8:$J$500,2,UomConversion!$I$8:$I$500,1,UomConversion!$J$8:$J$500,1))</f>
        <v/>
      </c>
      <c r="AV96" s="401" t="str">
        <f t="shared" si="20"/>
        <v/>
      </c>
      <c r="AW96" s="757" t="str">
        <f t="shared" si="21"/>
        <v/>
      </c>
      <c r="AX96" s="757" t="str">
        <f t="shared" si="22"/>
        <v/>
      </c>
      <c r="AY96" s="757" t="str">
        <f t="shared" si="23"/>
        <v/>
      </c>
      <c r="AZ96" s="1209" cm="1">
        <f t="array" ref="AZ96">IF(Y96="",1,Slookup(MID(X96,1,3)*1,UomConversion!$D$8:$J$500,5,UomConversion!$E$8:$E$500,MID(Y96,1,3)*1,UomConversion!$I$8:$I$500,1))</f>
        <v>1</v>
      </c>
      <c r="BA96" s="1209" cm="1">
        <f t="array" ref="BA96">IF(Z96="",1,Slookup(MID(X96,1,3)*1,UomConversion!$D$8:$J$500,5,UomConversion!$E$8:$E$500,MID(Z96,1,3)*1,UomConversion!$I$8:$I$500,1))</f>
        <v>1</v>
      </c>
      <c r="BB96" s="1217">
        <f t="shared" si="25"/>
        <v>0</v>
      </c>
      <c r="BC96" s="1217"/>
      <c r="BD96" s="1217"/>
      <c r="BE96" s="1220"/>
    </row>
    <row r="97" spans="2:56" s="1120" customFormat="1" ht="24.95" customHeight="1">
      <c r="B97" s="445"/>
      <c r="C97" s="843"/>
      <c r="D97" s="843"/>
      <c r="E97" s="843"/>
      <c r="F97" s="1116"/>
      <c r="G97" s="1117"/>
      <c r="H97" s="868"/>
      <c r="I97" s="1118"/>
      <c r="J97" s="1138"/>
      <c r="K97" s="1138"/>
      <c r="L97" s="870"/>
      <c r="M97" s="868"/>
      <c r="N97" s="1118"/>
      <c r="O97" s="1119"/>
      <c r="P97" s="884"/>
      <c r="Q97" s="885"/>
      <c r="R97" s="843"/>
      <c r="S97" s="843"/>
      <c r="T97" s="843"/>
      <c r="U97" s="843"/>
      <c r="V97" s="843"/>
      <c r="W97" s="843"/>
      <c r="X97" s="870"/>
      <c r="Y97" s="843" t="str">
        <f>IF(OR(ISNA(MATCH(MID(X97,1,3)*1,UomConversion!$D$8:$D$500,0)),H97=""),"",IF(AV97="","",AV97))</f>
        <v/>
      </c>
      <c r="Z97" s="843" t="str">
        <f>IF(AND(AU97&gt;0,COUNTIFS(UomConversion!$D$8:$D$500,MID(X97,1,3)*1,UomConversion!$J$8:$J$500,1)&gt;1),TEXT(AU97,"000")&amp;"."&amp;VLOOKUP(AU97,uom_list,5,FALSE),"")</f>
        <v/>
      </c>
      <c r="AA97" s="843">
        <f t="shared" si="18"/>
        <v>0</v>
      </c>
      <c r="AB97" s="843" t="str">
        <f t="shared" si="24"/>
        <v/>
      </c>
      <c r="AC97" s="843">
        <f t="shared" si="19"/>
        <v>2</v>
      </c>
      <c r="AD97" s="1219"/>
      <c r="AE97" s="1219"/>
      <c r="AF97" s="1215"/>
      <c r="AG97" s="1215"/>
      <c r="AH97" s="1215"/>
      <c r="AI97" s="1215"/>
      <c r="AJ97" s="1216"/>
      <c r="AK97" s="1216"/>
      <c r="AL97" s="1216"/>
      <c r="AM97" s="1216"/>
      <c r="AN97" s="1216"/>
      <c r="AO97" s="1216"/>
      <c r="AP97" s="1216"/>
      <c r="AQ97" s="1216"/>
      <c r="AR97" s="1216"/>
      <c r="AS97" s="1216"/>
      <c r="AT97" s="1216"/>
      <c r="AU97" s="1120" t="str" cm="1">
        <f t="array" ref="AU97">IF(H97="","",Slookup(MID(X97,1,3)*1,UomConversion!$D$8:$J$500,2,UomConversion!$I$8:$I$500,1,UomConversion!$J$8:$J$500,1))</f>
        <v/>
      </c>
      <c r="AV97" s="401" t="str">
        <f t="shared" si="20"/>
        <v/>
      </c>
      <c r="AW97" s="757" t="str">
        <f t="shared" si="21"/>
        <v/>
      </c>
      <c r="AX97" s="757" t="str">
        <f t="shared" si="22"/>
        <v/>
      </c>
      <c r="AY97" s="757" t="str">
        <f t="shared" si="23"/>
        <v/>
      </c>
      <c r="AZ97" s="1209" cm="1">
        <f t="array" ref="AZ97">IF(Y97="",1,Slookup(MID(X97,1,3)*1,UomConversion!$D$8:$J$500,5,UomConversion!$E$8:$E$500,MID(Y97,1,3)*1,UomConversion!$I$8:$I$500,1))</f>
        <v>1</v>
      </c>
      <c r="BA97" s="1209" cm="1">
        <f t="array" ref="BA97">IF(Z97="",1,Slookup(MID(X97,1,3)*1,UomConversion!$D$8:$J$500,5,UomConversion!$E$8:$E$500,MID(Z97,1,3)*1,UomConversion!$I$8:$I$500,1))</f>
        <v>1</v>
      </c>
      <c r="BB97" s="1217">
        <f t="shared" si="25"/>
        <v>0</v>
      </c>
      <c r="BC97" s="1217"/>
      <c r="BD97" s="1217"/>
    </row>
    <row r="98" spans="2:56" s="1120" customFormat="1" ht="24.95" customHeight="1">
      <c r="B98" s="445"/>
      <c r="C98" s="843"/>
      <c r="D98" s="843"/>
      <c r="E98" s="843"/>
      <c r="F98" s="1116"/>
      <c r="G98" s="1117"/>
      <c r="H98" s="868"/>
      <c r="I98" s="1118"/>
      <c r="J98" s="1138"/>
      <c r="K98" s="1138"/>
      <c r="L98" s="870"/>
      <c r="M98" s="868"/>
      <c r="N98" s="1118"/>
      <c r="O98" s="1119"/>
      <c r="P98" s="884"/>
      <c r="Q98" s="885"/>
      <c r="R98" s="843"/>
      <c r="S98" s="843"/>
      <c r="T98" s="843"/>
      <c r="U98" s="843"/>
      <c r="V98" s="843"/>
      <c r="W98" s="843"/>
      <c r="X98" s="870"/>
      <c r="Y98" s="843" t="str">
        <f>IF(OR(ISNA(MATCH(MID(X98,1,3)*1,UomConversion!$D$8:$D$500,0)),H98=""),"",IF(AV98="","",AV98))</f>
        <v/>
      </c>
      <c r="Z98" s="843" t="str">
        <f>IF(AND(AU98&gt;0,COUNTIFS(UomConversion!$D$8:$D$500,MID(X98,1,3)*1,UomConversion!$J$8:$J$500,1)&gt;1),TEXT(AU98,"000")&amp;"."&amp;VLOOKUP(AU98,uom_list,5,FALSE),"")</f>
        <v/>
      </c>
      <c r="AA98" s="843">
        <f t="shared" si="18"/>
        <v>0</v>
      </c>
      <c r="AB98" s="843" t="str">
        <f t="shared" si="24"/>
        <v/>
      </c>
      <c r="AC98" s="843">
        <f t="shared" si="19"/>
        <v>2</v>
      </c>
      <c r="AD98" s="1219"/>
      <c r="AE98" s="1219"/>
      <c r="AF98" s="1215"/>
      <c r="AG98" s="1215"/>
      <c r="AH98" s="1215"/>
      <c r="AI98" s="1215"/>
      <c r="AJ98" s="1216"/>
      <c r="AK98" s="1216"/>
      <c r="AL98" s="1216"/>
      <c r="AM98" s="1216"/>
      <c r="AN98" s="1216"/>
      <c r="AO98" s="1216"/>
      <c r="AP98" s="1216"/>
      <c r="AQ98" s="1216"/>
      <c r="AR98" s="1216"/>
      <c r="AS98" s="1216"/>
      <c r="AT98" s="1216"/>
      <c r="AU98" s="1120" t="str" cm="1">
        <f t="array" ref="AU98">IF(H98="","",Slookup(MID(X98,1,3)*1,UomConversion!$D$8:$J$500,2,UomConversion!$I$8:$I$500,1,UomConversion!$J$8:$J$500,1))</f>
        <v/>
      </c>
      <c r="AV98" s="401" t="str">
        <f t="shared" si="20"/>
        <v/>
      </c>
      <c r="AW98" s="757" t="str">
        <f t="shared" si="21"/>
        <v/>
      </c>
      <c r="AX98" s="757" t="str">
        <f t="shared" si="22"/>
        <v/>
      </c>
      <c r="AY98" s="757" t="str">
        <f t="shared" si="23"/>
        <v/>
      </c>
      <c r="AZ98" s="1209" cm="1">
        <f t="array" ref="AZ98">IF(Y98="",1,Slookup(MID(X98,1,3)*1,UomConversion!$D$8:$J$500,5,UomConversion!$E$8:$E$500,MID(Y98,1,3)*1,UomConversion!$I$8:$I$500,1))</f>
        <v>1</v>
      </c>
      <c r="BA98" s="1209" cm="1">
        <f t="array" ref="BA98">IF(Z98="",1,Slookup(MID(X98,1,3)*1,UomConversion!$D$8:$J$500,5,UomConversion!$E$8:$E$500,MID(Z98,1,3)*1,UomConversion!$I$8:$I$500,1))</f>
        <v>1</v>
      </c>
      <c r="BB98" s="1217">
        <f t="shared" si="25"/>
        <v>0</v>
      </c>
      <c r="BC98" s="1217"/>
      <c r="BD98" s="1217"/>
    </row>
    <row r="99" spans="2:56" s="1120" customFormat="1" ht="24.95" customHeight="1">
      <c r="B99" s="445"/>
      <c r="C99" s="843"/>
      <c r="D99" s="843"/>
      <c r="E99" s="843"/>
      <c r="F99" s="1116"/>
      <c r="G99" s="1117"/>
      <c r="H99" s="868"/>
      <c r="I99" s="1118"/>
      <c r="J99" s="1138"/>
      <c r="K99" s="1138"/>
      <c r="L99" s="870"/>
      <c r="M99" s="868"/>
      <c r="N99" s="1118"/>
      <c r="O99" s="1119"/>
      <c r="P99" s="884"/>
      <c r="Q99" s="885"/>
      <c r="R99" s="843"/>
      <c r="S99" s="843"/>
      <c r="T99" s="843"/>
      <c r="U99" s="843"/>
      <c r="V99" s="843"/>
      <c r="W99" s="843"/>
      <c r="X99" s="870"/>
      <c r="Y99" s="843" t="str">
        <f>IF(OR(ISNA(MATCH(MID(X99,1,3)*1,UomConversion!$D$8:$D$500,0)),H99=""),"",IF(AV99="","",AV99))</f>
        <v/>
      </c>
      <c r="Z99" s="843" t="str">
        <f>IF(AND(AU99&gt;0,COUNTIFS(UomConversion!$D$8:$D$500,MID(X99,1,3)*1,UomConversion!$J$8:$J$500,1)&gt;1),TEXT(AU99,"000")&amp;"."&amp;VLOOKUP(AU99,uom_list,5,FALSE),"")</f>
        <v/>
      </c>
      <c r="AA99" s="843">
        <f t="shared" si="18"/>
        <v>0</v>
      </c>
      <c r="AB99" s="843" t="str">
        <f t="shared" si="24"/>
        <v/>
      </c>
      <c r="AC99" s="843">
        <f t="shared" si="19"/>
        <v>2</v>
      </c>
      <c r="AD99" s="1214"/>
      <c r="AE99" s="1214"/>
      <c r="AF99" s="1215"/>
      <c r="AG99" s="1215"/>
      <c r="AH99" s="1215"/>
      <c r="AI99" s="1215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120" t="str" cm="1">
        <f t="array" ref="AU99">IF(H99="","",Slookup(MID(X99,1,3)*1,UomConversion!$D$8:$J$500,2,UomConversion!$I$8:$I$500,1,UomConversion!$J$8:$J$500,1))</f>
        <v/>
      </c>
      <c r="AV99" s="401" t="str">
        <f t="shared" si="20"/>
        <v/>
      </c>
      <c r="AW99" s="757" t="str">
        <f t="shared" si="21"/>
        <v/>
      </c>
      <c r="AX99" s="757" t="str">
        <f t="shared" si="22"/>
        <v/>
      </c>
      <c r="AY99" s="757" t="str">
        <f t="shared" si="23"/>
        <v/>
      </c>
      <c r="AZ99" s="1209" cm="1">
        <f t="array" ref="AZ99">IF(Y99="",1,Slookup(MID(X99,1,3)*1,UomConversion!$D$8:$J$500,5,UomConversion!$E$8:$E$500,MID(Y99,1,3)*1,UomConversion!$I$8:$I$500,1))</f>
        <v>1</v>
      </c>
      <c r="BA99" s="1209" cm="1">
        <f t="array" ref="BA99">IF(Z99="",1,Slookup(MID(X99,1,3)*1,UomConversion!$D$8:$J$500,5,UomConversion!$E$8:$E$500,MID(Z99,1,3)*1,UomConversion!$I$8:$I$500,1))</f>
        <v>1</v>
      </c>
      <c r="BB99" s="1217">
        <f t="shared" si="25"/>
        <v>0</v>
      </c>
      <c r="BC99" s="1217"/>
      <c r="BD99" s="1217"/>
    </row>
    <row r="100" spans="2:56" s="1120" customFormat="1" ht="24.95" customHeight="1">
      <c r="B100" s="445"/>
      <c r="C100" s="843"/>
      <c r="D100" s="843"/>
      <c r="E100" s="843"/>
      <c r="F100" s="1116"/>
      <c r="G100" s="1117"/>
      <c r="H100" s="868"/>
      <c r="I100" s="1118"/>
      <c r="J100" s="1138"/>
      <c r="K100" s="1138"/>
      <c r="L100" s="870"/>
      <c r="M100" s="868"/>
      <c r="N100" s="1118"/>
      <c r="O100" s="1119"/>
      <c r="P100" s="884"/>
      <c r="Q100" s="885"/>
      <c r="R100" s="843"/>
      <c r="S100" s="843"/>
      <c r="T100" s="843"/>
      <c r="U100" s="843"/>
      <c r="V100" s="843"/>
      <c r="W100" s="843"/>
      <c r="X100" s="870"/>
      <c r="Y100" s="843" t="str">
        <f>IF(OR(ISNA(MATCH(MID(X100,1,3)*1,UomConversion!$D$8:$D$500,0)),H100=""),"",IF(AV100="","",AV100))</f>
        <v/>
      </c>
      <c r="Z100" s="843" t="str">
        <f>IF(AND(AU100&gt;0,COUNTIFS(UomConversion!$D$8:$D$500,MID(X100,1,3)*1,UomConversion!$J$8:$J$500,1)&gt;1),TEXT(AU100,"000")&amp;"."&amp;VLOOKUP(AU100,uom_list,5,FALSE),"")</f>
        <v/>
      </c>
      <c r="AA100" s="843">
        <f t="shared" si="18"/>
        <v>0</v>
      </c>
      <c r="AB100" s="843" t="str">
        <f t="shared" si="24"/>
        <v/>
      </c>
      <c r="AC100" s="843">
        <f t="shared" si="19"/>
        <v>2</v>
      </c>
      <c r="AD100" s="1214"/>
      <c r="AE100" s="1214"/>
      <c r="AF100" s="1215"/>
      <c r="AG100" s="1215"/>
      <c r="AH100" s="1215"/>
      <c r="AI100" s="1215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120" t="str" cm="1">
        <f t="array" ref="AU100">IF(H100="","",Slookup(MID(X100,1,3)*1,UomConversion!$D$8:$J$500,2,UomConversion!$I$8:$I$500,1,UomConversion!$J$8:$J$500,1))</f>
        <v/>
      </c>
      <c r="AV100" s="401" t="str">
        <f t="shared" si="20"/>
        <v/>
      </c>
      <c r="AW100" s="757" t="str">
        <f t="shared" si="21"/>
        <v/>
      </c>
      <c r="AX100" s="757" t="str">
        <f t="shared" si="22"/>
        <v/>
      </c>
      <c r="AY100" s="757" t="str">
        <f t="shared" si="23"/>
        <v/>
      </c>
      <c r="AZ100" s="1209" cm="1">
        <f t="array" ref="AZ100">IF(Y100="",1,Slookup(MID(X100,1,3)*1,UomConversion!$D$8:$J$500,5,UomConversion!$E$8:$E$500,MID(Y100,1,3)*1,UomConversion!$I$8:$I$500,1))</f>
        <v>1</v>
      </c>
      <c r="BA100" s="1209" cm="1">
        <f t="array" ref="BA100">IF(Z100="",1,Slookup(MID(X100,1,3)*1,UomConversion!$D$8:$J$500,5,UomConversion!$E$8:$E$500,MID(Z100,1,3)*1,UomConversion!$I$8:$I$500,1))</f>
        <v>1</v>
      </c>
      <c r="BB100" s="1217">
        <f t="shared" si="25"/>
        <v>0</v>
      </c>
      <c r="BC100" s="1217"/>
      <c r="BD100" s="1217"/>
    </row>
    <row r="101" spans="2:56" s="1120" customFormat="1" ht="24.95" customHeight="1">
      <c r="B101" s="445"/>
      <c r="C101" s="843"/>
      <c r="D101" s="843"/>
      <c r="E101" s="843"/>
      <c r="F101" s="1116"/>
      <c r="G101" s="1117"/>
      <c r="H101" s="868"/>
      <c r="I101" s="1118"/>
      <c r="J101" s="1138"/>
      <c r="K101" s="1138"/>
      <c r="L101" s="870"/>
      <c r="M101" s="868"/>
      <c r="N101" s="1118"/>
      <c r="O101" s="1119"/>
      <c r="P101" s="884"/>
      <c r="Q101" s="885"/>
      <c r="R101" s="843"/>
      <c r="S101" s="843"/>
      <c r="T101" s="843"/>
      <c r="U101" s="843"/>
      <c r="V101" s="843"/>
      <c r="W101" s="843"/>
      <c r="X101" s="870"/>
      <c r="Y101" s="843" t="str">
        <f>IF(OR(ISNA(MATCH(MID(X101,1,3)*1,UomConversion!$D$8:$D$500,0)),H101=""),"",IF(AV101="","",AV101))</f>
        <v/>
      </c>
      <c r="Z101" s="843" t="str">
        <f>IF(AND(AU101&gt;0,COUNTIFS(UomConversion!$D$8:$D$500,MID(X101,1,3)*1,UomConversion!$J$8:$J$500,1)&gt;1),TEXT(AU101,"000")&amp;"."&amp;VLOOKUP(AU101,uom_list,5,FALSE),"")</f>
        <v/>
      </c>
      <c r="AA101" s="843">
        <f t="shared" si="18"/>
        <v>0</v>
      </c>
      <c r="AB101" s="843" t="str">
        <f t="shared" si="24"/>
        <v/>
      </c>
      <c r="AC101" s="843">
        <f t="shared" si="19"/>
        <v>2</v>
      </c>
      <c r="AD101" s="1214"/>
      <c r="AE101" s="1214"/>
      <c r="AF101" s="1215"/>
      <c r="AG101" s="1215"/>
      <c r="AH101" s="1215"/>
      <c r="AI101" s="1215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120" t="str" cm="1">
        <f t="array" ref="AU101">IF(H101="","",Slookup(MID(X101,1,3)*1,UomConversion!$D$8:$J$500,2,UomConversion!$I$8:$I$500,1,UomConversion!$J$8:$J$500,1))</f>
        <v/>
      </c>
      <c r="AV101" s="401" t="str">
        <f t="shared" si="20"/>
        <v/>
      </c>
      <c r="AW101" s="757" t="str">
        <f t="shared" si="21"/>
        <v/>
      </c>
      <c r="AX101" s="757" t="str">
        <f t="shared" si="22"/>
        <v/>
      </c>
      <c r="AY101" s="757" t="str">
        <f t="shared" si="23"/>
        <v/>
      </c>
      <c r="AZ101" s="1209" cm="1">
        <f t="array" ref="AZ101">IF(Y101="",1,Slookup(MID(X101,1,3)*1,UomConversion!$D$8:$J$500,5,UomConversion!$E$8:$E$500,MID(Y101,1,3)*1,UomConversion!$I$8:$I$500,1))</f>
        <v>1</v>
      </c>
      <c r="BA101" s="1209" cm="1">
        <f t="array" ref="BA101">IF(Z101="",1,Slookup(MID(X101,1,3)*1,UomConversion!$D$8:$J$500,5,UomConversion!$E$8:$E$500,MID(Z101,1,3)*1,UomConversion!$I$8:$I$500,1))</f>
        <v>1</v>
      </c>
      <c r="BB101" s="1217">
        <f t="shared" si="25"/>
        <v>0</v>
      </c>
      <c r="BC101" s="1217"/>
      <c r="BD101" s="1217"/>
    </row>
    <row r="102" spans="2:56" s="1120" customFormat="1" ht="24.95" customHeight="1">
      <c r="B102" s="445"/>
      <c r="C102" s="843"/>
      <c r="D102" s="843"/>
      <c r="E102" s="843"/>
      <c r="F102" s="1116"/>
      <c r="G102" s="1117"/>
      <c r="H102" s="868"/>
      <c r="I102" s="1118"/>
      <c r="J102" s="1138"/>
      <c r="K102" s="1138"/>
      <c r="L102" s="870"/>
      <c r="M102" s="868"/>
      <c r="N102" s="1118"/>
      <c r="O102" s="1119"/>
      <c r="P102" s="884"/>
      <c r="Q102" s="885"/>
      <c r="R102" s="843"/>
      <c r="S102" s="843"/>
      <c r="T102" s="843"/>
      <c r="U102" s="843"/>
      <c r="V102" s="843"/>
      <c r="W102" s="843"/>
      <c r="X102" s="870"/>
      <c r="Y102" s="843" t="str">
        <f>IF(OR(ISNA(MATCH(MID(X102,1,3)*1,UomConversion!$D$8:$D$500,0)),H102=""),"",IF(AV102="","",AV102))</f>
        <v/>
      </c>
      <c r="Z102" s="843" t="str">
        <f>IF(AND(AU102&gt;0,COUNTIFS(UomConversion!$D$8:$D$500,MID(X102,1,3)*1,UomConversion!$J$8:$J$500,1)&gt;1),TEXT(AU102,"000")&amp;"."&amp;VLOOKUP(AU102,uom_list,5,FALSE),"")</f>
        <v/>
      </c>
      <c r="AA102" s="843">
        <f t="shared" si="18"/>
        <v>0</v>
      </c>
      <c r="AB102" s="843" t="str">
        <f t="shared" si="24"/>
        <v/>
      </c>
      <c r="AC102" s="843">
        <f t="shared" si="19"/>
        <v>2</v>
      </c>
      <c r="AD102" s="1214"/>
      <c r="AE102" s="1214"/>
      <c r="AF102" s="1215"/>
      <c r="AG102" s="1215"/>
      <c r="AH102" s="1215"/>
      <c r="AI102" s="1215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120" t="str" cm="1">
        <f t="array" ref="AU102">IF(H102="","",Slookup(MID(X102,1,3)*1,UomConversion!$D$8:$J$500,2,UomConversion!$I$8:$I$500,1,UomConversion!$J$8:$J$500,1))</f>
        <v/>
      </c>
      <c r="AV102" s="401" t="str">
        <f t="shared" si="20"/>
        <v/>
      </c>
      <c r="AW102" s="757" t="str">
        <f t="shared" si="21"/>
        <v/>
      </c>
      <c r="AX102" s="757" t="str">
        <f t="shared" si="22"/>
        <v/>
      </c>
      <c r="AY102" s="757" t="str">
        <f t="shared" si="23"/>
        <v/>
      </c>
      <c r="AZ102" s="1209" cm="1">
        <f t="array" ref="AZ102">IF(Y102="",1,Slookup(MID(X102,1,3)*1,UomConversion!$D$8:$J$500,5,UomConversion!$E$8:$E$500,MID(Y102,1,3)*1,UomConversion!$I$8:$I$500,1))</f>
        <v>1</v>
      </c>
      <c r="BA102" s="1209" cm="1">
        <f t="array" ref="BA102">IF(Z102="",1,Slookup(MID(X102,1,3)*1,UomConversion!$D$8:$J$500,5,UomConversion!$E$8:$E$500,MID(Z102,1,3)*1,UomConversion!$I$8:$I$500,1))</f>
        <v>1</v>
      </c>
      <c r="BB102" s="1217">
        <f t="shared" si="25"/>
        <v>0</v>
      </c>
      <c r="BC102" s="1217"/>
      <c r="BD102" s="1217"/>
    </row>
    <row r="103" spans="2:56" s="1120" customFormat="1" ht="24.95" customHeight="1">
      <c r="B103" s="445"/>
      <c r="C103" s="843"/>
      <c r="D103" s="843"/>
      <c r="E103" s="843"/>
      <c r="F103" s="1116"/>
      <c r="G103" s="1117"/>
      <c r="H103" s="868"/>
      <c r="I103" s="1118"/>
      <c r="J103" s="1138"/>
      <c r="K103" s="1138"/>
      <c r="L103" s="870"/>
      <c r="M103" s="868"/>
      <c r="N103" s="1118"/>
      <c r="O103" s="1119"/>
      <c r="P103" s="884"/>
      <c r="Q103" s="885"/>
      <c r="R103" s="843"/>
      <c r="S103" s="843"/>
      <c r="T103" s="843"/>
      <c r="U103" s="843"/>
      <c r="V103" s="843"/>
      <c r="W103" s="843"/>
      <c r="X103" s="870"/>
      <c r="Y103" s="843" t="str">
        <f>IF(OR(ISNA(MATCH(MID(X103,1,3)*1,UomConversion!$D$8:$D$500,0)),H103=""),"",IF(AV103="","",AV103))</f>
        <v/>
      </c>
      <c r="Z103" s="843" t="str">
        <f>IF(AND(AU103&gt;0,COUNTIFS(UomConversion!$D$8:$D$500,MID(X103,1,3)*1,UomConversion!$J$8:$J$500,1)&gt;1),TEXT(AU103,"000")&amp;"."&amp;VLOOKUP(AU103,uom_list,5,FALSE),"")</f>
        <v/>
      </c>
      <c r="AA103" s="843">
        <f t="shared" si="18"/>
        <v>0</v>
      </c>
      <c r="AB103" s="843" t="str">
        <f t="shared" si="24"/>
        <v/>
      </c>
      <c r="AC103" s="843">
        <f t="shared" si="19"/>
        <v>2</v>
      </c>
      <c r="AD103" s="1214"/>
      <c r="AE103" s="1214"/>
      <c r="AF103" s="1215"/>
      <c r="AG103" s="1215"/>
      <c r="AH103" s="1215"/>
      <c r="AI103" s="1215"/>
      <c r="AJ103" s="1216"/>
      <c r="AK103" s="1216"/>
      <c r="AL103" s="1216"/>
      <c r="AM103" s="1216"/>
      <c r="AN103" s="1216"/>
      <c r="AO103" s="1216"/>
      <c r="AP103" s="1216"/>
      <c r="AQ103" s="1216"/>
      <c r="AR103" s="1216"/>
      <c r="AS103" s="1216"/>
      <c r="AT103" s="1216"/>
      <c r="AU103" s="1120" t="str" cm="1">
        <f t="array" ref="AU103">IF(H103="","",Slookup(MID(X103,1,3)*1,UomConversion!$D$8:$J$500,2,UomConversion!$I$8:$I$500,1,UomConversion!$J$8:$J$500,1))</f>
        <v/>
      </c>
      <c r="AV103" s="401" t="str">
        <f t="shared" si="20"/>
        <v/>
      </c>
      <c r="AW103" s="757" t="str">
        <f t="shared" si="21"/>
        <v/>
      </c>
      <c r="AX103" s="757" t="str">
        <f t="shared" si="22"/>
        <v/>
      </c>
      <c r="AY103" s="757" t="str">
        <f t="shared" si="23"/>
        <v/>
      </c>
      <c r="AZ103" s="1209" cm="1">
        <f t="array" ref="AZ103">IF(Y103="",1,Slookup(MID(X103,1,3)*1,UomConversion!$D$8:$J$500,5,UomConversion!$E$8:$E$500,MID(Y103,1,3)*1,UomConversion!$I$8:$I$500,1))</f>
        <v>1</v>
      </c>
      <c r="BA103" s="1209" cm="1">
        <f t="array" ref="BA103">IF(Z103="",1,Slookup(MID(X103,1,3)*1,UomConversion!$D$8:$J$500,5,UomConversion!$E$8:$E$500,MID(Z103,1,3)*1,UomConversion!$I$8:$I$500,1))</f>
        <v>1</v>
      </c>
      <c r="BB103" s="1217">
        <f t="shared" si="25"/>
        <v>0</v>
      </c>
      <c r="BC103" s="1217"/>
      <c r="BD103" s="1217"/>
    </row>
    <row r="104" spans="2:56" s="1120" customFormat="1" ht="24.95" customHeight="1">
      <c r="B104" s="445"/>
      <c r="C104" s="843"/>
      <c r="D104" s="843"/>
      <c r="E104" s="843"/>
      <c r="F104" s="1116"/>
      <c r="G104" s="1117"/>
      <c r="H104" s="868"/>
      <c r="I104" s="1118"/>
      <c r="J104" s="1138"/>
      <c r="K104" s="1138"/>
      <c r="L104" s="870"/>
      <c r="M104" s="868"/>
      <c r="N104" s="1118"/>
      <c r="O104" s="1119"/>
      <c r="P104" s="884"/>
      <c r="Q104" s="885"/>
      <c r="R104" s="843"/>
      <c r="S104" s="843"/>
      <c r="T104" s="843"/>
      <c r="U104" s="843"/>
      <c r="V104" s="843"/>
      <c r="W104" s="843"/>
      <c r="X104" s="870"/>
      <c r="Y104" s="843" t="str">
        <f>IF(OR(ISNA(MATCH(MID(X104,1,3)*1,UomConversion!$D$8:$D$500,0)),H104=""),"",IF(AV104="","",AV104))</f>
        <v/>
      </c>
      <c r="Z104" s="843" t="str">
        <f>IF(AND(AU104&gt;0,COUNTIFS(UomConversion!$D$8:$D$500,MID(X104,1,3)*1,UomConversion!$J$8:$J$500,1)&gt;1),TEXT(AU104,"000")&amp;"."&amp;VLOOKUP(AU104,uom_list,5,FALSE),"")</f>
        <v/>
      </c>
      <c r="AA104" s="843">
        <f t="shared" si="18"/>
        <v>0</v>
      </c>
      <c r="AB104" s="843" t="str">
        <f t="shared" si="24"/>
        <v/>
      </c>
      <c r="AC104" s="843">
        <f t="shared" si="19"/>
        <v>2</v>
      </c>
      <c r="AD104" s="1214"/>
      <c r="AE104" s="1214"/>
      <c r="AF104" s="1215"/>
      <c r="AG104" s="1215"/>
      <c r="AH104" s="1215"/>
      <c r="AI104" s="1215"/>
      <c r="AJ104" s="1216"/>
      <c r="AK104" s="1216"/>
      <c r="AL104" s="1216"/>
      <c r="AM104" s="1216"/>
      <c r="AN104" s="1216"/>
      <c r="AO104" s="1216"/>
      <c r="AP104" s="1216"/>
      <c r="AQ104" s="1216"/>
      <c r="AR104" s="1216"/>
      <c r="AS104" s="1216"/>
      <c r="AT104" s="1216"/>
      <c r="AU104" s="1120" t="str" cm="1">
        <f t="array" ref="AU104">IF(H104="","",Slookup(MID(X104,1,3)*1,UomConversion!$D$8:$J$500,2,UomConversion!$I$8:$I$500,1,UomConversion!$J$8:$J$500,1))</f>
        <v/>
      </c>
      <c r="AV104" s="401" t="str">
        <f t="shared" si="20"/>
        <v/>
      </c>
      <c r="AW104" s="757" t="str">
        <f t="shared" si="21"/>
        <v/>
      </c>
      <c r="AX104" s="757" t="str">
        <f t="shared" si="22"/>
        <v/>
      </c>
      <c r="AY104" s="757" t="str">
        <f t="shared" si="23"/>
        <v/>
      </c>
      <c r="AZ104" s="1209" cm="1">
        <f t="array" ref="AZ104">IF(Y104="",1,Slookup(MID(X104,1,3)*1,UomConversion!$D$8:$J$500,5,UomConversion!$E$8:$E$500,MID(Y104,1,3)*1,UomConversion!$I$8:$I$500,1))</f>
        <v>1</v>
      </c>
      <c r="BA104" s="1209" cm="1">
        <f t="array" ref="BA104">IF(Z104="",1,Slookup(MID(X104,1,3)*1,UomConversion!$D$8:$J$500,5,UomConversion!$E$8:$E$500,MID(Z104,1,3)*1,UomConversion!$I$8:$I$500,1))</f>
        <v>1</v>
      </c>
      <c r="BB104" s="1217">
        <f t="shared" si="25"/>
        <v>0</v>
      </c>
      <c r="BC104" s="1217"/>
      <c r="BD104" s="1217"/>
    </row>
    <row r="105" spans="2:56" s="1120" customFormat="1" ht="24.95" customHeight="1">
      <c r="B105" s="445"/>
      <c r="C105" s="843"/>
      <c r="D105" s="843"/>
      <c r="E105" s="843"/>
      <c r="F105" s="1116"/>
      <c r="G105" s="1117"/>
      <c r="H105" s="868"/>
      <c r="I105" s="1118"/>
      <c r="J105" s="1138"/>
      <c r="K105" s="1138"/>
      <c r="L105" s="870"/>
      <c r="M105" s="868"/>
      <c r="N105" s="1118"/>
      <c r="O105" s="1119"/>
      <c r="P105" s="884"/>
      <c r="Q105" s="885"/>
      <c r="R105" s="843"/>
      <c r="S105" s="843"/>
      <c r="T105" s="843"/>
      <c r="U105" s="843"/>
      <c r="V105" s="843"/>
      <c r="W105" s="843"/>
      <c r="X105" s="870"/>
      <c r="Y105" s="843" t="str">
        <f>IF(OR(ISNA(MATCH(MID(X105,1,3)*1,UomConversion!$D$8:$D$500,0)),H105=""),"",IF(AV105="","",AV105))</f>
        <v/>
      </c>
      <c r="Z105" s="843" t="str">
        <f>IF(AND(AU105&gt;0,COUNTIFS(UomConversion!$D$8:$D$500,MID(X105,1,3)*1,UomConversion!$J$8:$J$500,1)&gt;1),TEXT(AU105,"000")&amp;"."&amp;VLOOKUP(AU105,uom_list,5,FALSE),"")</f>
        <v/>
      </c>
      <c r="AA105" s="843">
        <f t="shared" si="18"/>
        <v>0</v>
      </c>
      <c r="AB105" s="843" t="str">
        <f t="shared" si="24"/>
        <v/>
      </c>
      <c r="AC105" s="843">
        <f t="shared" si="19"/>
        <v>2</v>
      </c>
      <c r="AD105" s="1214"/>
      <c r="AE105" s="1214"/>
      <c r="AF105" s="1215"/>
      <c r="AG105" s="1215"/>
      <c r="AH105" s="1215"/>
      <c r="AI105" s="1215"/>
      <c r="AJ105" s="1216"/>
      <c r="AK105" s="1216"/>
      <c r="AL105" s="1216"/>
      <c r="AM105" s="1216"/>
      <c r="AN105" s="1216"/>
      <c r="AO105" s="1216"/>
      <c r="AP105" s="1216"/>
      <c r="AQ105" s="1216"/>
      <c r="AR105" s="1216"/>
      <c r="AS105" s="1216"/>
      <c r="AT105" s="1216"/>
      <c r="AU105" s="1120" t="str" cm="1">
        <f t="array" ref="AU105">IF(H105="","",Slookup(MID(X105,1,3)*1,UomConversion!$D$8:$J$500,2,UomConversion!$I$8:$I$500,1,UomConversion!$J$8:$J$500,1))</f>
        <v/>
      </c>
      <c r="AV105" s="401" t="str">
        <f t="shared" si="20"/>
        <v/>
      </c>
      <c r="AW105" s="757" t="str">
        <f t="shared" si="21"/>
        <v/>
      </c>
      <c r="AX105" s="757" t="str">
        <f t="shared" si="22"/>
        <v/>
      </c>
      <c r="AY105" s="757" t="str">
        <f t="shared" si="23"/>
        <v/>
      </c>
      <c r="AZ105" s="1209" cm="1">
        <f t="array" ref="AZ105">IF(Y105="",1,Slookup(MID(X105,1,3)*1,UomConversion!$D$8:$J$500,5,UomConversion!$E$8:$E$500,MID(Y105,1,3)*1,UomConversion!$I$8:$I$500,1))</f>
        <v>1</v>
      </c>
      <c r="BA105" s="1209" cm="1">
        <f t="array" ref="BA105">IF(Z105="",1,Slookup(MID(X105,1,3)*1,UomConversion!$D$8:$J$500,5,UomConversion!$E$8:$E$500,MID(Z105,1,3)*1,UomConversion!$I$8:$I$500,1))</f>
        <v>1</v>
      </c>
      <c r="BB105" s="1217">
        <f t="shared" si="25"/>
        <v>0</v>
      </c>
      <c r="BC105" s="1217"/>
      <c r="BD105" s="1217"/>
    </row>
    <row r="106" spans="2:56" s="1120" customFormat="1" ht="24.95" customHeight="1">
      <c r="B106" s="445"/>
      <c r="C106" s="843"/>
      <c r="D106" s="843"/>
      <c r="E106" s="843"/>
      <c r="F106" s="1116"/>
      <c r="G106" s="1117"/>
      <c r="H106" s="868"/>
      <c r="I106" s="1118"/>
      <c r="J106" s="1138"/>
      <c r="K106" s="1138"/>
      <c r="L106" s="870"/>
      <c r="M106" s="868"/>
      <c r="N106" s="1118"/>
      <c r="O106" s="1119"/>
      <c r="P106" s="884"/>
      <c r="Q106" s="885"/>
      <c r="R106" s="843"/>
      <c r="S106" s="843"/>
      <c r="T106" s="843"/>
      <c r="U106" s="843"/>
      <c r="V106" s="843"/>
      <c r="W106" s="843"/>
      <c r="X106" s="870"/>
      <c r="Y106" s="843" t="str">
        <f>IF(OR(ISNA(MATCH(MID(X106,1,3)*1,UomConversion!$D$8:$D$500,0)),H106=""),"",IF(AV106="","",AV106))</f>
        <v/>
      </c>
      <c r="Z106" s="843" t="str">
        <f>IF(AND(AU106&gt;0,COUNTIFS(UomConversion!$D$8:$D$500,MID(X106,1,3)*1,UomConversion!$J$8:$J$500,1)&gt;1),TEXT(AU106,"000")&amp;"."&amp;VLOOKUP(AU106,uom_list,5,FALSE),"")</f>
        <v/>
      </c>
      <c r="AA106" s="843">
        <f t="shared" si="18"/>
        <v>0</v>
      </c>
      <c r="AB106" s="843" t="str">
        <f t="shared" si="24"/>
        <v/>
      </c>
      <c r="AC106" s="843">
        <f t="shared" si="19"/>
        <v>2</v>
      </c>
      <c r="AD106" s="1214"/>
      <c r="AE106" s="1214"/>
      <c r="AF106" s="1215"/>
      <c r="AG106" s="1215"/>
      <c r="AH106" s="1215"/>
      <c r="AI106" s="1215"/>
      <c r="AJ106" s="1216"/>
      <c r="AK106" s="1216"/>
      <c r="AL106" s="1216"/>
      <c r="AM106" s="1216"/>
      <c r="AN106" s="1216"/>
      <c r="AO106" s="1216"/>
      <c r="AP106" s="1216"/>
      <c r="AQ106" s="1216"/>
      <c r="AR106" s="1216"/>
      <c r="AS106" s="1216"/>
      <c r="AT106" s="1216"/>
      <c r="AU106" s="1120" t="str" cm="1">
        <f t="array" ref="AU106">IF(H106="","",Slookup(MID(X106,1,3)*1,UomConversion!$D$8:$J$500,2,UomConversion!$I$8:$I$500,1,UomConversion!$J$8:$J$500,1))</f>
        <v/>
      </c>
      <c r="AV106" s="401" t="str">
        <f t="shared" si="20"/>
        <v/>
      </c>
      <c r="AW106" s="757" t="str">
        <f t="shared" si="21"/>
        <v/>
      </c>
      <c r="AX106" s="757" t="str">
        <f t="shared" si="22"/>
        <v/>
      </c>
      <c r="AY106" s="757" t="str">
        <f t="shared" si="23"/>
        <v/>
      </c>
      <c r="AZ106" s="1209" cm="1">
        <f t="array" ref="AZ106">IF(Y106="",1,Slookup(MID(X106,1,3)*1,UomConversion!$D$8:$J$500,5,UomConversion!$E$8:$E$500,MID(Y106,1,3)*1,UomConversion!$I$8:$I$500,1))</f>
        <v>1</v>
      </c>
      <c r="BA106" s="1209" cm="1">
        <f t="array" ref="BA106">IF(Z106="",1,Slookup(MID(X106,1,3)*1,UomConversion!$D$8:$J$500,5,UomConversion!$E$8:$E$500,MID(Z106,1,3)*1,UomConversion!$I$8:$I$500,1))</f>
        <v>1</v>
      </c>
      <c r="BB106" s="1217">
        <f t="shared" si="25"/>
        <v>0</v>
      </c>
      <c r="BC106" s="1217"/>
      <c r="BD106" s="1217"/>
    </row>
    <row r="107" spans="2:56" s="1120" customFormat="1" ht="24.95" customHeight="1">
      <c r="B107" s="445"/>
      <c r="C107" s="843"/>
      <c r="D107" s="843"/>
      <c r="E107" s="843"/>
      <c r="F107" s="1116"/>
      <c r="G107" s="1117"/>
      <c r="H107" s="868"/>
      <c r="I107" s="1118"/>
      <c r="J107" s="1138"/>
      <c r="K107" s="1138"/>
      <c r="L107" s="870"/>
      <c r="M107" s="868"/>
      <c r="N107" s="1118"/>
      <c r="O107" s="1119"/>
      <c r="P107" s="884"/>
      <c r="Q107" s="885"/>
      <c r="R107" s="843"/>
      <c r="S107" s="843"/>
      <c r="T107" s="843"/>
      <c r="U107" s="843"/>
      <c r="V107" s="843"/>
      <c r="W107" s="843"/>
      <c r="X107" s="870"/>
      <c r="Y107" s="843" t="str">
        <f>IF(OR(ISNA(MATCH(MID(X107,1,3)*1,UomConversion!$D$8:$D$500,0)),H107=""),"",IF(AV107="","",AV107))</f>
        <v/>
      </c>
      <c r="Z107" s="843" t="str">
        <f>IF(AND(AU107&gt;0,COUNTIFS(UomConversion!$D$8:$D$500,MID(X107,1,3)*1,UomConversion!$J$8:$J$500,1)&gt;1),TEXT(AU107,"000")&amp;"."&amp;VLOOKUP(AU107,uom_list,5,FALSE),"")</f>
        <v/>
      </c>
      <c r="AA107" s="843">
        <f t="shared" si="18"/>
        <v>0</v>
      </c>
      <c r="AB107" s="843" t="str">
        <f t="shared" si="24"/>
        <v/>
      </c>
      <c r="AC107" s="843">
        <f t="shared" si="19"/>
        <v>2</v>
      </c>
      <c r="AD107" s="1214"/>
      <c r="AE107" s="1214"/>
      <c r="AF107" s="1215"/>
      <c r="AG107" s="1215"/>
      <c r="AH107" s="1215"/>
      <c r="AI107" s="1215"/>
      <c r="AJ107" s="1216"/>
      <c r="AK107" s="1216"/>
      <c r="AL107" s="1216"/>
      <c r="AM107" s="1216"/>
      <c r="AN107" s="1216"/>
      <c r="AO107" s="1216"/>
      <c r="AP107" s="1216"/>
      <c r="AQ107" s="1216"/>
      <c r="AR107" s="1216"/>
      <c r="AS107" s="1216"/>
      <c r="AT107" s="1216"/>
      <c r="AU107" s="1120" t="str" cm="1">
        <f t="array" ref="AU107">IF(H107="","",Slookup(MID(X107,1,3)*1,UomConversion!$D$8:$J$500,2,UomConversion!$I$8:$I$500,1,UomConversion!$J$8:$J$500,1))</f>
        <v/>
      </c>
      <c r="AV107" s="401" t="str">
        <f t="shared" si="20"/>
        <v/>
      </c>
      <c r="AW107" s="757" t="str">
        <f t="shared" si="21"/>
        <v/>
      </c>
      <c r="AX107" s="757" t="str">
        <f t="shared" si="22"/>
        <v/>
      </c>
      <c r="AY107" s="757" t="str">
        <f t="shared" si="23"/>
        <v/>
      </c>
      <c r="AZ107" s="1209" cm="1">
        <f t="array" ref="AZ107">IF(Y107="",1,Slookup(MID(X107,1,3)*1,UomConversion!$D$8:$J$500,5,UomConversion!$E$8:$E$500,MID(Y107,1,3)*1,UomConversion!$I$8:$I$500,1))</f>
        <v>1</v>
      </c>
      <c r="BA107" s="1209" cm="1">
        <f t="array" ref="BA107">IF(Z107="",1,Slookup(MID(X107,1,3)*1,UomConversion!$D$8:$J$500,5,UomConversion!$E$8:$E$500,MID(Z107,1,3)*1,UomConversion!$I$8:$I$500,1))</f>
        <v>1</v>
      </c>
      <c r="BB107" s="1217">
        <f t="shared" si="25"/>
        <v>0</v>
      </c>
      <c r="BC107" s="1217"/>
      <c r="BD107" s="1217"/>
    </row>
    <row r="108" spans="2:56" s="1120" customFormat="1" ht="24.95" customHeight="1">
      <c r="B108" s="445"/>
      <c r="C108" s="843"/>
      <c r="D108" s="843"/>
      <c r="E108" s="843"/>
      <c r="F108" s="1116"/>
      <c r="G108" s="1117"/>
      <c r="H108" s="868"/>
      <c r="I108" s="1118"/>
      <c r="J108" s="1138"/>
      <c r="K108" s="1138"/>
      <c r="L108" s="870"/>
      <c r="M108" s="868"/>
      <c r="N108" s="1118"/>
      <c r="O108" s="1119"/>
      <c r="P108" s="884"/>
      <c r="Q108" s="885"/>
      <c r="R108" s="843"/>
      <c r="S108" s="843"/>
      <c r="T108" s="843"/>
      <c r="U108" s="843"/>
      <c r="V108" s="843"/>
      <c r="W108" s="843"/>
      <c r="X108" s="870"/>
      <c r="Y108" s="843" t="str">
        <f>IF(OR(ISNA(MATCH(MID(X108,1,3)*1,UomConversion!$D$8:$D$500,0)),H108=""),"",IF(AV108="","",AV108))</f>
        <v/>
      </c>
      <c r="Z108" s="843" t="str">
        <f>IF(AND(AU108&gt;0,COUNTIFS(UomConversion!$D$8:$D$500,MID(X108,1,3)*1,UomConversion!$J$8:$J$500,1)&gt;1),TEXT(AU108,"000")&amp;"."&amp;VLOOKUP(AU108,uom_list,5,FALSE),"")</f>
        <v/>
      </c>
      <c r="AA108" s="843">
        <f t="shared" si="18"/>
        <v>0</v>
      </c>
      <c r="AB108" s="843" t="str">
        <f t="shared" si="24"/>
        <v/>
      </c>
      <c r="AC108" s="843">
        <f t="shared" si="19"/>
        <v>2</v>
      </c>
      <c r="AD108" s="1214"/>
      <c r="AE108" s="1214"/>
      <c r="AF108" s="1215"/>
      <c r="AG108" s="1215"/>
      <c r="AH108" s="1215"/>
      <c r="AI108" s="1215"/>
      <c r="AJ108" s="1216"/>
      <c r="AK108" s="1216"/>
      <c r="AL108" s="1216"/>
      <c r="AM108" s="1216"/>
      <c r="AN108" s="1216"/>
      <c r="AO108" s="1216"/>
      <c r="AP108" s="1216"/>
      <c r="AQ108" s="1216"/>
      <c r="AR108" s="1216"/>
      <c r="AS108" s="1216"/>
      <c r="AT108" s="1216"/>
      <c r="AU108" s="1120" t="str" cm="1">
        <f t="array" ref="AU108">IF(H108="","",Slookup(MID(X108,1,3)*1,UomConversion!$D$8:$J$500,2,UomConversion!$I$8:$I$500,1,UomConversion!$J$8:$J$500,1))</f>
        <v/>
      </c>
      <c r="AV108" s="401" t="str">
        <f t="shared" si="20"/>
        <v/>
      </c>
      <c r="AW108" s="757" t="str">
        <f t="shared" si="21"/>
        <v/>
      </c>
      <c r="AX108" s="757" t="str">
        <f t="shared" si="22"/>
        <v/>
      </c>
      <c r="AY108" s="757" t="str">
        <f t="shared" si="23"/>
        <v/>
      </c>
      <c r="AZ108" s="1209" cm="1">
        <f t="array" ref="AZ108">IF(Y108="",1,Slookup(MID(X108,1,3)*1,UomConversion!$D$8:$J$500,5,UomConversion!$E$8:$E$500,MID(Y108,1,3)*1,UomConversion!$I$8:$I$500,1))</f>
        <v>1</v>
      </c>
      <c r="BA108" s="1209" cm="1">
        <f t="array" ref="BA108">IF(Z108="",1,Slookup(MID(X108,1,3)*1,UomConversion!$D$8:$J$500,5,UomConversion!$E$8:$E$500,MID(Z108,1,3)*1,UomConversion!$I$8:$I$500,1))</f>
        <v>1</v>
      </c>
      <c r="BB108" s="1217">
        <f t="shared" si="25"/>
        <v>0</v>
      </c>
      <c r="BC108" s="1217"/>
      <c r="BD108" s="1217"/>
    </row>
    <row r="109" spans="2:56" s="1120" customFormat="1" ht="24.95" customHeight="1">
      <c r="B109" s="445"/>
      <c r="C109" s="843"/>
      <c r="D109" s="843"/>
      <c r="E109" s="843"/>
      <c r="F109" s="1116"/>
      <c r="G109" s="1117"/>
      <c r="H109" s="868"/>
      <c r="I109" s="1118"/>
      <c r="J109" s="1138"/>
      <c r="K109" s="1138"/>
      <c r="L109" s="870"/>
      <c r="M109" s="868"/>
      <c r="N109" s="1118"/>
      <c r="O109" s="1119"/>
      <c r="P109" s="884"/>
      <c r="Q109" s="885"/>
      <c r="R109" s="843"/>
      <c r="S109" s="843"/>
      <c r="T109" s="843"/>
      <c r="U109" s="843"/>
      <c r="V109" s="843"/>
      <c r="W109" s="843"/>
      <c r="X109" s="870"/>
      <c r="Y109" s="843" t="str">
        <f>IF(OR(ISNA(MATCH(MID(X109,1,3)*1,UomConversion!$D$8:$D$500,0)),H109=""),"",IF(AV109="","",AV109))</f>
        <v/>
      </c>
      <c r="Z109" s="843" t="str">
        <f>IF(AND(AU109&gt;0,COUNTIFS(UomConversion!$D$8:$D$500,MID(X109,1,3)*1,UomConversion!$J$8:$J$500,1)&gt;1),TEXT(AU109,"000")&amp;"."&amp;VLOOKUP(AU109,uom_list,5,FALSE),"")</f>
        <v/>
      </c>
      <c r="AA109" s="843">
        <f t="shared" si="18"/>
        <v>0</v>
      </c>
      <c r="AB109" s="843" t="str">
        <f t="shared" si="24"/>
        <v/>
      </c>
      <c r="AC109" s="843">
        <f t="shared" si="19"/>
        <v>2</v>
      </c>
      <c r="AD109" s="1214"/>
      <c r="AE109" s="1214"/>
      <c r="AF109" s="1215"/>
      <c r="AG109" s="1215"/>
      <c r="AH109" s="1215"/>
      <c r="AI109" s="1215"/>
      <c r="AJ109" s="1216"/>
      <c r="AK109" s="1216"/>
      <c r="AL109" s="1216"/>
      <c r="AM109" s="1216"/>
      <c r="AN109" s="1216"/>
      <c r="AO109" s="1216"/>
      <c r="AP109" s="1216"/>
      <c r="AQ109" s="1216"/>
      <c r="AR109" s="1216"/>
      <c r="AS109" s="1216"/>
      <c r="AT109" s="1216"/>
      <c r="AU109" s="1120" t="str" cm="1">
        <f t="array" ref="AU109">IF(H109="","",Slookup(MID(X109,1,3)*1,UomConversion!$D$8:$J$500,2,UomConversion!$I$8:$I$500,1,UomConversion!$J$8:$J$500,1))</f>
        <v/>
      </c>
      <c r="AV109" s="401" t="str">
        <f t="shared" si="20"/>
        <v/>
      </c>
      <c r="AW109" s="757" t="str">
        <f t="shared" si="21"/>
        <v/>
      </c>
      <c r="AX109" s="757" t="str">
        <f t="shared" si="22"/>
        <v/>
      </c>
      <c r="AY109" s="757" t="str">
        <f t="shared" si="23"/>
        <v/>
      </c>
      <c r="AZ109" s="1209" cm="1">
        <f t="array" ref="AZ109">IF(Y109="",1,Slookup(MID(X109,1,3)*1,UomConversion!$D$8:$J$500,5,UomConversion!$E$8:$E$500,MID(Y109,1,3)*1,UomConversion!$I$8:$I$500,1))</f>
        <v>1</v>
      </c>
      <c r="BA109" s="1209" cm="1">
        <f t="array" ref="BA109">IF(Z109="",1,Slookup(MID(X109,1,3)*1,UomConversion!$D$8:$J$500,5,UomConversion!$E$8:$E$500,MID(Z109,1,3)*1,UomConversion!$I$8:$I$500,1))</f>
        <v>1</v>
      </c>
      <c r="BB109" s="1217">
        <f t="shared" si="25"/>
        <v>0</v>
      </c>
      <c r="BC109" s="1217"/>
      <c r="BD109" s="1217"/>
    </row>
    <row r="110" spans="2:56" s="1120" customFormat="1" ht="24.95" customHeight="1">
      <c r="B110" s="445"/>
      <c r="C110" s="843"/>
      <c r="D110" s="843"/>
      <c r="E110" s="843"/>
      <c r="F110" s="1116"/>
      <c r="G110" s="1117"/>
      <c r="H110" s="868"/>
      <c r="I110" s="1118"/>
      <c r="J110" s="1138"/>
      <c r="K110" s="1138"/>
      <c r="L110" s="870"/>
      <c r="M110" s="868"/>
      <c r="N110" s="1118"/>
      <c r="O110" s="1119"/>
      <c r="P110" s="884"/>
      <c r="Q110" s="885"/>
      <c r="R110" s="843"/>
      <c r="S110" s="843"/>
      <c r="T110" s="843"/>
      <c r="U110" s="843"/>
      <c r="V110" s="843"/>
      <c r="W110" s="843"/>
      <c r="X110" s="870"/>
      <c r="Y110" s="843" t="str">
        <f>IF(OR(ISNA(MATCH(MID(X110,1,3)*1,UomConversion!$D$8:$D$500,0)),H110=""),"",IF(AV110="","",AV110))</f>
        <v/>
      </c>
      <c r="Z110" s="843" t="str">
        <f>IF(AND(AU110&gt;0,COUNTIFS(UomConversion!$D$8:$D$500,MID(X110,1,3)*1,UomConversion!$J$8:$J$500,1)&gt;1),TEXT(AU110,"000")&amp;"."&amp;VLOOKUP(AU110,uom_list,5,FALSE),"")</f>
        <v/>
      </c>
      <c r="AA110" s="843">
        <f t="shared" si="18"/>
        <v>0</v>
      </c>
      <c r="AB110" s="843" t="str">
        <f t="shared" si="24"/>
        <v/>
      </c>
      <c r="AC110" s="843">
        <f t="shared" si="19"/>
        <v>2</v>
      </c>
      <c r="AD110" s="1214"/>
      <c r="AE110" s="1214"/>
      <c r="AF110" s="1215"/>
      <c r="AG110" s="1215"/>
      <c r="AH110" s="1215"/>
      <c r="AI110" s="1215"/>
      <c r="AJ110" s="1216"/>
      <c r="AK110" s="1216"/>
      <c r="AL110" s="1216"/>
      <c r="AM110" s="1216"/>
      <c r="AN110" s="1216"/>
      <c r="AO110" s="1216"/>
      <c r="AP110" s="1216"/>
      <c r="AQ110" s="1216"/>
      <c r="AR110" s="1216"/>
      <c r="AS110" s="1216"/>
      <c r="AT110" s="1216"/>
      <c r="AU110" s="1120" t="str" cm="1">
        <f t="array" ref="AU110">IF(H110="","",Slookup(MID(X110,1,3)*1,UomConversion!$D$8:$J$500,2,UomConversion!$I$8:$I$500,1,UomConversion!$J$8:$J$500,1))</f>
        <v/>
      </c>
      <c r="AV110" s="401" t="str">
        <f t="shared" si="20"/>
        <v/>
      </c>
      <c r="AW110" s="757" t="str">
        <f t="shared" si="21"/>
        <v/>
      </c>
      <c r="AX110" s="757" t="str">
        <f t="shared" si="22"/>
        <v/>
      </c>
      <c r="AY110" s="757" t="str">
        <f t="shared" si="23"/>
        <v/>
      </c>
      <c r="AZ110" s="1209" cm="1">
        <f t="array" ref="AZ110">IF(Y110="",1,Slookup(MID(X110,1,3)*1,UomConversion!$D$8:$J$500,5,UomConversion!$E$8:$E$500,MID(Y110,1,3)*1,UomConversion!$I$8:$I$500,1))</f>
        <v>1</v>
      </c>
      <c r="BA110" s="1209" cm="1">
        <f t="array" ref="BA110">IF(Z110="",1,Slookup(MID(X110,1,3)*1,UomConversion!$D$8:$J$500,5,UomConversion!$E$8:$E$500,MID(Z110,1,3)*1,UomConversion!$I$8:$I$500,1))</f>
        <v>1</v>
      </c>
      <c r="BB110" s="1217">
        <f t="shared" si="25"/>
        <v>0</v>
      </c>
      <c r="BC110" s="1217"/>
      <c r="BD110" s="1217"/>
    </row>
    <row r="111" spans="2:56" s="1120" customFormat="1" ht="24.95" customHeight="1">
      <c r="B111" s="445"/>
      <c r="C111" s="843"/>
      <c r="D111" s="843"/>
      <c r="E111" s="843"/>
      <c r="F111" s="1116"/>
      <c r="G111" s="1117"/>
      <c r="H111" s="868"/>
      <c r="I111" s="1118"/>
      <c r="J111" s="1138"/>
      <c r="K111" s="1138"/>
      <c r="L111" s="870"/>
      <c r="M111" s="868"/>
      <c r="N111" s="1118"/>
      <c r="O111" s="1119"/>
      <c r="P111" s="884"/>
      <c r="Q111" s="885"/>
      <c r="R111" s="843"/>
      <c r="S111" s="843"/>
      <c r="T111" s="843"/>
      <c r="U111" s="843"/>
      <c r="V111" s="843"/>
      <c r="W111" s="843"/>
      <c r="X111" s="870"/>
      <c r="Y111" s="843" t="str">
        <f>IF(OR(ISNA(MATCH(MID(X111,1,3)*1,UomConversion!$D$8:$D$500,0)),H111=""),"",IF(AV111="","",AV111))</f>
        <v/>
      </c>
      <c r="Z111" s="843" t="str">
        <f>IF(AND(AU111&gt;0,COUNTIFS(UomConversion!$D$8:$D$500,MID(X111,1,3)*1,UomConversion!$J$8:$J$500,1)&gt;1),TEXT(AU111,"000")&amp;"."&amp;VLOOKUP(AU111,uom_list,5,FALSE),"")</f>
        <v/>
      </c>
      <c r="AA111" s="843">
        <f t="shared" si="18"/>
        <v>0</v>
      </c>
      <c r="AB111" s="843" t="str">
        <f t="shared" si="24"/>
        <v/>
      </c>
      <c r="AC111" s="843">
        <f t="shared" si="19"/>
        <v>2</v>
      </c>
      <c r="AD111" s="1214"/>
      <c r="AE111" s="1214"/>
      <c r="AF111" s="1215"/>
      <c r="AG111" s="1215"/>
      <c r="AH111" s="1215"/>
      <c r="AI111" s="1215"/>
      <c r="AJ111" s="1216"/>
      <c r="AK111" s="1216"/>
      <c r="AL111" s="1216"/>
      <c r="AM111" s="1216"/>
      <c r="AN111" s="1216"/>
      <c r="AO111" s="1216"/>
      <c r="AP111" s="1216"/>
      <c r="AQ111" s="1216"/>
      <c r="AR111" s="1216"/>
      <c r="AS111" s="1216"/>
      <c r="AT111" s="1216"/>
      <c r="AU111" s="1120" t="str" cm="1">
        <f t="array" ref="AU111">IF(H111="","",Slookup(MID(X111,1,3)*1,UomConversion!$D$8:$J$500,2,UomConversion!$I$8:$I$500,1,UomConversion!$J$8:$J$500,1))</f>
        <v/>
      </c>
      <c r="AV111" s="401" t="str">
        <f t="shared" si="20"/>
        <v/>
      </c>
      <c r="AW111" s="757" t="str">
        <f t="shared" si="21"/>
        <v/>
      </c>
      <c r="AX111" s="757" t="str">
        <f t="shared" si="22"/>
        <v/>
      </c>
      <c r="AY111" s="757" t="str">
        <f t="shared" si="23"/>
        <v/>
      </c>
      <c r="AZ111" s="1209" cm="1">
        <f t="array" ref="AZ111">IF(Y111="",1,Slookup(MID(X111,1,3)*1,UomConversion!$D$8:$J$500,5,UomConversion!$E$8:$E$500,MID(Y111,1,3)*1,UomConversion!$I$8:$I$500,1))</f>
        <v>1</v>
      </c>
      <c r="BA111" s="1209" cm="1">
        <f t="array" ref="BA111">IF(Z111="",1,Slookup(MID(X111,1,3)*1,UomConversion!$D$8:$J$500,5,UomConversion!$E$8:$E$500,MID(Z111,1,3)*1,UomConversion!$I$8:$I$500,1))</f>
        <v>1</v>
      </c>
      <c r="BB111" s="1217">
        <f t="shared" si="25"/>
        <v>0</v>
      </c>
      <c r="BC111" s="1217"/>
      <c r="BD111" s="1217"/>
    </row>
    <row r="112" spans="2:56" s="1120" customFormat="1" ht="24.95" customHeight="1">
      <c r="B112" s="445"/>
      <c r="C112" s="843"/>
      <c r="D112" s="843"/>
      <c r="E112" s="843"/>
      <c r="F112" s="1116"/>
      <c r="G112" s="1117"/>
      <c r="H112" s="868"/>
      <c r="I112" s="1118"/>
      <c r="J112" s="1138"/>
      <c r="K112" s="1138"/>
      <c r="L112" s="870"/>
      <c r="M112" s="868"/>
      <c r="N112" s="1118"/>
      <c r="O112" s="1119"/>
      <c r="P112" s="884"/>
      <c r="Q112" s="885"/>
      <c r="R112" s="843"/>
      <c r="S112" s="843"/>
      <c r="T112" s="843"/>
      <c r="U112" s="843"/>
      <c r="V112" s="843"/>
      <c r="W112" s="843"/>
      <c r="X112" s="870"/>
      <c r="Y112" s="843" t="str">
        <f>IF(OR(ISNA(MATCH(MID(X112,1,3)*1,UomConversion!$D$8:$D$500,0)),H112=""),"",IF(AV112="","",AV112))</f>
        <v/>
      </c>
      <c r="Z112" s="843" t="str">
        <f>IF(AND(AU112&gt;0,COUNTIFS(UomConversion!$D$8:$D$500,MID(X112,1,3)*1,UomConversion!$J$8:$J$500,1)&gt;1),TEXT(AU112,"000")&amp;"."&amp;VLOOKUP(AU112,uom_list,5,FALSE),"")</f>
        <v/>
      </c>
      <c r="AA112" s="843">
        <f t="shared" si="18"/>
        <v>0</v>
      </c>
      <c r="AB112" s="843" t="str">
        <f t="shared" si="24"/>
        <v/>
      </c>
      <c r="AC112" s="843">
        <f t="shared" si="19"/>
        <v>2</v>
      </c>
      <c r="AD112" s="1214"/>
      <c r="AE112" s="1214"/>
      <c r="AF112" s="1215"/>
      <c r="AG112" s="1215"/>
      <c r="AH112" s="1215"/>
      <c r="AI112" s="1215"/>
      <c r="AJ112" s="1216"/>
      <c r="AK112" s="1216"/>
      <c r="AL112" s="1216"/>
      <c r="AM112" s="1216"/>
      <c r="AN112" s="1216"/>
      <c r="AO112" s="1216"/>
      <c r="AP112" s="1216"/>
      <c r="AQ112" s="1216"/>
      <c r="AR112" s="1216"/>
      <c r="AS112" s="1216"/>
      <c r="AT112" s="1216"/>
      <c r="AU112" s="1120" t="str" cm="1">
        <f t="array" ref="AU112">IF(H112="","",Slookup(MID(X112,1,3)*1,UomConversion!$D$8:$J$500,2,UomConversion!$I$8:$I$500,1,UomConversion!$J$8:$J$500,1))</f>
        <v/>
      </c>
      <c r="AV112" s="401" t="str">
        <f t="shared" si="20"/>
        <v/>
      </c>
      <c r="AW112" s="757" t="str">
        <f t="shared" si="21"/>
        <v/>
      </c>
      <c r="AX112" s="757" t="str">
        <f t="shared" si="22"/>
        <v/>
      </c>
      <c r="AY112" s="757" t="str">
        <f t="shared" si="23"/>
        <v/>
      </c>
      <c r="AZ112" s="1209" cm="1">
        <f t="array" ref="AZ112">IF(Y112="",1,Slookup(MID(X112,1,3)*1,UomConversion!$D$8:$J$500,5,UomConversion!$E$8:$E$500,MID(Y112,1,3)*1,UomConversion!$I$8:$I$500,1))</f>
        <v>1</v>
      </c>
      <c r="BA112" s="1209" cm="1">
        <f t="array" ref="BA112">IF(Z112="",1,Slookup(MID(X112,1,3)*1,UomConversion!$D$8:$J$500,5,UomConversion!$E$8:$E$500,MID(Z112,1,3)*1,UomConversion!$I$8:$I$500,1))</f>
        <v>1</v>
      </c>
      <c r="BB112" s="1217">
        <f t="shared" si="25"/>
        <v>0</v>
      </c>
      <c r="BC112" s="1217"/>
      <c r="BD112" s="1217"/>
    </row>
    <row r="113" spans="2:56" s="1120" customFormat="1" ht="24.95" customHeight="1">
      <c r="B113" s="445"/>
      <c r="C113" s="843"/>
      <c r="D113" s="843"/>
      <c r="E113" s="843"/>
      <c r="F113" s="1116"/>
      <c r="G113" s="1117"/>
      <c r="H113" s="868"/>
      <c r="I113" s="1118"/>
      <c r="J113" s="1138"/>
      <c r="K113" s="1138"/>
      <c r="L113" s="870"/>
      <c r="M113" s="868"/>
      <c r="N113" s="1118"/>
      <c r="O113" s="1119"/>
      <c r="P113" s="884"/>
      <c r="Q113" s="885"/>
      <c r="R113" s="843"/>
      <c r="S113" s="843"/>
      <c r="T113" s="843"/>
      <c r="U113" s="843"/>
      <c r="V113" s="843"/>
      <c r="W113" s="843"/>
      <c r="X113" s="870"/>
      <c r="Y113" s="843" t="str">
        <f>IF(OR(ISNA(MATCH(MID(X113,1,3)*1,UomConversion!$D$8:$D$500,0)),H113=""),"",IF(AV113="","",AV113))</f>
        <v/>
      </c>
      <c r="Z113" s="843" t="str">
        <f>IF(AND(AU113&gt;0,COUNTIFS(UomConversion!$D$8:$D$500,MID(X113,1,3)*1,UomConversion!$J$8:$J$500,1)&gt;1),TEXT(AU113,"000")&amp;"."&amp;VLOOKUP(AU113,uom_list,5,FALSE),"")</f>
        <v/>
      </c>
      <c r="AA113" s="843">
        <f t="shared" si="18"/>
        <v>0</v>
      </c>
      <c r="AB113" s="843" t="str">
        <f t="shared" si="24"/>
        <v/>
      </c>
      <c r="AC113" s="843">
        <f t="shared" si="19"/>
        <v>2</v>
      </c>
      <c r="AD113" s="1214"/>
      <c r="AE113" s="1214"/>
      <c r="AF113" s="1215"/>
      <c r="AG113" s="1215"/>
      <c r="AH113" s="1215"/>
      <c r="AI113" s="1215"/>
      <c r="AJ113" s="1216"/>
      <c r="AK113" s="1216"/>
      <c r="AL113" s="1216"/>
      <c r="AM113" s="1216"/>
      <c r="AN113" s="1216"/>
      <c r="AO113" s="1216"/>
      <c r="AP113" s="1216"/>
      <c r="AQ113" s="1216"/>
      <c r="AR113" s="1216"/>
      <c r="AS113" s="1216"/>
      <c r="AT113" s="1216"/>
      <c r="AU113" s="1120" t="str" cm="1">
        <f t="array" ref="AU113">IF(H113="","",Slookup(MID(X113,1,3)*1,UomConversion!$D$8:$J$500,2,UomConversion!$I$8:$I$500,1,UomConversion!$J$8:$J$500,1))</f>
        <v/>
      </c>
      <c r="AV113" s="401" t="str">
        <f t="shared" si="20"/>
        <v/>
      </c>
      <c r="AW113" s="757" t="str">
        <f t="shared" si="21"/>
        <v/>
      </c>
      <c r="AX113" s="757" t="str">
        <f t="shared" si="22"/>
        <v/>
      </c>
      <c r="AY113" s="757" t="str">
        <f t="shared" si="23"/>
        <v/>
      </c>
      <c r="AZ113" s="1209" cm="1">
        <f t="array" ref="AZ113">IF(Y113="",1,Slookup(MID(X113,1,3)*1,UomConversion!$D$8:$J$500,5,UomConversion!$E$8:$E$500,MID(Y113,1,3)*1,UomConversion!$I$8:$I$500,1))</f>
        <v>1</v>
      </c>
      <c r="BA113" s="1209" cm="1">
        <f t="array" ref="BA113">IF(Z113="",1,Slookup(MID(X113,1,3)*1,UomConversion!$D$8:$J$500,5,UomConversion!$E$8:$E$500,MID(Z113,1,3)*1,UomConversion!$I$8:$I$500,1))</f>
        <v>1</v>
      </c>
      <c r="BB113" s="1217">
        <f t="shared" si="25"/>
        <v>0</v>
      </c>
      <c r="BC113" s="1217"/>
      <c r="BD113" s="1217"/>
    </row>
    <row r="114" spans="2:56" s="1120" customFormat="1" ht="24.95" customHeight="1">
      <c r="B114" s="445"/>
      <c r="C114" s="843"/>
      <c r="D114" s="843"/>
      <c r="E114" s="843"/>
      <c r="F114" s="1116"/>
      <c r="G114" s="1117"/>
      <c r="H114" s="868"/>
      <c r="I114" s="1118"/>
      <c r="J114" s="1138"/>
      <c r="K114" s="1138"/>
      <c r="L114" s="870"/>
      <c r="M114" s="868"/>
      <c r="N114" s="1118"/>
      <c r="O114" s="1119"/>
      <c r="P114" s="884"/>
      <c r="Q114" s="885"/>
      <c r="R114" s="843"/>
      <c r="S114" s="843"/>
      <c r="T114" s="843"/>
      <c r="U114" s="843"/>
      <c r="V114" s="843"/>
      <c r="W114" s="843"/>
      <c r="X114" s="870"/>
      <c r="Y114" s="843" t="str">
        <f>IF(OR(ISNA(MATCH(MID(X114,1,3)*1,UomConversion!$D$8:$D$500,0)),H114=""),"",IF(AV114="","",AV114))</f>
        <v/>
      </c>
      <c r="Z114" s="843" t="str">
        <f>IF(AND(AU114&gt;0,COUNTIFS(UomConversion!$D$8:$D$500,MID(X114,1,3)*1,UomConversion!$J$8:$J$500,1)&gt;1),TEXT(AU114,"000")&amp;"."&amp;VLOOKUP(AU114,uom_list,5,FALSE),"")</f>
        <v/>
      </c>
      <c r="AA114" s="843">
        <f t="shared" si="18"/>
        <v>0</v>
      </c>
      <c r="AB114" s="843" t="str">
        <f t="shared" si="24"/>
        <v/>
      </c>
      <c r="AC114" s="843">
        <f t="shared" si="19"/>
        <v>2</v>
      </c>
      <c r="AD114" s="1214"/>
      <c r="AE114" s="1214"/>
      <c r="AF114" s="1215"/>
      <c r="AG114" s="1215"/>
      <c r="AH114" s="1215"/>
      <c r="AI114" s="1215"/>
      <c r="AJ114" s="1216"/>
      <c r="AK114" s="1216"/>
      <c r="AL114" s="1216"/>
      <c r="AM114" s="1216"/>
      <c r="AN114" s="1216"/>
      <c r="AO114" s="1216"/>
      <c r="AP114" s="1216"/>
      <c r="AQ114" s="1216"/>
      <c r="AR114" s="1216"/>
      <c r="AS114" s="1216"/>
      <c r="AT114" s="1216"/>
      <c r="AU114" s="1120" t="str" cm="1">
        <f t="array" ref="AU114">IF(H114="","",Slookup(MID(X114,1,3)*1,UomConversion!$D$8:$J$500,2,UomConversion!$I$8:$I$500,1,UomConversion!$J$8:$J$500,1))</f>
        <v/>
      </c>
      <c r="AV114" s="401" t="str">
        <f t="shared" si="20"/>
        <v/>
      </c>
      <c r="AW114" s="757" t="str">
        <f t="shared" si="21"/>
        <v/>
      </c>
      <c r="AX114" s="757" t="str">
        <f t="shared" si="22"/>
        <v/>
      </c>
      <c r="AY114" s="757" t="str">
        <f t="shared" si="23"/>
        <v/>
      </c>
      <c r="AZ114" s="1209" cm="1">
        <f t="array" ref="AZ114">IF(Y114="",1,Slookup(MID(X114,1,3)*1,UomConversion!$D$8:$J$500,5,UomConversion!$E$8:$E$500,MID(Y114,1,3)*1,UomConversion!$I$8:$I$500,1))</f>
        <v>1</v>
      </c>
      <c r="BA114" s="1209" cm="1">
        <f t="array" ref="BA114">IF(Z114="",1,Slookup(MID(X114,1,3)*1,UomConversion!$D$8:$J$500,5,UomConversion!$E$8:$E$500,MID(Z114,1,3)*1,UomConversion!$I$8:$I$500,1))</f>
        <v>1</v>
      </c>
      <c r="BB114" s="1217">
        <f t="shared" si="25"/>
        <v>0</v>
      </c>
      <c r="BC114" s="1217"/>
      <c r="BD114" s="1217"/>
    </row>
    <row r="115" spans="2:56" s="1120" customFormat="1" ht="24.95" customHeight="1">
      <c r="B115" s="445"/>
      <c r="C115" s="843"/>
      <c r="D115" s="843"/>
      <c r="E115" s="843"/>
      <c r="F115" s="1116"/>
      <c r="G115" s="1117"/>
      <c r="H115" s="868"/>
      <c r="I115" s="1118"/>
      <c r="J115" s="1138"/>
      <c r="K115" s="1138"/>
      <c r="L115" s="870"/>
      <c r="M115" s="868"/>
      <c r="N115" s="1118"/>
      <c r="O115" s="1119"/>
      <c r="P115" s="884"/>
      <c r="Q115" s="885"/>
      <c r="R115" s="843"/>
      <c r="S115" s="843"/>
      <c r="T115" s="843"/>
      <c r="U115" s="843"/>
      <c r="V115" s="843"/>
      <c r="W115" s="843"/>
      <c r="X115" s="870"/>
      <c r="Y115" s="843" t="str">
        <f>IF(OR(ISNA(MATCH(MID(X115,1,3)*1,UomConversion!$D$8:$D$500,0)),H115=""),"",IF(AV115="","",AV115))</f>
        <v/>
      </c>
      <c r="Z115" s="843" t="str">
        <f>IF(AND(AU115&gt;0,COUNTIFS(UomConversion!$D$8:$D$500,MID(X115,1,3)*1,UomConversion!$J$8:$J$500,1)&gt;1),TEXT(AU115,"000")&amp;"."&amp;VLOOKUP(AU115,uom_list,5,FALSE),"")</f>
        <v/>
      </c>
      <c r="AA115" s="843">
        <f t="shared" si="18"/>
        <v>0</v>
      </c>
      <c r="AB115" s="843" t="str">
        <f t="shared" si="24"/>
        <v/>
      </c>
      <c r="AC115" s="843">
        <f t="shared" si="19"/>
        <v>2</v>
      </c>
      <c r="AD115" s="1214"/>
      <c r="AE115" s="1214"/>
      <c r="AF115" s="1215"/>
      <c r="AG115" s="1215"/>
      <c r="AH115" s="1215"/>
      <c r="AI115" s="1215"/>
      <c r="AJ115" s="1216"/>
      <c r="AK115" s="1216"/>
      <c r="AL115" s="1216"/>
      <c r="AM115" s="1216"/>
      <c r="AN115" s="1216"/>
      <c r="AO115" s="1216"/>
      <c r="AP115" s="1216"/>
      <c r="AQ115" s="1216"/>
      <c r="AR115" s="1216"/>
      <c r="AS115" s="1216"/>
      <c r="AT115" s="1216"/>
      <c r="AU115" s="1120" t="str" cm="1">
        <f t="array" ref="AU115">IF(H115="","",Slookup(MID(X115,1,3)*1,UomConversion!$D$8:$J$500,2,UomConversion!$I$8:$I$500,1,UomConversion!$J$8:$J$500,1))</f>
        <v/>
      </c>
      <c r="AV115" s="401" t="str">
        <f t="shared" si="20"/>
        <v/>
      </c>
      <c r="AW115" s="757" t="str">
        <f t="shared" si="21"/>
        <v/>
      </c>
      <c r="AX115" s="757" t="str">
        <f t="shared" si="22"/>
        <v/>
      </c>
      <c r="AY115" s="757" t="str">
        <f t="shared" si="23"/>
        <v/>
      </c>
      <c r="AZ115" s="1209" cm="1">
        <f t="array" ref="AZ115">IF(Y115="",1,Slookup(MID(X115,1,3)*1,UomConversion!$D$8:$J$500,5,UomConversion!$E$8:$E$500,MID(Y115,1,3)*1,UomConversion!$I$8:$I$500,1))</f>
        <v>1</v>
      </c>
      <c r="BA115" s="1209" cm="1">
        <f t="array" ref="BA115">IF(Z115="",1,Slookup(MID(X115,1,3)*1,UomConversion!$D$8:$J$500,5,UomConversion!$E$8:$E$500,MID(Z115,1,3)*1,UomConversion!$I$8:$I$500,1))</f>
        <v>1</v>
      </c>
      <c r="BB115" s="1217">
        <f t="shared" si="25"/>
        <v>0</v>
      </c>
      <c r="BC115" s="1217"/>
      <c r="BD115" s="1217"/>
    </row>
    <row r="116" spans="2:56" s="1120" customFormat="1" ht="24.95" customHeight="1">
      <c r="B116" s="445"/>
      <c r="C116" s="843"/>
      <c r="D116" s="843"/>
      <c r="E116" s="843"/>
      <c r="F116" s="1116"/>
      <c r="G116" s="1117"/>
      <c r="H116" s="868"/>
      <c r="I116" s="1118"/>
      <c r="J116" s="1138"/>
      <c r="K116" s="1138"/>
      <c r="L116" s="870"/>
      <c r="M116" s="868"/>
      <c r="N116" s="1118"/>
      <c r="O116" s="1119"/>
      <c r="P116" s="884"/>
      <c r="Q116" s="885"/>
      <c r="R116" s="843"/>
      <c r="S116" s="843"/>
      <c r="T116" s="843"/>
      <c r="U116" s="843"/>
      <c r="V116" s="843"/>
      <c r="W116" s="843"/>
      <c r="X116" s="870"/>
      <c r="Y116" s="843" t="str">
        <f>IF(OR(ISNA(MATCH(MID(X116,1,3)*1,UomConversion!$D$8:$D$500,0)),H116=""),"",IF(AV116="","",AV116))</f>
        <v/>
      </c>
      <c r="Z116" s="843" t="str">
        <f>IF(AND(AU116&gt;0,COUNTIFS(UomConversion!$D$8:$D$500,MID(X116,1,3)*1,UomConversion!$J$8:$J$500,1)&gt;1),TEXT(AU116,"000")&amp;"."&amp;VLOOKUP(AU116,uom_list,5,FALSE),"")</f>
        <v/>
      </c>
      <c r="AA116" s="843">
        <f t="shared" ref="AA116:AA147" si="26">COUNT(AW116:AY116)</f>
        <v>0</v>
      </c>
      <c r="AB116" s="843" t="str">
        <f t="shared" si="24"/>
        <v/>
      </c>
      <c r="AC116" s="843">
        <f t="shared" ref="AC116:AC147" si="27">import_pro_number_of_price_type</f>
        <v>2</v>
      </c>
      <c r="AD116" s="1214"/>
      <c r="AE116" s="1214"/>
      <c r="AF116" s="1215"/>
      <c r="AG116" s="1215"/>
      <c r="AH116" s="1215"/>
      <c r="AI116" s="1215"/>
      <c r="AJ116" s="1216"/>
      <c r="AK116" s="1216"/>
      <c r="AL116" s="1216"/>
      <c r="AM116" s="1216"/>
      <c r="AN116" s="1216"/>
      <c r="AO116" s="1216"/>
      <c r="AP116" s="1216"/>
      <c r="AQ116" s="1216"/>
      <c r="AR116" s="1216"/>
      <c r="AS116" s="1216"/>
      <c r="AT116" s="1216"/>
      <c r="AU116" s="1120" t="str" cm="1">
        <f t="array" ref="AU116">IF(H116="","",Slookup(MID(X116,1,3)*1,UomConversion!$D$8:$J$500,2,UomConversion!$I$8:$I$500,1,UomConversion!$J$8:$J$500,1))</f>
        <v/>
      </c>
      <c r="AV116" s="401" t="str">
        <f t="shared" ref="AV116:AV147" si="28">IF(OR(ISNA(VLOOKUP(MID(X116,1,3)*1,uom_converion_list,2,FALSE)),H116=""),"",TEXT(VLOOKUP(MID(X116,1,3)*1,uom_converion_list,2,FALSE),"000")&amp;"."&amp;VLOOKUP(VLOOKUP(MID(X116,1,3)*1,uom_converion_list,2,FALSE),uom_list,5,FALSE))</f>
        <v/>
      </c>
      <c r="AW116" s="757" t="str">
        <f t="shared" ref="AW116:AW147" si="29">IF(X116="","",MID(X116,1,3)*1)</f>
        <v/>
      </c>
      <c r="AX116" s="757" t="str">
        <f t="shared" ref="AX116:AX147" si="30">IF(Y116="","",MID(Y116,1,3)*1)</f>
        <v/>
      </c>
      <c r="AY116" s="757" t="str">
        <f t="shared" ref="AY116:AY147" si="31">IF(Z116="","",MID(Z116,1,3)*1)</f>
        <v/>
      </c>
      <c r="AZ116" s="1209" cm="1">
        <f t="array" ref="AZ116">IF(Y116="",1,Slookup(MID(X116,1,3)*1,UomConversion!$D$8:$J$500,5,UomConversion!$E$8:$E$500,MID(Y116,1,3)*1,UomConversion!$I$8:$I$500,1))</f>
        <v>1</v>
      </c>
      <c r="BA116" s="1209" cm="1">
        <f t="array" ref="BA116">IF(Z116="",1,Slookup(MID(X116,1,3)*1,UomConversion!$D$8:$J$500,5,UomConversion!$E$8:$E$500,MID(Z116,1,3)*1,UomConversion!$I$8:$I$500,1))</f>
        <v>1</v>
      </c>
      <c r="BB116" s="1217">
        <f t="shared" si="25"/>
        <v>0</v>
      </c>
      <c r="BC116" s="1217"/>
      <c r="BD116" s="1217"/>
    </row>
    <row r="117" spans="2:56" s="1120" customFormat="1" ht="24.95" customHeight="1">
      <c r="B117" s="445"/>
      <c r="C117" s="843"/>
      <c r="D117" s="843"/>
      <c r="E117" s="843"/>
      <c r="F117" s="1116"/>
      <c r="G117" s="1117"/>
      <c r="H117" s="868"/>
      <c r="I117" s="1118"/>
      <c r="J117" s="1138"/>
      <c r="K117" s="1138"/>
      <c r="L117" s="870"/>
      <c r="M117" s="868"/>
      <c r="N117" s="1118"/>
      <c r="O117" s="1119"/>
      <c r="P117" s="884"/>
      <c r="Q117" s="885"/>
      <c r="R117" s="843"/>
      <c r="S117" s="843"/>
      <c r="T117" s="843"/>
      <c r="U117" s="843"/>
      <c r="V117" s="843"/>
      <c r="W117" s="843"/>
      <c r="X117" s="870"/>
      <c r="Y117" s="843" t="str">
        <f>IF(OR(ISNA(MATCH(MID(X117,1,3)*1,UomConversion!$D$8:$D$500,0)),H117=""),"",IF(AV117="","",AV117))</f>
        <v/>
      </c>
      <c r="Z117" s="843" t="str">
        <f>IF(AND(AU117&gt;0,COUNTIFS(UomConversion!$D$8:$D$500,MID(X117,1,3)*1,UomConversion!$J$8:$J$500,1)&gt;1),TEXT(AU117,"000")&amp;"."&amp;VLOOKUP(AU117,uom_list,5,FALSE),"")</f>
        <v/>
      </c>
      <c r="AA117" s="843">
        <f t="shared" si="26"/>
        <v>0</v>
      </c>
      <c r="AB117" s="843" t="str">
        <f t="shared" si="24"/>
        <v/>
      </c>
      <c r="AC117" s="843">
        <f t="shared" si="27"/>
        <v>2</v>
      </c>
      <c r="AD117" s="1214"/>
      <c r="AE117" s="1214"/>
      <c r="AF117" s="1215"/>
      <c r="AG117" s="1215"/>
      <c r="AH117" s="1215"/>
      <c r="AI117" s="1215"/>
      <c r="AJ117" s="1216"/>
      <c r="AK117" s="1216"/>
      <c r="AL117" s="1216"/>
      <c r="AM117" s="1216"/>
      <c r="AN117" s="1216"/>
      <c r="AO117" s="1216"/>
      <c r="AP117" s="1216"/>
      <c r="AQ117" s="1216"/>
      <c r="AR117" s="1216"/>
      <c r="AS117" s="1216"/>
      <c r="AT117" s="1216"/>
      <c r="AU117" s="1120" t="str" cm="1">
        <f t="array" ref="AU117">IF(H117="","",Slookup(MID(X117,1,3)*1,UomConversion!$D$8:$J$500,2,UomConversion!$I$8:$I$500,1,UomConversion!$J$8:$J$500,1))</f>
        <v/>
      </c>
      <c r="AV117" s="401" t="str">
        <f t="shared" si="28"/>
        <v/>
      </c>
      <c r="AW117" s="757" t="str">
        <f t="shared" si="29"/>
        <v/>
      </c>
      <c r="AX117" s="757" t="str">
        <f t="shared" si="30"/>
        <v/>
      </c>
      <c r="AY117" s="757" t="str">
        <f t="shared" si="31"/>
        <v/>
      </c>
      <c r="AZ117" s="1209" cm="1">
        <f t="array" ref="AZ117">IF(Y117="",1,Slookup(MID(X117,1,3)*1,UomConversion!$D$8:$J$500,5,UomConversion!$E$8:$E$500,MID(Y117,1,3)*1,UomConversion!$I$8:$I$500,1))</f>
        <v>1</v>
      </c>
      <c r="BA117" s="1209" cm="1">
        <f t="array" ref="BA117">IF(Z117="",1,Slookup(MID(X117,1,3)*1,UomConversion!$D$8:$J$500,5,UomConversion!$E$8:$E$500,MID(Z117,1,3)*1,UomConversion!$I$8:$I$500,1))</f>
        <v>1</v>
      </c>
      <c r="BB117" s="1217">
        <f t="shared" si="25"/>
        <v>0</v>
      </c>
      <c r="BC117" s="1217"/>
      <c r="BD117" s="1217"/>
    </row>
    <row r="118" spans="2:56" s="1120" customFormat="1" ht="24.95" customHeight="1">
      <c r="B118" s="445"/>
      <c r="C118" s="843"/>
      <c r="D118" s="843"/>
      <c r="E118" s="843"/>
      <c r="F118" s="1116"/>
      <c r="G118" s="1117"/>
      <c r="H118" s="868"/>
      <c r="I118" s="1118"/>
      <c r="J118" s="1138"/>
      <c r="K118" s="1138"/>
      <c r="L118" s="870"/>
      <c r="M118" s="868"/>
      <c r="N118" s="1118"/>
      <c r="O118" s="1119"/>
      <c r="P118" s="884"/>
      <c r="Q118" s="885"/>
      <c r="R118" s="843"/>
      <c r="S118" s="843"/>
      <c r="T118" s="843"/>
      <c r="U118" s="843"/>
      <c r="V118" s="843"/>
      <c r="W118" s="843"/>
      <c r="X118" s="870"/>
      <c r="Y118" s="843" t="str">
        <f>IF(OR(ISNA(MATCH(MID(X118,1,3)*1,UomConversion!$D$8:$D$500,0)),H118=""),"",IF(AV118="","",AV118))</f>
        <v/>
      </c>
      <c r="Z118" s="843" t="str">
        <f>IF(AND(AU118&gt;0,COUNTIFS(UomConversion!$D$8:$D$500,MID(X118,1,3)*1,UomConversion!$J$8:$J$500,1)&gt;1),TEXT(AU118,"000")&amp;"."&amp;VLOOKUP(AU118,uom_list,5,FALSE),"")</f>
        <v/>
      </c>
      <c r="AA118" s="843">
        <f t="shared" si="26"/>
        <v>0</v>
      </c>
      <c r="AB118" s="843" t="str">
        <f t="shared" si="24"/>
        <v/>
      </c>
      <c r="AC118" s="843">
        <f t="shared" si="27"/>
        <v>2</v>
      </c>
      <c r="AD118" s="1214"/>
      <c r="AE118" s="1214"/>
      <c r="AF118" s="1215"/>
      <c r="AG118" s="1215"/>
      <c r="AH118" s="1215"/>
      <c r="AI118" s="1215"/>
      <c r="AJ118" s="1216"/>
      <c r="AK118" s="1216"/>
      <c r="AL118" s="1216"/>
      <c r="AM118" s="1216"/>
      <c r="AN118" s="1216"/>
      <c r="AO118" s="1216"/>
      <c r="AP118" s="1216"/>
      <c r="AQ118" s="1216"/>
      <c r="AR118" s="1216"/>
      <c r="AS118" s="1216"/>
      <c r="AT118" s="1216"/>
      <c r="AU118" s="1120" t="str" cm="1">
        <f t="array" ref="AU118">IF(H118="","",Slookup(MID(X118,1,3)*1,UomConversion!$D$8:$J$500,2,UomConversion!$I$8:$I$500,1,UomConversion!$J$8:$J$500,1))</f>
        <v/>
      </c>
      <c r="AV118" s="401" t="str">
        <f t="shared" si="28"/>
        <v/>
      </c>
      <c r="AW118" s="757" t="str">
        <f t="shared" si="29"/>
        <v/>
      </c>
      <c r="AX118" s="757" t="str">
        <f t="shared" si="30"/>
        <v/>
      </c>
      <c r="AY118" s="757" t="str">
        <f t="shared" si="31"/>
        <v/>
      </c>
      <c r="AZ118" s="1209" cm="1">
        <f t="array" ref="AZ118">IF(Y118="",1,Slookup(MID(X118,1,3)*1,UomConversion!$D$8:$J$500,5,UomConversion!$E$8:$E$500,MID(Y118,1,3)*1,UomConversion!$I$8:$I$500,1))</f>
        <v>1</v>
      </c>
      <c r="BA118" s="1209" cm="1">
        <f t="array" ref="BA118">IF(Z118="",1,Slookup(MID(X118,1,3)*1,UomConversion!$D$8:$J$500,5,UomConversion!$E$8:$E$500,MID(Z118,1,3)*1,UomConversion!$I$8:$I$500,1))</f>
        <v>1</v>
      </c>
      <c r="BB118" s="1217">
        <f t="shared" si="25"/>
        <v>0</v>
      </c>
      <c r="BC118" s="1217"/>
      <c r="BD118" s="1217"/>
    </row>
    <row r="119" spans="2:56" s="1120" customFormat="1" ht="24.95" customHeight="1">
      <c r="B119" s="445"/>
      <c r="C119" s="843"/>
      <c r="D119" s="843"/>
      <c r="E119" s="843"/>
      <c r="F119" s="1116"/>
      <c r="G119" s="1117"/>
      <c r="H119" s="868"/>
      <c r="I119" s="1118"/>
      <c r="J119" s="1138"/>
      <c r="K119" s="1138"/>
      <c r="L119" s="870"/>
      <c r="M119" s="868"/>
      <c r="N119" s="1118"/>
      <c r="O119" s="1119"/>
      <c r="P119" s="884"/>
      <c r="Q119" s="885"/>
      <c r="R119" s="843"/>
      <c r="S119" s="843"/>
      <c r="T119" s="843"/>
      <c r="U119" s="843"/>
      <c r="V119" s="843"/>
      <c r="W119" s="843"/>
      <c r="X119" s="870"/>
      <c r="Y119" s="843" t="str">
        <f>IF(OR(ISNA(MATCH(MID(X119,1,3)*1,UomConversion!$D$8:$D$500,0)),H119=""),"",IF(AV119="","",AV119))</f>
        <v/>
      </c>
      <c r="Z119" s="843" t="str">
        <f>IF(AND(AU119&gt;0,COUNTIFS(UomConversion!$D$8:$D$500,MID(X119,1,3)*1,UomConversion!$J$8:$J$500,1)&gt;1),TEXT(AU119,"000")&amp;"."&amp;VLOOKUP(AU119,uom_list,5,FALSE),"")</f>
        <v/>
      </c>
      <c r="AA119" s="843">
        <f t="shared" si="26"/>
        <v>0</v>
      </c>
      <c r="AB119" s="843" t="str">
        <f t="shared" si="24"/>
        <v/>
      </c>
      <c r="AC119" s="843">
        <f t="shared" si="27"/>
        <v>2</v>
      </c>
      <c r="AD119" s="1214"/>
      <c r="AE119" s="1214"/>
      <c r="AF119" s="1215"/>
      <c r="AG119" s="1215"/>
      <c r="AH119" s="1215"/>
      <c r="AI119" s="1215"/>
      <c r="AJ119" s="1216"/>
      <c r="AK119" s="1216"/>
      <c r="AL119" s="1216"/>
      <c r="AM119" s="1216"/>
      <c r="AN119" s="1216"/>
      <c r="AO119" s="1216"/>
      <c r="AP119" s="1216"/>
      <c r="AQ119" s="1216"/>
      <c r="AR119" s="1216"/>
      <c r="AS119" s="1216"/>
      <c r="AT119" s="1216"/>
      <c r="AU119" s="1120" t="str" cm="1">
        <f t="array" ref="AU119">IF(H119="","",Slookup(MID(X119,1,3)*1,UomConversion!$D$8:$J$500,2,UomConversion!$I$8:$I$500,1,UomConversion!$J$8:$J$500,1))</f>
        <v/>
      </c>
      <c r="AV119" s="401" t="str">
        <f t="shared" si="28"/>
        <v/>
      </c>
      <c r="AW119" s="757" t="str">
        <f t="shared" si="29"/>
        <v/>
      </c>
      <c r="AX119" s="757" t="str">
        <f t="shared" si="30"/>
        <v/>
      </c>
      <c r="AY119" s="757" t="str">
        <f t="shared" si="31"/>
        <v/>
      </c>
      <c r="AZ119" s="1209" cm="1">
        <f t="array" ref="AZ119">IF(Y119="",1,Slookup(MID(X119,1,3)*1,UomConversion!$D$8:$J$500,5,UomConversion!$E$8:$E$500,MID(Y119,1,3)*1,UomConversion!$I$8:$I$500,1))</f>
        <v>1</v>
      </c>
      <c r="BA119" s="1209" cm="1">
        <f t="array" ref="BA119">IF(Z119="",1,Slookup(MID(X119,1,3)*1,UomConversion!$D$8:$J$500,5,UomConversion!$E$8:$E$500,MID(Z119,1,3)*1,UomConversion!$I$8:$I$500,1))</f>
        <v>1</v>
      </c>
      <c r="BB119" s="1217">
        <f t="shared" si="25"/>
        <v>0</v>
      </c>
      <c r="BC119" s="1217"/>
      <c r="BD119" s="1217"/>
    </row>
    <row r="120" spans="2:56" s="1120" customFormat="1" ht="24.95" customHeight="1">
      <c r="B120" s="445"/>
      <c r="C120" s="843"/>
      <c r="D120" s="843"/>
      <c r="E120" s="843"/>
      <c r="F120" s="1116"/>
      <c r="G120" s="1117"/>
      <c r="H120" s="868"/>
      <c r="I120" s="1118"/>
      <c r="J120" s="1138"/>
      <c r="K120" s="1138"/>
      <c r="L120" s="870"/>
      <c r="M120" s="868"/>
      <c r="N120" s="1118"/>
      <c r="O120" s="1119"/>
      <c r="P120" s="884"/>
      <c r="Q120" s="885"/>
      <c r="R120" s="843"/>
      <c r="S120" s="843"/>
      <c r="T120" s="843"/>
      <c r="U120" s="843"/>
      <c r="V120" s="843"/>
      <c r="W120" s="843"/>
      <c r="X120" s="870"/>
      <c r="Y120" s="843" t="str">
        <f>IF(OR(ISNA(MATCH(MID(X120,1,3)*1,UomConversion!$D$8:$D$500,0)),H120=""),"",IF(AV120="","",AV120))</f>
        <v/>
      </c>
      <c r="Z120" s="843" t="str">
        <f>IF(AND(AU120&gt;0,COUNTIFS(UomConversion!$D$8:$D$500,MID(X120,1,3)*1,UomConversion!$J$8:$J$500,1)&gt;1),TEXT(AU120,"000")&amp;"."&amp;VLOOKUP(AU120,uom_list,5,FALSE),"")</f>
        <v/>
      </c>
      <c r="AA120" s="843">
        <f t="shared" si="26"/>
        <v>0</v>
      </c>
      <c r="AB120" s="843" t="str">
        <f t="shared" si="24"/>
        <v/>
      </c>
      <c r="AC120" s="843">
        <f t="shared" si="27"/>
        <v>2</v>
      </c>
      <c r="AD120" s="1219"/>
      <c r="AE120" s="1214"/>
      <c r="AF120" s="1215"/>
      <c r="AG120" s="1215"/>
      <c r="AH120" s="1215"/>
      <c r="AI120" s="1215"/>
      <c r="AJ120" s="1216"/>
      <c r="AK120" s="1216"/>
      <c r="AL120" s="1216"/>
      <c r="AM120" s="1216"/>
      <c r="AN120" s="1216"/>
      <c r="AO120" s="1216"/>
      <c r="AP120" s="1216"/>
      <c r="AQ120" s="1216"/>
      <c r="AR120" s="1216"/>
      <c r="AS120" s="1216"/>
      <c r="AT120" s="1216"/>
      <c r="AU120" s="1120" t="str" cm="1">
        <f t="array" ref="AU120">IF(H120="","",Slookup(MID(X120,1,3)*1,UomConversion!$D$8:$J$500,2,UomConversion!$I$8:$I$500,1,UomConversion!$J$8:$J$500,1))</f>
        <v/>
      </c>
      <c r="AV120" s="401" t="str">
        <f t="shared" si="28"/>
        <v/>
      </c>
      <c r="AW120" s="757" t="str">
        <f t="shared" si="29"/>
        <v/>
      </c>
      <c r="AX120" s="757" t="str">
        <f t="shared" si="30"/>
        <v/>
      </c>
      <c r="AY120" s="757" t="str">
        <f t="shared" si="31"/>
        <v/>
      </c>
      <c r="AZ120" s="1209" cm="1">
        <f t="array" ref="AZ120">IF(Y120="",1,Slookup(MID(X120,1,3)*1,UomConversion!$D$8:$J$500,5,UomConversion!$E$8:$E$500,MID(Y120,1,3)*1,UomConversion!$I$8:$I$500,1))</f>
        <v>1</v>
      </c>
      <c r="BA120" s="1209" cm="1">
        <f t="array" ref="BA120">IF(Z120="",1,Slookup(MID(X120,1,3)*1,UomConversion!$D$8:$J$500,5,UomConversion!$E$8:$E$500,MID(Z120,1,3)*1,UomConversion!$I$8:$I$500,1))</f>
        <v>1</v>
      </c>
      <c r="BB120" s="1217">
        <f t="shared" si="25"/>
        <v>0</v>
      </c>
      <c r="BC120" s="1217"/>
      <c r="BD120" s="1221"/>
    </row>
    <row r="121" spans="2:56" s="1120" customFormat="1" ht="24.95" customHeight="1">
      <c r="B121" s="445"/>
      <c r="C121" s="843"/>
      <c r="D121" s="843"/>
      <c r="E121" s="843"/>
      <c r="F121" s="1116"/>
      <c r="G121" s="1117"/>
      <c r="H121" s="868"/>
      <c r="I121" s="1118"/>
      <c r="J121" s="1138"/>
      <c r="K121" s="1138"/>
      <c r="L121" s="870"/>
      <c r="M121" s="868"/>
      <c r="N121" s="1118"/>
      <c r="O121" s="1119"/>
      <c r="P121" s="884"/>
      <c r="Q121" s="885"/>
      <c r="R121" s="843"/>
      <c r="S121" s="843"/>
      <c r="T121" s="843"/>
      <c r="U121" s="843"/>
      <c r="V121" s="843"/>
      <c r="W121" s="843"/>
      <c r="X121" s="870"/>
      <c r="Y121" s="843" t="str">
        <f>IF(OR(ISNA(MATCH(MID(X121,1,3)*1,UomConversion!$D$8:$D$500,0)),H121=""),"",IF(AV121="","",AV121))</f>
        <v/>
      </c>
      <c r="Z121" s="843" t="str">
        <f>IF(AND(AU121&gt;0,COUNTIFS(UomConversion!$D$8:$D$500,MID(X121,1,3)*1,UomConversion!$J$8:$J$500,1)&gt;1),TEXT(AU121,"000")&amp;"."&amp;VLOOKUP(AU121,uom_list,5,FALSE),"")</f>
        <v/>
      </c>
      <c r="AA121" s="843">
        <f t="shared" si="26"/>
        <v>0</v>
      </c>
      <c r="AB121" s="843" t="str">
        <f t="shared" si="24"/>
        <v/>
      </c>
      <c r="AC121" s="843">
        <f t="shared" si="27"/>
        <v>2</v>
      </c>
      <c r="AD121" s="1214"/>
      <c r="AE121" s="1214"/>
      <c r="AF121" s="1215"/>
      <c r="AG121" s="1215"/>
      <c r="AH121" s="1215"/>
      <c r="AI121" s="1215"/>
      <c r="AJ121" s="1216"/>
      <c r="AK121" s="1216"/>
      <c r="AL121" s="1216"/>
      <c r="AM121" s="1216"/>
      <c r="AN121" s="1216"/>
      <c r="AO121" s="1216"/>
      <c r="AP121" s="1216"/>
      <c r="AQ121" s="1216"/>
      <c r="AR121" s="1216"/>
      <c r="AS121" s="1216"/>
      <c r="AT121" s="1216"/>
      <c r="AU121" s="1120" t="str" cm="1">
        <f t="array" ref="AU121">IF(H121="","",Slookup(MID(X121,1,3)*1,UomConversion!$D$8:$J$500,2,UomConversion!$I$8:$I$500,1,UomConversion!$J$8:$J$500,1))</f>
        <v/>
      </c>
      <c r="AV121" s="401" t="str">
        <f t="shared" si="28"/>
        <v/>
      </c>
      <c r="AW121" s="757" t="str">
        <f t="shared" si="29"/>
        <v/>
      </c>
      <c r="AX121" s="757" t="str">
        <f t="shared" si="30"/>
        <v/>
      </c>
      <c r="AY121" s="757" t="str">
        <f t="shared" si="31"/>
        <v/>
      </c>
      <c r="AZ121" s="1209" cm="1">
        <f t="array" ref="AZ121">IF(Y121="",1,Slookup(MID(X121,1,3)*1,UomConversion!$D$8:$J$500,5,UomConversion!$E$8:$E$500,MID(Y121,1,3)*1,UomConversion!$I$8:$I$500,1))</f>
        <v>1</v>
      </c>
      <c r="BA121" s="1209" cm="1">
        <f t="array" ref="BA121">IF(Z121="",1,Slookup(MID(X121,1,3)*1,UomConversion!$D$8:$J$500,5,UomConversion!$E$8:$E$500,MID(Z121,1,3)*1,UomConversion!$I$8:$I$500,1))</f>
        <v>1</v>
      </c>
      <c r="BB121" s="1217">
        <f t="shared" si="25"/>
        <v>0</v>
      </c>
      <c r="BC121" s="1217"/>
      <c r="BD121" s="1217"/>
    </row>
    <row r="122" spans="2:56" s="1120" customFormat="1" ht="24.95" customHeight="1">
      <c r="B122" s="445"/>
      <c r="C122" s="843"/>
      <c r="D122" s="843"/>
      <c r="E122" s="843"/>
      <c r="F122" s="1116"/>
      <c r="G122" s="1117"/>
      <c r="H122" s="868"/>
      <c r="I122" s="1118"/>
      <c r="J122" s="1138"/>
      <c r="K122" s="1138"/>
      <c r="L122" s="870"/>
      <c r="M122" s="868"/>
      <c r="N122" s="1118"/>
      <c r="O122" s="1119"/>
      <c r="P122" s="884"/>
      <c r="Q122" s="885"/>
      <c r="R122" s="843"/>
      <c r="S122" s="843"/>
      <c r="T122" s="843"/>
      <c r="U122" s="843"/>
      <c r="V122" s="843"/>
      <c r="W122" s="843"/>
      <c r="X122" s="870"/>
      <c r="Y122" s="843" t="str">
        <f>IF(OR(ISNA(MATCH(MID(X122,1,3)*1,UomConversion!$D$8:$D$500,0)),H122=""),"",IF(AV122="","",AV122))</f>
        <v/>
      </c>
      <c r="Z122" s="843" t="str">
        <f>IF(AND(AU122&gt;0,COUNTIFS(UomConversion!$D$8:$D$500,MID(X122,1,3)*1,UomConversion!$J$8:$J$500,1)&gt;1),TEXT(AU122,"000")&amp;"."&amp;VLOOKUP(AU122,uom_list,5,FALSE),"")</f>
        <v/>
      </c>
      <c r="AA122" s="843">
        <f t="shared" si="26"/>
        <v>0</v>
      </c>
      <c r="AB122" s="843" t="str">
        <f t="shared" si="24"/>
        <v/>
      </c>
      <c r="AC122" s="843">
        <f t="shared" si="27"/>
        <v>2</v>
      </c>
      <c r="AD122" s="1214"/>
      <c r="AE122" s="1214"/>
      <c r="AF122" s="1215"/>
      <c r="AG122" s="1215"/>
      <c r="AH122" s="1215"/>
      <c r="AI122" s="1215"/>
      <c r="AJ122" s="1216"/>
      <c r="AK122" s="1216"/>
      <c r="AL122" s="1216"/>
      <c r="AM122" s="1216"/>
      <c r="AN122" s="1216"/>
      <c r="AO122" s="1216"/>
      <c r="AP122" s="1216"/>
      <c r="AQ122" s="1216"/>
      <c r="AR122" s="1216"/>
      <c r="AS122" s="1216"/>
      <c r="AT122" s="1216"/>
      <c r="AU122" s="1120" t="str" cm="1">
        <f t="array" ref="AU122">IF(H122="","",Slookup(MID(X122,1,3)*1,UomConversion!$D$8:$J$500,2,UomConversion!$I$8:$I$500,1,UomConversion!$J$8:$J$500,1))</f>
        <v/>
      </c>
      <c r="AV122" s="401" t="str">
        <f t="shared" si="28"/>
        <v/>
      </c>
      <c r="AW122" s="757" t="str">
        <f t="shared" si="29"/>
        <v/>
      </c>
      <c r="AX122" s="757" t="str">
        <f t="shared" si="30"/>
        <v/>
      </c>
      <c r="AY122" s="757" t="str">
        <f t="shared" si="31"/>
        <v/>
      </c>
      <c r="AZ122" s="1209" cm="1">
        <f t="array" ref="AZ122">IF(Y122="",1,Slookup(MID(X122,1,3)*1,UomConversion!$D$8:$J$500,5,UomConversion!$E$8:$E$500,MID(Y122,1,3)*1,UomConversion!$I$8:$I$500,1))</f>
        <v>1</v>
      </c>
      <c r="BA122" s="1209" cm="1">
        <f t="array" ref="BA122">IF(Z122="",1,Slookup(MID(X122,1,3)*1,UomConversion!$D$8:$J$500,5,UomConversion!$E$8:$E$500,MID(Z122,1,3)*1,UomConversion!$I$8:$I$500,1))</f>
        <v>1</v>
      </c>
      <c r="BB122" s="1217">
        <f t="shared" si="25"/>
        <v>0</v>
      </c>
      <c r="BC122" s="1217"/>
      <c r="BD122" s="1217"/>
    </row>
    <row r="123" spans="2:56" s="1120" customFormat="1" ht="24.95" customHeight="1">
      <c r="B123" s="445"/>
      <c r="C123" s="843"/>
      <c r="D123" s="843"/>
      <c r="E123" s="843"/>
      <c r="F123" s="1116"/>
      <c r="G123" s="1117"/>
      <c r="H123" s="868"/>
      <c r="I123" s="1118"/>
      <c r="J123" s="1138"/>
      <c r="K123" s="1138"/>
      <c r="L123" s="870"/>
      <c r="M123" s="868"/>
      <c r="N123" s="1118"/>
      <c r="O123" s="1119"/>
      <c r="P123" s="884"/>
      <c r="Q123" s="885"/>
      <c r="R123" s="843"/>
      <c r="S123" s="843"/>
      <c r="T123" s="843"/>
      <c r="U123" s="843"/>
      <c r="V123" s="843"/>
      <c r="W123" s="843"/>
      <c r="X123" s="870"/>
      <c r="Y123" s="843" t="str">
        <f>IF(OR(ISNA(MATCH(MID(X123,1,3)*1,UomConversion!$D$8:$D$500,0)),H123=""),"",IF(AV123="","",AV123))</f>
        <v/>
      </c>
      <c r="Z123" s="843" t="str">
        <f>IF(AND(AU123&gt;0,COUNTIFS(UomConversion!$D$8:$D$500,MID(X123,1,3)*1,UomConversion!$J$8:$J$500,1)&gt;1),TEXT(AU123,"000")&amp;"."&amp;VLOOKUP(AU123,uom_list,5,FALSE),"")</f>
        <v/>
      </c>
      <c r="AA123" s="843">
        <f t="shared" si="26"/>
        <v>0</v>
      </c>
      <c r="AB123" s="843" t="str">
        <f t="shared" si="24"/>
        <v/>
      </c>
      <c r="AC123" s="843">
        <f t="shared" si="27"/>
        <v>2</v>
      </c>
      <c r="AD123" s="1214"/>
      <c r="AE123" s="1214"/>
      <c r="AF123" s="1215"/>
      <c r="AG123" s="1215"/>
      <c r="AH123" s="1215"/>
      <c r="AI123" s="1215"/>
      <c r="AJ123" s="1216"/>
      <c r="AK123" s="1216"/>
      <c r="AL123" s="1216"/>
      <c r="AM123" s="1216"/>
      <c r="AN123" s="1216"/>
      <c r="AO123" s="1216"/>
      <c r="AP123" s="1216"/>
      <c r="AQ123" s="1216"/>
      <c r="AR123" s="1216"/>
      <c r="AS123" s="1216"/>
      <c r="AT123" s="1216"/>
      <c r="AU123" s="1120" t="str" cm="1">
        <f t="array" ref="AU123">IF(H123="","",Slookup(MID(X123,1,3)*1,UomConversion!$D$8:$J$500,2,UomConversion!$I$8:$I$500,1,UomConversion!$J$8:$J$500,1))</f>
        <v/>
      </c>
      <c r="AV123" s="401" t="str">
        <f t="shared" si="28"/>
        <v/>
      </c>
      <c r="AW123" s="757" t="str">
        <f t="shared" si="29"/>
        <v/>
      </c>
      <c r="AX123" s="757" t="str">
        <f t="shared" si="30"/>
        <v/>
      </c>
      <c r="AY123" s="757" t="str">
        <f t="shared" si="31"/>
        <v/>
      </c>
      <c r="AZ123" s="1209" cm="1">
        <f t="array" ref="AZ123">IF(Y123="",1,Slookup(MID(X123,1,3)*1,UomConversion!$D$8:$J$500,5,UomConversion!$E$8:$E$500,MID(Y123,1,3)*1,UomConversion!$I$8:$I$500,1))</f>
        <v>1</v>
      </c>
      <c r="BA123" s="1209" cm="1">
        <f t="array" ref="BA123">IF(Z123="",1,Slookup(MID(X123,1,3)*1,UomConversion!$D$8:$J$500,5,UomConversion!$E$8:$E$500,MID(Z123,1,3)*1,UomConversion!$I$8:$I$500,1))</f>
        <v>1</v>
      </c>
      <c r="BB123" s="1217">
        <f t="shared" si="25"/>
        <v>0</v>
      </c>
      <c r="BC123" s="1217"/>
      <c r="BD123" s="1217"/>
    </row>
    <row r="124" spans="2:56" s="1120" customFormat="1" ht="24.95" customHeight="1">
      <c r="B124" s="445"/>
      <c r="C124" s="843"/>
      <c r="D124" s="843"/>
      <c r="E124" s="843"/>
      <c r="F124" s="1116"/>
      <c r="G124" s="1117"/>
      <c r="H124" s="868"/>
      <c r="I124" s="1118"/>
      <c r="J124" s="1138"/>
      <c r="K124" s="1138"/>
      <c r="L124" s="870"/>
      <c r="M124" s="868"/>
      <c r="N124" s="1118"/>
      <c r="O124" s="1119"/>
      <c r="P124" s="884"/>
      <c r="Q124" s="885"/>
      <c r="R124" s="843"/>
      <c r="S124" s="843"/>
      <c r="T124" s="843"/>
      <c r="U124" s="843"/>
      <c r="V124" s="843"/>
      <c r="W124" s="843"/>
      <c r="X124" s="870"/>
      <c r="Y124" s="843" t="str">
        <f>IF(OR(ISNA(MATCH(MID(X124,1,3)*1,UomConversion!$D$8:$D$500,0)),H124=""),"",IF(AV124="","",AV124))</f>
        <v/>
      </c>
      <c r="Z124" s="843" t="str">
        <f>IF(AND(AU124&gt;0,COUNTIFS(UomConversion!$D$8:$D$500,MID(X124,1,3)*1,UomConversion!$J$8:$J$500,1)&gt;1),TEXT(AU124,"000")&amp;"."&amp;VLOOKUP(AU124,uom_list,5,FALSE),"")</f>
        <v/>
      </c>
      <c r="AA124" s="843">
        <f t="shared" si="26"/>
        <v>0</v>
      </c>
      <c r="AB124" s="843" t="str">
        <f t="shared" si="24"/>
        <v/>
      </c>
      <c r="AC124" s="843">
        <f t="shared" si="27"/>
        <v>2</v>
      </c>
      <c r="AD124" s="1214"/>
      <c r="AE124" s="1214"/>
      <c r="AF124" s="1215"/>
      <c r="AG124" s="1215"/>
      <c r="AH124" s="1215"/>
      <c r="AI124" s="1215"/>
      <c r="AJ124" s="1216"/>
      <c r="AK124" s="1216"/>
      <c r="AL124" s="1216"/>
      <c r="AM124" s="1216"/>
      <c r="AN124" s="1216"/>
      <c r="AO124" s="1216"/>
      <c r="AP124" s="1216"/>
      <c r="AQ124" s="1216"/>
      <c r="AR124" s="1216"/>
      <c r="AS124" s="1216"/>
      <c r="AT124" s="1216"/>
      <c r="AU124" s="1120" t="str" cm="1">
        <f t="array" ref="AU124">IF(H124="","",Slookup(MID(X124,1,3)*1,UomConversion!$D$8:$J$500,2,UomConversion!$I$8:$I$500,1,UomConversion!$J$8:$J$500,1))</f>
        <v/>
      </c>
      <c r="AV124" s="401" t="str">
        <f t="shared" si="28"/>
        <v/>
      </c>
      <c r="AW124" s="757" t="str">
        <f t="shared" si="29"/>
        <v/>
      </c>
      <c r="AX124" s="757" t="str">
        <f t="shared" si="30"/>
        <v/>
      </c>
      <c r="AY124" s="757" t="str">
        <f t="shared" si="31"/>
        <v/>
      </c>
      <c r="AZ124" s="1209" cm="1">
        <f t="array" ref="AZ124">IF(Y124="",1,Slookup(MID(X124,1,3)*1,UomConversion!$D$8:$J$500,5,UomConversion!$E$8:$E$500,MID(Y124,1,3)*1,UomConversion!$I$8:$I$500,1))</f>
        <v>1</v>
      </c>
      <c r="BA124" s="1209" cm="1">
        <f t="array" ref="BA124">IF(Z124="",1,Slookup(MID(X124,1,3)*1,UomConversion!$D$8:$J$500,5,UomConversion!$E$8:$E$500,MID(Z124,1,3)*1,UomConversion!$I$8:$I$500,1))</f>
        <v>1</v>
      </c>
      <c r="BB124" s="1217">
        <f t="shared" si="25"/>
        <v>0</v>
      </c>
      <c r="BC124" s="1217"/>
      <c r="BD124" s="1217"/>
    </row>
    <row r="125" spans="2:56" s="1120" customFormat="1" ht="24.95" customHeight="1">
      <c r="B125" s="445"/>
      <c r="C125" s="843"/>
      <c r="D125" s="843"/>
      <c r="E125" s="843"/>
      <c r="F125" s="1116"/>
      <c r="G125" s="1117"/>
      <c r="H125" s="868"/>
      <c r="I125" s="1118"/>
      <c r="J125" s="1138"/>
      <c r="K125" s="1138"/>
      <c r="L125" s="870"/>
      <c r="M125" s="868"/>
      <c r="N125" s="1118"/>
      <c r="O125" s="1119"/>
      <c r="P125" s="884"/>
      <c r="Q125" s="885"/>
      <c r="R125" s="843"/>
      <c r="S125" s="843"/>
      <c r="T125" s="843"/>
      <c r="U125" s="843"/>
      <c r="V125" s="843"/>
      <c r="W125" s="843"/>
      <c r="X125" s="870"/>
      <c r="Y125" s="843" t="str">
        <f>IF(OR(ISNA(MATCH(MID(X125,1,3)*1,UomConversion!$D$8:$D$500,0)),H125=""),"",IF(AV125="","",AV125))</f>
        <v/>
      </c>
      <c r="Z125" s="843" t="str">
        <f>IF(AND(AU125&gt;0,COUNTIFS(UomConversion!$D$8:$D$500,MID(X125,1,3)*1,UomConversion!$J$8:$J$500,1)&gt;1),TEXT(AU125,"000")&amp;"."&amp;VLOOKUP(AU125,uom_list,5,FALSE),"")</f>
        <v/>
      </c>
      <c r="AA125" s="843">
        <f t="shared" si="26"/>
        <v>0</v>
      </c>
      <c r="AB125" s="843" t="str">
        <f t="shared" si="24"/>
        <v/>
      </c>
      <c r="AC125" s="843">
        <f t="shared" si="27"/>
        <v>2</v>
      </c>
      <c r="AD125" s="1214"/>
      <c r="AE125" s="1214"/>
      <c r="AF125" s="1215"/>
      <c r="AG125" s="1215"/>
      <c r="AH125" s="1215"/>
      <c r="AI125" s="1215"/>
      <c r="AJ125" s="1216"/>
      <c r="AK125" s="1216"/>
      <c r="AL125" s="1216"/>
      <c r="AM125" s="1216"/>
      <c r="AN125" s="1216"/>
      <c r="AO125" s="1216"/>
      <c r="AP125" s="1216"/>
      <c r="AQ125" s="1216"/>
      <c r="AR125" s="1216"/>
      <c r="AS125" s="1216"/>
      <c r="AT125" s="1216"/>
      <c r="AU125" s="1120" t="str" cm="1">
        <f t="array" ref="AU125">IF(H125="","",Slookup(MID(X125,1,3)*1,UomConversion!$D$8:$J$500,2,UomConversion!$I$8:$I$500,1,UomConversion!$J$8:$J$500,1))</f>
        <v/>
      </c>
      <c r="AV125" s="401" t="str">
        <f t="shared" si="28"/>
        <v/>
      </c>
      <c r="AW125" s="757" t="str">
        <f t="shared" si="29"/>
        <v/>
      </c>
      <c r="AX125" s="757" t="str">
        <f t="shared" si="30"/>
        <v/>
      </c>
      <c r="AY125" s="757" t="str">
        <f t="shared" si="31"/>
        <v/>
      </c>
      <c r="AZ125" s="1209" cm="1">
        <f t="array" ref="AZ125">IF(Y125="",1,Slookup(MID(X125,1,3)*1,UomConversion!$D$8:$J$500,5,UomConversion!$E$8:$E$500,MID(Y125,1,3)*1,UomConversion!$I$8:$I$500,1))</f>
        <v>1</v>
      </c>
      <c r="BA125" s="1209" cm="1">
        <f t="array" ref="BA125">IF(Z125="",1,Slookup(MID(X125,1,3)*1,UomConversion!$D$8:$J$500,5,UomConversion!$E$8:$E$500,MID(Z125,1,3)*1,UomConversion!$I$8:$I$500,1))</f>
        <v>1</v>
      </c>
      <c r="BB125" s="1217">
        <f t="shared" si="25"/>
        <v>0</v>
      </c>
      <c r="BC125" s="1217"/>
      <c r="BD125" s="1217"/>
    </row>
    <row r="126" spans="2:56" s="1120" customFormat="1" ht="24.95" customHeight="1">
      <c r="B126" s="445"/>
      <c r="C126" s="843"/>
      <c r="D126" s="843"/>
      <c r="E126" s="843"/>
      <c r="F126" s="1116"/>
      <c r="G126" s="1117"/>
      <c r="H126" s="868"/>
      <c r="I126" s="1118"/>
      <c r="J126" s="1138"/>
      <c r="K126" s="1138"/>
      <c r="L126" s="870"/>
      <c r="M126" s="868"/>
      <c r="N126" s="1118"/>
      <c r="O126" s="1119"/>
      <c r="P126" s="884"/>
      <c r="Q126" s="885"/>
      <c r="R126" s="843"/>
      <c r="S126" s="843"/>
      <c r="T126" s="843"/>
      <c r="U126" s="843"/>
      <c r="V126" s="843"/>
      <c r="W126" s="843"/>
      <c r="X126" s="870"/>
      <c r="Y126" s="843" t="str">
        <f>IF(OR(ISNA(MATCH(MID(X126,1,3)*1,UomConversion!$D$8:$D$500,0)),H126=""),"",IF(AV126="","",AV126))</f>
        <v/>
      </c>
      <c r="Z126" s="843" t="str">
        <f>IF(AND(AU126&gt;0,COUNTIFS(UomConversion!$D$8:$D$500,MID(X126,1,3)*1,UomConversion!$J$8:$J$500,1)&gt;1),TEXT(AU126,"000")&amp;"."&amp;VLOOKUP(AU126,uom_list,5,FALSE),"")</f>
        <v/>
      </c>
      <c r="AA126" s="843">
        <f t="shared" si="26"/>
        <v>0</v>
      </c>
      <c r="AB126" s="843" t="str">
        <f t="shared" si="24"/>
        <v/>
      </c>
      <c r="AC126" s="843">
        <f t="shared" si="27"/>
        <v>2</v>
      </c>
      <c r="AD126" s="1214"/>
      <c r="AE126" s="1214"/>
      <c r="AF126" s="1215"/>
      <c r="AG126" s="1215"/>
      <c r="AH126" s="1215"/>
      <c r="AI126" s="1215"/>
      <c r="AJ126" s="1216"/>
      <c r="AK126" s="1216"/>
      <c r="AL126" s="1216"/>
      <c r="AM126" s="1216"/>
      <c r="AN126" s="1216"/>
      <c r="AO126" s="1216"/>
      <c r="AP126" s="1216"/>
      <c r="AQ126" s="1216"/>
      <c r="AR126" s="1216"/>
      <c r="AS126" s="1216"/>
      <c r="AT126" s="1216"/>
      <c r="AU126" s="1120" t="str" cm="1">
        <f t="array" ref="AU126">IF(H126="","",Slookup(MID(X126,1,3)*1,UomConversion!$D$8:$J$500,2,UomConversion!$I$8:$I$500,1,UomConversion!$J$8:$J$500,1))</f>
        <v/>
      </c>
      <c r="AV126" s="401" t="str">
        <f t="shared" si="28"/>
        <v/>
      </c>
      <c r="AW126" s="757" t="str">
        <f t="shared" si="29"/>
        <v/>
      </c>
      <c r="AX126" s="757" t="str">
        <f t="shared" si="30"/>
        <v/>
      </c>
      <c r="AY126" s="757" t="str">
        <f t="shared" si="31"/>
        <v/>
      </c>
      <c r="AZ126" s="1209" cm="1">
        <f t="array" ref="AZ126">IF(Y126="",1,Slookup(MID(X126,1,3)*1,UomConversion!$D$8:$J$500,5,UomConversion!$E$8:$E$500,MID(Y126,1,3)*1,UomConversion!$I$8:$I$500,1))</f>
        <v>1</v>
      </c>
      <c r="BA126" s="1209" cm="1">
        <f t="array" ref="BA126">IF(Z126="",1,Slookup(MID(X126,1,3)*1,UomConversion!$D$8:$J$500,5,UomConversion!$E$8:$E$500,MID(Z126,1,3)*1,UomConversion!$I$8:$I$500,1))</f>
        <v>1</v>
      </c>
      <c r="BB126" s="1217">
        <f t="shared" si="25"/>
        <v>0</v>
      </c>
      <c r="BC126" s="1217"/>
      <c r="BD126" s="1217"/>
    </row>
    <row r="127" spans="2:56" s="1120" customFormat="1" ht="24.95" customHeight="1">
      <c r="B127" s="445"/>
      <c r="C127" s="843"/>
      <c r="D127" s="843"/>
      <c r="E127" s="843"/>
      <c r="F127" s="1116"/>
      <c r="G127" s="1117"/>
      <c r="H127" s="868"/>
      <c r="I127" s="1118"/>
      <c r="J127" s="1138"/>
      <c r="K127" s="1138"/>
      <c r="L127" s="870"/>
      <c r="M127" s="868"/>
      <c r="N127" s="1118"/>
      <c r="O127" s="1119"/>
      <c r="P127" s="884"/>
      <c r="Q127" s="885"/>
      <c r="R127" s="843"/>
      <c r="S127" s="843"/>
      <c r="T127" s="843"/>
      <c r="U127" s="843"/>
      <c r="V127" s="843"/>
      <c r="W127" s="843"/>
      <c r="X127" s="870"/>
      <c r="Y127" s="843" t="str">
        <f>IF(OR(ISNA(MATCH(MID(X127,1,3)*1,UomConversion!$D$8:$D$500,0)),H127=""),"",IF(AV127="","",AV127))</f>
        <v/>
      </c>
      <c r="Z127" s="843" t="str">
        <f>IF(AND(AU127&gt;0,COUNTIFS(UomConversion!$D$8:$D$500,MID(X127,1,3)*1,UomConversion!$J$8:$J$500,1)&gt;1),TEXT(AU127,"000")&amp;"."&amp;VLOOKUP(AU127,uom_list,5,FALSE),"")</f>
        <v/>
      </c>
      <c r="AA127" s="843">
        <f t="shared" si="26"/>
        <v>0</v>
      </c>
      <c r="AB127" s="843" t="str">
        <f t="shared" si="24"/>
        <v/>
      </c>
      <c r="AC127" s="843">
        <f t="shared" si="27"/>
        <v>2</v>
      </c>
      <c r="AD127" s="1214"/>
      <c r="AE127" s="1214"/>
      <c r="AF127" s="1215"/>
      <c r="AG127" s="1215"/>
      <c r="AH127" s="1215"/>
      <c r="AI127" s="1215"/>
      <c r="AJ127" s="1216"/>
      <c r="AK127" s="1216"/>
      <c r="AL127" s="1216"/>
      <c r="AM127" s="1216"/>
      <c r="AN127" s="1216"/>
      <c r="AO127" s="1216"/>
      <c r="AP127" s="1216"/>
      <c r="AQ127" s="1216"/>
      <c r="AR127" s="1216"/>
      <c r="AS127" s="1216"/>
      <c r="AT127" s="1216"/>
      <c r="AU127" s="1120" t="str" cm="1">
        <f t="array" ref="AU127">IF(H127="","",Slookup(MID(X127,1,3)*1,UomConversion!$D$8:$J$500,2,UomConversion!$I$8:$I$500,1,UomConversion!$J$8:$J$500,1))</f>
        <v/>
      </c>
      <c r="AV127" s="401" t="str">
        <f t="shared" si="28"/>
        <v/>
      </c>
      <c r="AW127" s="757" t="str">
        <f t="shared" si="29"/>
        <v/>
      </c>
      <c r="AX127" s="757" t="str">
        <f t="shared" si="30"/>
        <v/>
      </c>
      <c r="AY127" s="757" t="str">
        <f t="shared" si="31"/>
        <v/>
      </c>
      <c r="AZ127" s="1209" cm="1">
        <f t="array" ref="AZ127">IF(Y127="",1,Slookup(MID(X127,1,3)*1,UomConversion!$D$8:$J$500,5,UomConversion!$E$8:$E$500,MID(Y127,1,3)*1,UomConversion!$I$8:$I$500,1))</f>
        <v>1</v>
      </c>
      <c r="BA127" s="1209" cm="1">
        <f t="array" ref="BA127">IF(Z127="",1,Slookup(MID(X127,1,3)*1,UomConversion!$D$8:$J$500,5,UomConversion!$E$8:$E$500,MID(Z127,1,3)*1,UomConversion!$I$8:$I$500,1))</f>
        <v>1</v>
      </c>
      <c r="BB127" s="1217">
        <f t="shared" si="25"/>
        <v>0</v>
      </c>
      <c r="BC127" s="1217"/>
      <c r="BD127" s="1217"/>
    </row>
    <row r="128" spans="2:56" s="1120" customFormat="1" ht="24.95" customHeight="1">
      <c r="B128" s="445"/>
      <c r="C128" s="843"/>
      <c r="D128" s="843"/>
      <c r="E128" s="843"/>
      <c r="F128" s="1116"/>
      <c r="G128" s="1117"/>
      <c r="H128" s="868"/>
      <c r="I128" s="1118"/>
      <c r="J128" s="1138"/>
      <c r="K128" s="1138"/>
      <c r="L128" s="870"/>
      <c r="M128" s="868"/>
      <c r="N128" s="1118"/>
      <c r="O128" s="1119"/>
      <c r="P128" s="884"/>
      <c r="Q128" s="885"/>
      <c r="R128" s="843"/>
      <c r="S128" s="843"/>
      <c r="T128" s="843"/>
      <c r="U128" s="843"/>
      <c r="V128" s="843"/>
      <c r="W128" s="843"/>
      <c r="X128" s="870"/>
      <c r="Y128" s="843" t="str">
        <f>IF(OR(ISNA(MATCH(MID(X128,1,3)*1,UomConversion!$D$8:$D$500,0)),H128=""),"",IF(AV128="","",AV128))</f>
        <v/>
      </c>
      <c r="Z128" s="843" t="str">
        <f>IF(AND(AU128&gt;0,COUNTIFS(UomConversion!$D$8:$D$500,MID(X128,1,3)*1,UomConversion!$J$8:$J$500,1)&gt;1),TEXT(AU128,"000")&amp;"."&amp;VLOOKUP(AU128,uom_list,5,FALSE),"")</f>
        <v/>
      </c>
      <c r="AA128" s="843">
        <f t="shared" si="26"/>
        <v>0</v>
      </c>
      <c r="AB128" s="843" t="str">
        <f t="shared" si="24"/>
        <v/>
      </c>
      <c r="AC128" s="843">
        <f t="shared" si="27"/>
        <v>2</v>
      </c>
      <c r="AD128" s="1214"/>
      <c r="AE128" s="1214"/>
      <c r="AF128" s="1215"/>
      <c r="AG128" s="1215"/>
      <c r="AH128" s="1215"/>
      <c r="AI128" s="1215"/>
      <c r="AJ128" s="1216"/>
      <c r="AK128" s="1216"/>
      <c r="AL128" s="1216"/>
      <c r="AM128" s="1216"/>
      <c r="AN128" s="1216"/>
      <c r="AO128" s="1216"/>
      <c r="AP128" s="1216"/>
      <c r="AQ128" s="1216"/>
      <c r="AR128" s="1216"/>
      <c r="AS128" s="1216"/>
      <c r="AT128" s="1216"/>
      <c r="AU128" s="1120" t="str" cm="1">
        <f t="array" ref="AU128">IF(H128="","",Slookup(MID(X128,1,3)*1,UomConversion!$D$8:$J$500,2,UomConversion!$I$8:$I$500,1,UomConversion!$J$8:$J$500,1))</f>
        <v/>
      </c>
      <c r="AV128" s="401" t="str">
        <f t="shared" si="28"/>
        <v/>
      </c>
      <c r="AW128" s="757" t="str">
        <f t="shared" si="29"/>
        <v/>
      </c>
      <c r="AX128" s="757" t="str">
        <f t="shared" si="30"/>
        <v/>
      </c>
      <c r="AY128" s="757" t="str">
        <f t="shared" si="31"/>
        <v/>
      </c>
      <c r="AZ128" s="1209" cm="1">
        <f t="array" ref="AZ128">IF(Y128="",1,Slookup(MID(X128,1,3)*1,UomConversion!$D$8:$J$500,5,UomConversion!$E$8:$E$500,MID(Y128,1,3)*1,UomConversion!$I$8:$I$500,1))</f>
        <v>1</v>
      </c>
      <c r="BA128" s="1209" cm="1">
        <f t="array" ref="BA128">IF(Z128="",1,Slookup(MID(X128,1,3)*1,UomConversion!$D$8:$J$500,5,UomConversion!$E$8:$E$500,MID(Z128,1,3)*1,UomConversion!$I$8:$I$500,1))</f>
        <v>1</v>
      </c>
      <c r="BB128" s="1217">
        <f t="shared" si="25"/>
        <v>0</v>
      </c>
      <c r="BC128" s="1217"/>
      <c r="BD128" s="1217"/>
    </row>
    <row r="129" spans="2:56" s="1120" customFormat="1" ht="24.95" customHeight="1">
      <c r="B129" s="445"/>
      <c r="C129" s="843"/>
      <c r="D129" s="843"/>
      <c r="E129" s="843"/>
      <c r="F129" s="1116"/>
      <c r="G129" s="1117"/>
      <c r="H129" s="868"/>
      <c r="I129" s="1118"/>
      <c r="J129" s="1138"/>
      <c r="K129" s="1138"/>
      <c r="L129" s="870"/>
      <c r="M129" s="868"/>
      <c r="N129" s="1118"/>
      <c r="O129" s="1119"/>
      <c r="P129" s="884"/>
      <c r="Q129" s="885"/>
      <c r="R129" s="843"/>
      <c r="S129" s="843"/>
      <c r="T129" s="843"/>
      <c r="U129" s="843"/>
      <c r="V129" s="843"/>
      <c r="W129" s="843"/>
      <c r="X129" s="870"/>
      <c r="Y129" s="843" t="str">
        <f>IF(OR(ISNA(MATCH(MID(X129,1,3)*1,UomConversion!$D$8:$D$500,0)),H129=""),"",IF(AV129="","",AV129))</f>
        <v/>
      </c>
      <c r="Z129" s="843" t="str">
        <f>IF(AND(AU129&gt;0,COUNTIFS(UomConversion!$D$8:$D$500,MID(X129,1,3)*1,UomConversion!$J$8:$J$500,1)&gt;1),TEXT(AU129,"000")&amp;"."&amp;VLOOKUP(AU129,uom_list,5,FALSE),"")</f>
        <v/>
      </c>
      <c r="AA129" s="843">
        <f t="shared" si="26"/>
        <v>0</v>
      </c>
      <c r="AB129" s="843" t="str">
        <f t="shared" si="24"/>
        <v/>
      </c>
      <c r="AC129" s="843">
        <f t="shared" si="27"/>
        <v>2</v>
      </c>
      <c r="AD129" s="1214"/>
      <c r="AE129" s="1214"/>
      <c r="AF129" s="1215"/>
      <c r="AG129" s="1215"/>
      <c r="AH129" s="1215"/>
      <c r="AI129" s="1215"/>
      <c r="AJ129" s="1216"/>
      <c r="AK129" s="1216"/>
      <c r="AL129" s="1216"/>
      <c r="AM129" s="1216"/>
      <c r="AN129" s="1216"/>
      <c r="AO129" s="1216"/>
      <c r="AP129" s="1216"/>
      <c r="AQ129" s="1216"/>
      <c r="AR129" s="1216"/>
      <c r="AS129" s="1216"/>
      <c r="AT129" s="1216"/>
      <c r="AU129" s="1120" t="str" cm="1">
        <f t="array" ref="AU129">IF(H129="","",Slookup(MID(X129,1,3)*1,UomConversion!$D$8:$J$500,2,UomConversion!$I$8:$I$500,1,UomConversion!$J$8:$J$500,1))</f>
        <v/>
      </c>
      <c r="AV129" s="401" t="str">
        <f t="shared" si="28"/>
        <v/>
      </c>
      <c r="AW129" s="757" t="str">
        <f t="shared" si="29"/>
        <v/>
      </c>
      <c r="AX129" s="757" t="str">
        <f t="shared" si="30"/>
        <v/>
      </c>
      <c r="AY129" s="757" t="str">
        <f t="shared" si="31"/>
        <v/>
      </c>
      <c r="AZ129" s="1209" cm="1">
        <f t="array" ref="AZ129">IF(Y129="",1,Slookup(MID(X129,1,3)*1,UomConversion!$D$8:$J$500,5,UomConversion!$E$8:$E$500,MID(Y129,1,3)*1,UomConversion!$I$8:$I$500,1))</f>
        <v>1</v>
      </c>
      <c r="BA129" s="1209" cm="1">
        <f t="array" ref="BA129">IF(Z129="",1,Slookup(MID(X129,1,3)*1,UomConversion!$D$8:$J$500,5,UomConversion!$E$8:$E$500,MID(Z129,1,3)*1,UomConversion!$I$8:$I$500,1))</f>
        <v>1</v>
      </c>
      <c r="BB129" s="1217">
        <f t="shared" si="25"/>
        <v>0</v>
      </c>
      <c r="BC129" s="1217"/>
      <c r="BD129" s="1217"/>
    </row>
    <row r="130" spans="2:56" s="1120" customFormat="1" ht="24.95" customHeight="1">
      <c r="B130" s="445"/>
      <c r="C130" s="843"/>
      <c r="D130" s="843"/>
      <c r="E130" s="843"/>
      <c r="F130" s="1116"/>
      <c r="G130" s="1117"/>
      <c r="H130" s="868"/>
      <c r="I130" s="1118"/>
      <c r="J130" s="1138"/>
      <c r="K130" s="1138"/>
      <c r="L130" s="870"/>
      <c r="M130" s="868"/>
      <c r="N130" s="1118"/>
      <c r="O130" s="1119"/>
      <c r="P130" s="884"/>
      <c r="Q130" s="885"/>
      <c r="R130" s="843"/>
      <c r="S130" s="843"/>
      <c r="T130" s="843"/>
      <c r="U130" s="843"/>
      <c r="V130" s="843"/>
      <c r="W130" s="843"/>
      <c r="X130" s="870"/>
      <c r="Y130" s="843" t="str">
        <f>IF(OR(ISNA(MATCH(MID(X130,1,3)*1,UomConversion!$D$8:$D$500,0)),H130=""),"",IF(AV130="","",AV130))</f>
        <v/>
      </c>
      <c r="Z130" s="843" t="str">
        <f>IF(AND(AU130&gt;0,COUNTIFS(UomConversion!$D$8:$D$500,MID(X130,1,3)*1,UomConversion!$J$8:$J$500,1)&gt;1),TEXT(AU130,"000")&amp;"."&amp;VLOOKUP(AU130,uom_list,5,FALSE),"")</f>
        <v/>
      </c>
      <c r="AA130" s="843">
        <f t="shared" si="26"/>
        <v>0</v>
      </c>
      <c r="AB130" s="843" t="str">
        <f t="shared" si="24"/>
        <v/>
      </c>
      <c r="AC130" s="843">
        <f t="shared" si="27"/>
        <v>2</v>
      </c>
      <c r="AD130" s="1214"/>
      <c r="AE130" s="1214"/>
      <c r="AF130" s="1215"/>
      <c r="AG130" s="1215"/>
      <c r="AH130" s="1215"/>
      <c r="AI130" s="1215"/>
      <c r="AJ130" s="1216"/>
      <c r="AK130" s="1216"/>
      <c r="AL130" s="1216"/>
      <c r="AM130" s="1216"/>
      <c r="AN130" s="1216"/>
      <c r="AO130" s="1216"/>
      <c r="AP130" s="1216"/>
      <c r="AQ130" s="1216"/>
      <c r="AR130" s="1216"/>
      <c r="AS130" s="1216"/>
      <c r="AT130" s="1216"/>
      <c r="AU130" s="1120" t="str" cm="1">
        <f t="array" ref="AU130">IF(H130="","",Slookup(MID(X130,1,3)*1,UomConversion!$D$8:$J$500,2,UomConversion!$I$8:$I$500,1,UomConversion!$J$8:$J$500,1))</f>
        <v/>
      </c>
      <c r="AV130" s="401" t="str">
        <f t="shared" si="28"/>
        <v/>
      </c>
      <c r="AW130" s="757" t="str">
        <f t="shared" si="29"/>
        <v/>
      </c>
      <c r="AX130" s="757" t="str">
        <f t="shared" si="30"/>
        <v/>
      </c>
      <c r="AY130" s="757" t="str">
        <f t="shared" si="31"/>
        <v/>
      </c>
      <c r="AZ130" s="1209" cm="1">
        <f t="array" ref="AZ130">IF(Y130="",1,Slookup(MID(X130,1,3)*1,UomConversion!$D$8:$J$500,5,UomConversion!$E$8:$E$500,MID(Y130,1,3)*1,UomConversion!$I$8:$I$500,1))</f>
        <v>1</v>
      </c>
      <c r="BA130" s="1209" cm="1">
        <f t="array" ref="BA130">IF(Z130="",1,Slookup(MID(X130,1,3)*1,UomConversion!$D$8:$J$500,5,UomConversion!$E$8:$E$500,MID(Z130,1,3)*1,UomConversion!$I$8:$I$500,1))</f>
        <v>1</v>
      </c>
      <c r="BB130" s="1217">
        <f t="shared" si="25"/>
        <v>0</v>
      </c>
      <c r="BC130" s="1217"/>
      <c r="BD130" s="1217"/>
    </row>
    <row r="131" spans="2:56" s="1120" customFormat="1" ht="24.95" customHeight="1">
      <c r="B131" s="445"/>
      <c r="C131" s="843"/>
      <c r="D131" s="843"/>
      <c r="E131" s="843"/>
      <c r="F131" s="1116"/>
      <c r="G131" s="1117"/>
      <c r="H131" s="868"/>
      <c r="I131" s="1118"/>
      <c r="J131" s="1138"/>
      <c r="K131" s="1138"/>
      <c r="L131" s="870"/>
      <c r="M131" s="868"/>
      <c r="N131" s="1118"/>
      <c r="O131" s="1119"/>
      <c r="P131" s="884"/>
      <c r="Q131" s="885"/>
      <c r="R131" s="843"/>
      <c r="S131" s="843"/>
      <c r="T131" s="843"/>
      <c r="U131" s="843"/>
      <c r="V131" s="843"/>
      <c r="W131" s="843"/>
      <c r="X131" s="870"/>
      <c r="Y131" s="843" t="str">
        <f>IF(OR(ISNA(MATCH(MID(X131,1,3)*1,UomConversion!$D$8:$D$500,0)),H131=""),"",IF(AV131="","",AV131))</f>
        <v/>
      </c>
      <c r="Z131" s="843" t="str">
        <f>IF(AND(AU131&gt;0,COUNTIFS(UomConversion!$D$8:$D$500,MID(X131,1,3)*1,UomConversion!$J$8:$J$500,1)&gt;1),TEXT(AU131,"000")&amp;"."&amp;VLOOKUP(AU131,uom_list,5,FALSE),"")</f>
        <v/>
      </c>
      <c r="AA131" s="843">
        <f t="shared" si="26"/>
        <v>0</v>
      </c>
      <c r="AB131" s="843" t="str">
        <f t="shared" si="24"/>
        <v/>
      </c>
      <c r="AC131" s="843">
        <f t="shared" si="27"/>
        <v>2</v>
      </c>
      <c r="AD131" s="1214"/>
      <c r="AE131" s="1214"/>
      <c r="AF131" s="1215"/>
      <c r="AG131" s="1215"/>
      <c r="AH131" s="1215"/>
      <c r="AI131" s="1215"/>
      <c r="AJ131" s="1216"/>
      <c r="AK131" s="1216"/>
      <c r="AL131" s="1216"/>
      <c r="AM131" s="1216"/>
      <c r="AN131" s="1216"/>
      <c r="AO131" s="1216"/>
      <c r="AP131" s="1216"/>
      <c r="AQ131" s="1216"/>
      <c r="AR131" s="1216"/>
      <c r="AS131" s="1216"/>
      <c r="AT131" s="1216"/>
      <c r="AU131" s="1120" t="str" cm="1">
        <f t="array" ref="AU131">IF(H131="","",Slookup(MID(X131,1,3)*1,UomConversion!$D$8:$J$500,2,UomConversion!$I$8:$I$500,1,UomConversion!$J$8:$J$500,1))</f>
        <v/>
      </c>
      <c r="AV131" s="401" t="str">
        <f t="shared" si="28"/>
        <v/>
      </c>
      <c r="AW131" s="757" t="str">
        <f t="shared" si="29"/>
        <v/>
      </c>
      <c r="AX131" s="757" t="str">
        <f t="shared" si="30"/>
        <v/>
      </c>
      <c r="AY131" s="757" t="str">
        <f t="shared" si="31"/>
        <v/>
      </c>
      <c r="AZ131" s="1209" cm="1">
        <f t="array" ref="AZ131">IF(Y131="",1,Slookup(MID(X131,1,3)*1,UomConversion!$D$8:$J$500,5,UomConversion!$E$8:$E$500,MID(Y131,1,3)*1,UomConversion!$I$8:$I$500,1))</f>
        <v>1</v>
      </c>
      <c r="BA131" s="1209" cm="1">
        <f t="array" ref="BA131">IF(Z131="",1,Slookup(MID(X131,1,3)*1,UomConversion!$D$8:$J$500,5,UomConversion!$E$8:$E$500,MID(Z131,1,3)*1,UomConversion!$I$8:$I$500,1))</f>
        <v>1</v>
      </c>
      <c r="BB131" s="1217">
        <f t="shared" si="25"/>
        <v>0</v>
      </c>
      <c r="BC131" s="1217"/>
      <c r="BD131" s="1217"/>
    </row>
    <row r="132" spans="2:56" s="1120" customFormat="1" ht="24.95" customHeight="1">
      <c r="B132" s="445"/>
      <c r="C132" s="843"/>
      <c r="D132" s="843"/>
      <c r="E132" s="843"/>
      <c r="F132" s="1116"/>
      <c r="G132" s="1117"/>
      <c r="H132" s="868"/>
      <c r="I132" s="1118"/>
      <c r="J132" s="1138"/>
      <c r="K132" s="1138"/>
      <c r="L132" s="870"/>
      <c r="M132" s="868"/>
      <c r="N132" s="1118"/>
      <c r="O132" s="1119"/>
      <c r="P132" s="884"/>
      <c r="Q132" s="885"/>
      <c r="R132" s="843"/>
      <c r="S132" s="843"/>
      <c r="T132" s="843"/>
      <c r="U132" s="843"/>
      <c r="V132" s="843"/>
      <c r="W132" s="843"/>
      <c r="X132" s="870"/>
      <c r="Y132" s="843" t="str">
        <f>IF(OR(ISNA(MATCH(MID(X132,1,3)*1,UomConversion!$D$8:$D$500,0)),H132=""),"",IF(AV132="","",AV132))</f>
        <v/>
      </c>
      <c r="Z132" s="843" t="str">
        <f>IF(AND(AU132&gt;0,COUNTIFS(UomConversion!$D$8:$D$500,MID(X132,1,3)*1,UomConversion!$J$8:$J$500,1)&gt;1),TEXT(AU132,"000")&amp;"."&amp;VLOOKUP(AU132,uom_list,5,FALSE),"")</f>
        <v/>
      </c>
      <c r="AA132" s="843">
        <f t="shared" si="26"/>
        <v>0</v>
      </c>
      <c r="AB132" s="843" t="str">
        <f t="shared" si="24"/>
        <v/>
      </c>
      <c r="AC132" s="843">
        <f t="shared" si="27"/>
        <v>2</v>
      </c>
      <c r="AD132" s="1214"/>
      <c r="AE132" s="1214"/>
      <c r="AF132" s="1215"/>
      <c r="AG132" s="1215"/>
      <c r="AH132" s="1215"/>
      <c r="AI132" s="1215"/>
      <c r="AJ132" s="1216"/>
      <c r="AK132" s="1216"/>
      <c r="AL132" s="1216"/>
      <c r="AM132" s="1216"/>
      <c r="AN132" s="1216"/>
      <c r="AO132" s="1216"/>
      <c r="AP132" s="1216"/>
      <c r="AQ132" s="1216"/>
      <c r="AR132" s="1216"/>
      <c r="AS132" s="1216"/>
      <c r="AT132" s="1216"/>
      <c r="AU132" s="1120" t="str" cm="1">
        <f t="array" ref="AU132">IF(H132="","",Slookup(MID(X132,1,3)*1,UomConversion!$D$8:$J$500,2,UomConversion!$I$8:$I$500,1,UomConversion!$J$8:$J$500,1))</f>
        <v/>
      </c>
      <c r="AV132" s="401" t="str">
        <f t="shared" si="28"/>
        <v/>
      </c>
      <c r="AW132" s="757" t="str">
        <f t="shared" si="29"/>
        <v/>
      </c>
      <c r="AX132" s="757" t="str">
        <f t="shared" si="30"/>
        <v/>
      </c>
      <c r="AY132" s="757" t="str">
        <f t="shared" si="31"/>
        <v/>
      </c>
      <c r="AZ132" s="1209" cm="1">
        <f t="array" ref="AZ132">IF(Y132="",1,Slookup(MID(X132,1,3)*1,UomConversion!$D$8:$J$500,5,UomConversion!$E$8:$E$500,MID(Y132,1,3)*1,UomConversion!$I$8:$I$500,1))</f>
        <v>1</v>
      </c>
      <c r="BA132" s="1209" cm="1">
        <f t="array" ref="BA132">IF(Z132="",1,Slookup(MID(X132,1,3)*1,UomConversion!$D$8:$J$500,5,UomConversion!$E$8:$E$500,MID(Z132,1,3)*1,UomConversion!$I$8:$I$500,1))</f>
        <v>1</v>
      </c>
      <c r="BB132" s="1217">
        <f t="shared" si="25"/>
        <v>0</v>
      </c>
      <c r="BC132" s="1217"/>
      <c r="BD132" s="1217"/>
    </row>
    <row r="133" spans="2:56" s="1120" customFormat="1" ht="24.95" customHeight="1">
      <c r="B133" s="445"/>
      <c r="C133" s="843"/>
      <c r="D133" s="843"/>
      <c r="E133" s="843"/>
      <c r="F133" s="1116"/>
      <c r="G133" s="1117"/>
      <c r="H133" s="868"/>
      <c r="I133" s="1118"/>
      <c r="J133" s="1138"/>
      <c r="K133" s="1138"/>
      <c r="L133" s="870"/>
      <c r="M133" s="868"/>
      <c r="N133" s="1118"/>
      <c r="O133" s="1119"/>
      <c r="P133" s="884"/>
      <c r="Q133" s="885"/>
      <c r="R133" s="843"/>
      <c r="S133" s="843"/>
      <c r="T133" s="843"/>
      <c r="U133" s="843"/>
      <c r="V133" s="843"/>
      <c r="W133" s="843"/>
      <c r="X133" s="870"/>
      <c r="Y133" s="843" t="str">
        <f>IF(OR(ISNA(MATCH(MID(X133,1,3)*1,UomConversion!$D$8:$D$500,0)),H133=""),"",IF(AV133="","",AV133))</f>
        <v/>
      </c>
      <c r="Z133" s="843" t="str">
        <f>IF(AND(AU133&gt;0,COUNTIFS(UomConversion!$D$8:$D$500,MID(X133,1,3)*1,UomConversion!$J$8:$J$500,1)&gt;1),TEXT(AU133,"000")&amp;"."&amp;VLOOKUP(AU133,uom_list,5,FALSE),"")</f>
        <v/>
      </c>
      <c r="AA133" s="843">
        <f t="shared" si="26"/>
        <v>0</v>
      </c>
      <c r="AB133" s="843" t="str">
        <f t="shared" si="24"/>
        <v/>
      </c>
      <c r="AC133" s="843">
        <f t="shared" si="27"/>
        <v>2</v>
      </c>
      <c r="AD133" s="1214"/>
      <c r="AE133" s="1214"/>
      <c r="AF133" s="1215"/>
      <c r="AG133" s="1215"/>
      <c r="AH133" s="1215"/>
      <c r="AI133" s="1215"/>
      <c r="AJ133" s="1216"/>
      <c r="AK133" s="1216"/>
      <c r="AL133" s="1216"/>
      <c r="AM133" s="1216"/>
      <c r="AN133" s="1216"/>
      <c r="AO133" s="1216"/>
      <c r="AP133" s="1216"/>
      <c r="AQ133" s="1216"/>
      <c r="AR133" s="1216"/>
      <c r="AS133" s="1216"/>
      <c r="AT133" s="1216"/>
      <c r="AU133" s="1120" t="str" cm="1">
        <f t="array" ref="AU133">IF(H133="","",Slookup(MID(X133,1,3)*1,UomConversion!$D$8:$J$500,2,UomConversion!$I$8:$I$500,1,UomConversion!$J$8:$J$500,1))</f>
        <v/>
      </c>
      <c r="AV133" s="401" t="str">
        <f t="shared" si="28"/>
        <v/>
      </c>
      <c r="AW133" s="757" t="str">
        <f t="shared" si="29"/>
        <v/>
      </c>
      <c r="AX133" s="757" t="str">
        <f t="shared" si="30"/>
        <v/>
      </c>
      <c r="AY133" s="757" t="str">
        <f t="shared" si="31"/>
        <v/>
      </c>
      <c r="AZ133" s="1209" cm="1">
        <f t="array" ref="AZ133">IF(Y133="",1,Slookup(MID(X133,1,3)*1,UomConversion!$D$8:$J$500,5,UomConversion!$E$8:$E$500,MID(Y133,1,3)*1,UomConversion!$I$8:$I$500,1))</f>
        <v>1</v>
      </c>
      <c r="BA133" s="1209" cm="1">
        <f t="array" ref="BA133">IF(Z133="",1,Slookup(MID(X133,1,3)*1,UomConversion!$D$8:$J$500,5,UomConversion!$E$8:$E$500,MID(Z133,1,3)*1,UomConversion!$I$8:$I$500,1))</f>
        <v>1</v>
      </c>
      <c r="BB133" s="1217">
        <f t="shared" si="25"/>
        <v>0</v>
      </c>
      <c r="BC133" s="1217"/>
      <c r="BD133" s="1217"/>
    </row>
    <row r="134" spans="2:56" s="1120" customFormat="1" ht="24.95" customHeight="1">
      <c r="B134" s="445"/>
      <c r="C134" s="843"/>
      <c r="D134" s="843"/>
      <c r="E134" s="843"/>
      <c r="F134" s="1116"/>
      <c r="G134" s="1117"/>
      <c r="H134" s="868"/>
      <c r="I134" s="1118"/>
      <c r="J134" s="1138"/>
      <c r="K134" s="1138"/>
      <c r="L134" s="870"/>
      <c r="M134" s="868"/>
      <c r="N134" s="1118"/>
      <c r="O134" s="1119"/>
      <c r="P134" s="884"/>
      <c r="Q134" s="885"/>
      <c r="R134" s="843"/>
      <c r="S134" s="843"/>
      <c r="T134" s="843"/>
      <c r="U134" s="843"/>
      <c r="V134" s="843"/>
      <c r="W134" s="843"/>
      <c r="X134" s="870"/>
      <c r="Y134" s="843" t="str">
        <f>IF(OR(ISNA(MATCH(MID(X134,1,3)*1,UomConversion!$D$8:$D$500,0)),H134=""),"",IF(AV134="","",AV134))</f>
        <v/>
      </c>
      <c r="Z134" s="843" t="str">
        <f>IF(AND(AU134&gt;0,COUNTIFS(UomConversion!$D$8:$D$500,MID(X134,1,3)*1,UomConversion!$J$8:$J$500,1)&gt;1),TEXT(AU134,"000")&amp;"."&amp;VLOOKUP(AU134,uom_list,5,FALSE),"")</f>
        <v/>
      </c>
      <c r="AA134" s="843">
        <f t="shared" si="26"/>
        <v>0</v>
      </c>
      <c r="AB134" s="843" t="str">
        <f t="shared" si="24"/>
        <v/>
      </c>
      <c r="AC134" s="843">
        <f t="shared" si="27"/>
        <v>2</v>
      </c>
      <c r="AD134" s="1214"/>
      <c r="AE134" s="1214"/>
      <c r="AF134" s="1215"/>
      <c r="AG134" s="1215"/>
      <c r="AH134" s="1215"/>
      <c r="AI134" s="1215"/>
      <c r="AJ134" s="1216"/>
      <c r="AK134" s="1216"/>
      <c r="AL134" s="1216"/>
      <c r="AM134" s="1216"/>
      <c r="AN134" s="1216"/>
      <c r="AO134" s="1216"/>
      <c r="AP134" s="1216"/>
      <c r="AQ134" s="1216"/>
      <c r="AR134" s="1216"/>
      <c r="AS134" s="1216"/>
      <c r="AT134" s="1216"/>
      <c r="AU134" s="1120" t="str" cm="1">
        <f t="array" ref="AU134">IF(H134="","",Slookup(MID(X134,1,3)*1,UomConversion!$D$8:$J$500,2,UomConversion!$I$8:$I$500,1,UomConversion!$J$8:$J$500,1))</f>
        <v/>
      </c>
      <c r="AV134" s="401" t="str">
        <f t="shared" si="28"/>
        <v/>
      </c>
      <c r="AW134" s="757" t="str">
        <f t="shared" si="29"/>
        <v/>
      </c>
      <c r="AX134" s="757" t="str">
        <f t="shared" si="30"/>
        <v/>
      </c>
      <c r="AY134" s="757" t="str">
        <f t="shared" si="31"/>
        <v/>
      </c>
      <c r="AZ134" s="1209" cm="1">
        <f t="array" ref="AZ134">IF(Y134="",1,Slookup(MID(X134,1,3)*1,UomConversion!$D$8:$J$500,5,UomConversion!$E$8:$E$500,MID(Y134,1,3)*1,UomConversion!$I$8:$I$500,1))</f>
        <v>1</v>
      </c>
      <c r="BA134" s="1209" cm="1">
        <f t="array" ref="BA134">IF(Z134="",1,Slookup(MID(X134,1,3)*1,UomConversion!$D$8:$J$500,5,UomConversion!$E$8:$E$500,MID(Z134,1,3)*1,UomConversion!$I$8:$I$500,1))</f>
        <v>1</v>
      </c>
      <c r="BB134" s="1217">
        <f t="shared" si="25"/>
        <v>0</v>
      </c>
      <c r="BC134" s="1217"/>
      <c r="BD134" s="1217"/>
    </row>
    <row r="135" spans="2:56" s="1120" customFormat="1" ht="24.95" customHeight="1">
      <c r="B135" s="445"/>
      <c r="C135" s="843"/>
      <c r="D135" s="843"/>
      <c r="E135" s="843"/>
      <c r="F135" s="1116"/>
      <c r="G135" s="1117"/>
      <c r="H135" s="868"/>
      <c r="I135" s="1118"/>
      <c r="J135" s="1138"/>
      <c r="K135" s="1138"/>
      <c r="L135" s="870"/>
      <c r="M135" s="868"/>
      <c r="N135" s="1118"/>
      <c r="O135" s="1119"/>
      <c r="P135" s="884"/>
      <c r="Q135" s="885"/>
      <c r="R135" s="843"/>
      <c r="S135" s="843"/>
      <c r="T135" s="843"/>
      <c r="U135" s="843"/>
      <c r="V135" s="843"/>
      <c r="W135" s="843"/>
      <c r="X135" s="870"/>
      <c r="Y135" s="843" t="str">
        <f>IF(OR(ISNA(MATCH(MID(X135,1,3)*1,UomConversion!$D$8:$D$500,0)),H135=""),"",IF(AV135="","",AV135))</f>
        <v/>
      </c>
      <c r="Z135" s="843" t="str">
        <f>IF(AND(AU135&gt;0,COUNTIFS(UomConversion!$D$8:$D$500,MID(X135,1,3)*1,UomConversion!$J$8:$J$500,1)&gt;1),TEXT(AU135,"000")&amp;"."&amp;VLOOKUP(AU135,uom_list,5,FALSE),"")</f>
        <v/>
      </c>
      <c r="AA135" s="843">
        <f t="shared" si="26"/>
        <v>0</v>
      </c>
      <c r="AB135" s="843" t="str">
        <f t="shared" si="24"/>
        <v/>
      </c>
      <c r="AC135" s="843">
        <f t="shared" si="27"/>
        <v>2</v>
      </c>
      <c r="AD135" s="1214"/>
      <c r="AE135" s="1214"/>
      <c r="AF135" s="1215"/>
      <c r="AG135" s="1215"/>
      <c r="AH135" s="1215"/>
      <c r="AI135" s="1215"/>
      <c r="AJ135" s="1216"/>
      <c r="AK135" s="1216"/>
      <c r="AL135" s="1216"/>
      <c r="AM135" s="1216"/>
      <c r="AN135" s="1216"/>
      <c r="AO135" s="1216"/>
      <c r="AP135" s="1216"/>
      <c r="AQ135" s="1216"/>
      <c r="AR135" s="1216"/>
      <c r="AS135" s="1216"/>
      <c r="AT135" s="1216"/>
      <c r="AU135" s="1120" t="str" cm="1">
        <f t="array" ref="AU135">IF(H135="","",Slookup(MID(X135,1,3)*1,UomConversion!$D$8:$J$500,2,UomConversion!$I$8:$I$500,1,UomConversion!$J$8:$J$500,1))</f>
        <v/>
      </c>
      <c r="AV135" s="401" t="str">
        <f t="shared" si="28"/>
        <v/>
      </c>
      <c r="AW135" s="757" t="str">
        <f t="shared" si="29"/>
        <v/>
      </c>
      <c r="AX135" s="757" t="str">
        <f t="shared" si="30"/>
        <v/>
      </c>
      <c r="AY135" s="757" t="str">
        <f t="shared" si="31"/>
        <v/>
      </c>
      <c r="AZ135" s="1209" cm="1">
        <f t="array" ref="AZ135">IF(Y135="",1,Slookup(MID(X135,1,3)*1,UomConversion!$D$8:$J$500,5,UomConversion!$E$8:$E$500,MID(Y135,1,3)*1,UomConversion!$I$8:$I$500,1))</f>
        <v>1</v>
      </c>
      <c r="BA135" s="1209" cm="1">
        <f t="array" ref="BA135">IF(Z135="",1,Slookup(MID(X135,1,3)*1,UomConversion!$D$8:$J$500,5,UomConversion!$E$8:$E$500,MID(Z135,1,3)*1,UomConversion!$I$8:$I$500,1))</f>
        <v>1</v>
      </c>
      <c r="BB135" s="1217">
        <f t="shared" si="25"/>
        <v>0</v>
      </c>
      <c r="BC135" s="1217"/>
      <c r="BD135" s="1217"/>
    </row>
    <row r="136" spans="2:56" s="1120" customFormat="1" ht="24.95" customHeight="1">
      <c r="B136" s="445"/>
      <c r="C136" s="843"/>
      <c r="D136" s="843"/>
      <c r="E136" s="843"/>
      <c r="F136" s="1116"/>
      <c r="G136" s="1117"/>
      <c r="H136" s="868"/>
      <c r="I136" s="1118"/>
      <c r="J136" s="1138"/>
      <c r="K136" s="1138"/>
      <c r="L136" s="870"/>
      <c r="M136" s="868"/>
      <c r="N136" s="1118"/>
      <c r="O136" s="1119"/>
      <c r="P136" s="884"/>
      <c r="Q136" s="885"/>
      <c r="R136" s="843"/>
      <c r="S136" s="843"/>
      <c r="T136" s="843"/>
      <c r="U136" s="843"/>
      <c r="V136" s="843"/>
      <c r="W136" s="843"/>
      <c r="X136" s="870"/>
      <c r="Y136" s="843" t="str">
        <f>IF(OR(ISNA(MATCH(MID(X136,1,3)*1,UomConversion!$D$8:$D$500,0)),H136=""),"",IF(AV136="","",AV136))</f>
        <v/>
      </c>
      <c r="Z136" s="843" t="str">
        <f>IF(AND(AU136&gt;0,COUNTIFS(UomConversion!$D$8:$D$500,MID(X136,1,3)*1,UomConversion!$J$8:$J$500,1)&gt;1),TEXT(AU136,"000")&amp;"."&amp;VLOOKUP(AU136,uom_list,5,FALSE),"")</f>
        <v/>
      </c>
      <c r="AA136" s="843">
        <f t="shared" si="26"/>
        <v>0</v>
      </c>
      <c r="AB136" s="843" t="str">
        <f t="shared" si="24"/>
        <v/>
      </c>
      <c r="AC136" s="843">
        <f t="shared" si="27"/>
        <v>2</v>
      </c>
      <c r="AD136" s="1214"/>
      <c r="AE136" s="1214"/>
      <c r="AF136" s="1215"/>
      <c r="AG136" s="1215"/>
      <c r="AH136" s="1215"/>
      <c r="AI136" s="1215"/>
      <c r="AJ136" s="1216"/>
      <c r="AK136" s="1216"/>
      <c r="AL136" s="1216"/>
      <c r="AM136" s="1216"/>
      <c r="AN136" s="1216"/>
      <c r="AO136" s="1216"/>
      <c r="AP136" s="1216"/>
      <c r="AQ136" s="1216"/>
      <c r="AR136" s="1216"/>
      <c r="AS136" s="1216"/>
      <c r="AT136" s="1216"/>
      <c r="AU136" s="1120" t="str" cm="1">
        <f t="array" ref="AU136">IF(H136="","",Slookup(MID(X136,1,3)*1,UomConversion!$D$8:$J$500,2,UomConversion!$I$8:$I$500,1,UomConversion!$J$8:$J$500,1))</f>
        <v/>
      </c>
      <c r="AV136" s="401" t="str">
        <f t="shared" si="28"/>
        <v/>
      </c>
      <c r="AW136" s="757" t="str">
        <f t="shared" si="29"/>
        <v/>
      </c>
      <c r="AX136" s="757" t="str">
        <f t="shared" si="30"/>
        <v/>
      </c>
      <c r="AY136" s="757" t="str">
        <f t="shared" si="31"/>
        <v/>
      </c>
      <c r="AZ136" s="1209" cm="1">
        <f t="array" ref="AZ136">IF(Y136="",1,Slookup(MID(X136,1,3)*1,UomConversion!$D$8:$J$500,5,UomConversion!$E$8:$E$500,MID(Y136,1,3)*1,UomConversion!$I$8:$I$500,1))</f>
        <v>1</v>
      </c>
      <c r="BA136" s="1209" cm="1">
        <f t="array" ref="BA136">IF(Z136="",1,Slookup(MID(X136,1,3)*1,UomConversion!$D$8:$J$500,5,UomConversion!$E$8:$E$500,MID(Z136,1,3)*1,UomConversion!$I$8:$I$500,1))</f>
        <v>1</v>
      </c>
      <c r="BB136" s="1217">
        <f t="shared" si="25"/>
        <v>0</v>
      </c>
      <c r="BC136" s="1217"/>
      <c r="BD136" s="1217"/>
    </row>
    <row r="137" spans="2:56" s="1120" customFormat="1" ht="24.95" customHeight="1">
      <c r="B137" s="445"/>
      <c r="C137" s="843"/>
      <c r="D137" s="843"/>
      <c r="E137" s="843"/>
      <c r="F137" s="1116"/>
      <c r="G137" s="1117"/>
      <c r="H137" s="868"/>
      <c r="I137" s="1118"/>
      <c r="J137" s="1138"/>
      <c r="K137" s="1138"/>
      <c r="L137" s="870"/>
      <c r="M137" s="868"/>
      <c r="N137" s="1118"/>
      <c r="O137" s="1119"/>
      <c r="P137" s="884"/>
      <c r="Q137" s="885"/>
      <c r="R137" s="843"/>
      <c r="S137" s="843"/>
      <c r="T137" s="843"/>
      <c r="U137" s="843"/>
      <c r="V137" s="843"/>
      <c r="W137" s="843"/>
      <c r="X137" s="870"/>
      <c r="Y137" s="843" t="str">
        <f>IF(OR(ISNA(MATCH(MID(X137,1,3)*1,UomConversion!$D$8:$D$500,0)),H137=""),"",IF(AV137="","",AV137))</f>
        <v/>
      </c>
      <c r="Z137" s="843" t="str">
        <f>IF(AND(AU137&gt;0,COUNTIFS(UomConversion!$D$8:$D$500,MID(X137,1,3)*1,UomConversion!$J$8:$J$500,1)&gt;1),TEXT(AU137,"000")&amp;"."&amp;VLOOKUP(AU137,uom_list,5,FALSE),"")</f>
        <v/>
      </c>
      <c r="AA137" s="843">
        <f t="shared" si="26"/>
        <v>0</v>
      </c>
      <c r="AB137" s="843" t="str">
        <f t="shared" si="24"/>
        <v/>
      </c>
      <c r="AC137" s="843">
        <f t="shared" si="27"/>
        <v>2</v>
      </c>
      <c r="AD137" s="1214"/>
      <c r="AE137" s="1214"/>
      <c r="AF137" s="1215"/>
      <c r="AG137" s="1215"/>
      <c r="AH137" s="1215"/>
      <c r="AI137" s="1215"/>
      <c r="AJ137" s="1216"/>
      <c r="AK137" s="1216"/>
      <c r="AL137" s="1216"/>
      <c r="AM137" s="1216"/>
      <c r="AN137" s="1216"/>
      <c r="AO137" s="1216"/>
      <c r="AP137" s="1216"/>
      <c r="AQ137" s="1216"/>
      <c r="AR137" s="1216"/>
      <c r="AS137" s="1216"/>
      <c r="AT137" s="1216"/>
      <c r="AU137" s="1120" t="str" cm="1">
        <f t="array" ref="AU137">IF(H137="","",Slookup(MID(X137,1,3)*1,UomConversion!$D$8:$J$500,2,UomConversion!$I$8:$I$500,1,UomConversion!$J$8:$J$500,1))</f>
        <v/>
      </c>
      <c r="AV137" s="401" t="str">
        <f t="shared" si="28"/>
        <v/>
      </c>
      <c r="AW137" s="757" t="str">
        <f t="shared" si="29"/>
        <v/>
      </c>
      <c r="AX137" s="757" t="str">
        <f t="shared" si="30"/>
        <v/>
      </c>
      <c r="AY137" s="757" t="str">
        <f t="shared" si="31"/>
        <v/>
      </c>
      <c r="AZ137" s="1209" cm="1">
        <f t="array" ref="AZ137">IF(Y137="",1,Slookup(MID(X137,1,3)*1,UomConversion!$D$8:$J$500,5,UomConversion!$E$8:$E$500,MID(Y137,1,3)*1,UomConversion!$I$8:$I$500,1))</f>
        <v>1</v>
      </c>
      <c r="BA137" s="1209" cm="1">
        <f t="array" ref="BA137">IF(Z137="",1,Slookup(MID(X137,1,3)*1,UomConversion!$D$8:$J$500,5,UomConversion!$E$8:$E$500,MID(Z137,1,3)*1,UomConversion!$I$8:$I$500,1))</f>
        <v>1</v>
      </c>
      <c r="BB137" s="1217">
        <f t="shared" si="25"/>
        <v>0</v>
      </c>
      <c r="BC137" s="1217"/>
      <c r="BD137" s="1217"/>
    </row>
    <row r="138" spans="2:56" s="1120" customFormat="1" ht="24.95" customHeight="1">
      <c r="B138" s="445"/>
      <c r="C138" s="843"/>
      <c r="D138" s="843"/>
      <c r="E138" s="843"/>
      <c r="F138" s="1116"/>
      <c r="G138" s="1117"/>
      <c r="H138" s="868"/>
      <c r="I138" s="1118"/>
      <c r="J138" s="1138"/>
      <c r="K138" s="1138"/>
      <c r="L138" s="870"/>
      <c r="M138" s="868"/>
      <c r="N138" s="1118"/>
      <c r="O138" s="1119"/>
      <c r="P138" s="884"/>
      <c r="Q138" s="885"/>
      <c r="R138" s="843"/>
      <c r="S138" s="843"/>
      <c r="T138" s="843"/>
      <c r="U138" s="843"/>
      <c r="V138" s="843"/>
      <c r="W138" s="843"/>
      <c r="X138" s="870"/>
      <c r="Y138" s="843" t="str">
        <f>IF(OR(ISNA(MATCH(MID(X138,1,3)*1,UomConversion!$D$8:$D$500,0)),H138=""),"",IF(AV138="","",AV138))</f>
        <v/>
      </c>
      <c r="Z138" s="843" t="str">
        <f>IF(AND(AU138&gt;0,COUNTIFS(UomConversion!$D$8:$D$500,MID(X138,1,3)*1,UomConversion!$J$8:$J$500,1)&gt;1),TEXT(AU138,"000")&amp;"."&amp;VLOOKUP(AU138,uom_list,5,FALSE),"")</f>
        <v/>
      </c>
      <c r="AA138" s="843">
        <f t="shared" si="26"/>
        <v>0</v>
      </c>
      <c r="AB138" s="843" t="str">
        <f t="shared" si="24"/>
        <v/>
      </c>
      <c r="AC138" s="843">
        <f t="shared" si="27"/>
        <v>2</v>
      </c>
      <c r="AD138" s="1214"/>
      <c r="AE138" s="1214"/>
      <c r="AF138" s="1215"/>
      <c r="AG138" s="1215"/>
      <c r="AH138" s="1215"/>
      <c r="AI138" s="1215"/>
      <c r="AJ138" s="1216"/>
      <c r="AK138" s="1216"/>
      <c r="AL138" s="1216"/>
      <c r="AM138" s="1216"/>
      <c r="AN138" s="1216"/>
      <c r="AO138" s="1216"/>
      <c r="AP138" s="1216"/>
      <c r="AQ138" s="1216"/>
      <c r="AR138" s="1216"/>
      <c r="AS138" s="1216"/>
      <c r="AT138" s="1216"/>
      <c r="AU138" s="1120" t="str" cm="1">
        <f t="array" ref="AU138">IF(H138="","",Slookup(MID(X138,1,3)*1,UomConversion!$D$8:$J$500,2,UomConversion!$I$8:$I$500,1,UomConversion!$J$8:$J$500,1))</f>
        <v/>
      </c>
      <c r="AV138" s="401" t="str">
        <f t="shared" si="28"/>
        <v/>
      </c>
      <c r="AW138" s="757" t="str">
        <f t="shared" si="29"/>
        <v/>
      </c>
      <c r="AX138" s="757" t="str">
        <f t="shared" si="30"/>
        <v/>
      </c>
      <c r="AY138" s="757" t="str">
        <f t="shared" si="31"/>
        <v/>
      </c>
      <c r="AZ138" s="1209" cm="1">
        <f t="array" ref="AZ138">IF(Y138="",1,Slookup(MID(X138,1,3)*1,UomConversion!$D$8:$J$500,5,UomConversion!$E$8:$E$500,MID(Y138,1,3)*1,UomConversion!$I$8:$I$500,1))</f>
        <v>1</v>
      </c>
      <c r="BA138" s="1209" cm="1">
        <f t="array" ref="BA138">IF(Z138="",1,Slookup(MID(X138,1,3)*1,UomConversion!$D$8:$J$500,5,UomConversion!$E$8:$E$500,MID(Z138,1,3)*1,UomConversion!$I$8:$I$500,1))</f>
        <v>1</v>
      </c>
      <c r="BB138" s="1217">
        <f t="shared" si="25"/>
        <v>0</v>
      </c>
      <c r="BC138" s="1217"/>
      <c r="BD138" s="1217"/>
    </row>
    <row r="139" spans="2:56" s="1120" customFormat="1" ht="24.95" customHeight="1">
      <c r="B139" s="445"/>
      <c r="C139" s="843"/>
      <c r="D139" s="843"/>
      <c r="E139" s="843"/>
      <c r="F139" s="1116"/>
      <c r="G139" s="1117"/>
      <c r="H139" s="868"/>
      <c r="I139" s="1118"/>
      <c r="J139" s="1138"/>
      <c r="K139" s="1138"/>
      <c r="L139" s="870"/>
      <c r="M139" s="868"/>
      <c r="N139" s="1118"/>
      <c r="O139" s="1119"/>
      <c r="P139" s="884"/>
      <c r="Q139" s="885"/>
      <c r="R139" s="843"/>
      <c r="S139" s="843"/>
      <c r="T139" s="843"/>
      <c r="U139" s="843"/>
      <c r="V139" s="843"/>
      <c r="W139" s="843"/>
      <c r="X139" s="870"/>
      <c r="Y139" s="843" t="str">
        <f>IF(OR(ISNA(MATCH(MID(X139,1,3)*1,UomConversion!$D$8:$D$500,0)),H139=""),"",IF(AV139="","",AV139))</f>
        <v/>
      </c>
      <c r="Z139" s="843" t="str">
        <f>IF(AND(AU139&gt;0,COUNTIFS(UomConversion!$D$8:$D$500,MID(X139,1,3)*1,UomConversion!$J$8:$J$500,1)&gt;1),TEXT(AU139,"000")&amp;"."&amp;VLOOKUP(AU139,uom_list,5,FALSE),"")</f>
        <v/>
      </c>
      <c r="AA139" s="843">
        <f t="shared" si="26"/>
        <v>0</v>
      </c>
      <c r="AB139" s="843" t="str">
        <f t="shared" si="24"/>
        <v/>
      </c>
      <c r="AC139" s="843">
        <f t="shared" si="27"/>
        <v>2</v>
      </c>
      <c r="AD139" s="1214"/>
      <c r="AE139" s="1214"/>
      <c r="AF139" s="1215"/>
      <c r="AG139" s="1215"/>
      <c r="AH139" s="1215"/>
      <c r="AI139" s="1215"/>
      <c r="AJ139" s="1216"/>
      <c r="AK139" s="1216"/>
      <c r="AL139" s="1216"/>
      <c r="AM139" s="1216"/>
      <c r="AN139" s="1216"/>
      <c r="AO139" s="1216"/>
      <c r="AP139" s="1216"/>
      <c r="AQ139" s="1216"/>
      <c r="AR139" s="1216"/>
      <c r="AS139" s="1216"/>
      <c r="AT139" s="1216"/>
      <c r="AU139" s="1120" t="str" cm="1">
        <f t="array" ref="AU139">IF(H139="","",Slookup(MID(X139,1,3)*1,UomConversion!$D$8:$J$500,2,UomConversion!$I$8:$I$500,1,UomConversion!$J$8:$J$500,1))</f>
        <v/>
      </c>
      <c r="AV139" s="401" t="str">
        <f t="shared" si="28"/>
        <v/>
      </c>
      <c r="AW139" s="757" t="str">
        <f t="shared" si="29"/>
        <v/>
      </c>
      <c r="AX139" s="757" t="str">
        <f t="shared" si="30"/>
        <v/>
      </c>
      <c r="AY139" s="757" t="str">
        <f t="shared" si="31"/>
        <v/>
      </c>
      <c r="AZ139" s="1209" cm="1">
        <f t="array" ref="AZ139">IF(Y139="",1,Slookup(MID(X139,1,3)*1,UomConversion!$D$8:$J$500,5,UomConversion!$E$8:$E$500,MID(Y139,1,3)*1,UomConversion!$I$8:$I$500,1))</f>
        <v>1</v>
      </c>
      <c r="BA139" s="1209" cm="1">
        <f t="array" ref="BA139">IF(Z139="",1,Slookup(MID(X139,1,3)*1,UomConversion!$D$8:$J$500,5,UomConversion!$E$8:$E$500,MID(Z139,1,3)*1,UomConversion!$I$8:$I$500,1))</f>
        <v>1</v>
      </c>
      <c r="BB139" s="1217">
        <f t="shared" si="25"/>
        <v>0</v>
      </c>
      <c r="BC139" s="1217"/>
      <c r="BD139" s="1217"/>
    </row>
    <row r="140" spans="2:56" s="1120" customFormat="1" ht="24.95" customHeight="1">
      <c r="B140" s="445"/>
      <c r="C140" s="843"/>
      <c r="D140" s="843"/>
      <c r="E140" s="843"/>
      <c r="F140" s="1116"/>
      <c r="G140" s="1117"/>
      <c r="H140" s="868"/>
      <c r="I140" s="1118"/>
      <c r="J140" s="1138"/>
      <c r="K140" s="1138"/>
      <c r="L140" s="870"/>
      <c r="M140" s="868"/>
      <c r="N140" s="1118"/>
      <c r="O140" s="1119"/>
      <c r="P140" s="884"/>
      <c r="Q140" s="885"/>
      <c r="R140" s="843"/>
      <c r="S140" s="843"/>
      <c r="T140" s="843"/>
      <c r="U140" s="843"/>
      <c r="V140" s="843"/>
      <c r="W140" s="843"/>
      <c r="X140" s="870"/>
      <c r="Y140" s="843" t="str">
        <f>IF(OR(ISNA(MATCH(MID(X140,1,3)*1,UomConversion!$D$8:$D$500,0)),H140=""),"",IF(AV140="","",AV140))</f>
        <v/>
      </c>
      <c r="Z140" s="843" t="str">
        <f>IF(AND(AU140&gt;0,COUNTIFS(UomConversion!$D$8:$D$500,MID(X140,1,3)*1,UomConversion!$J$8:$J$500,1)&gt;1),TEXT(AU140,"000")&amp;"."&amp;VLOOKUP(AU140,uom_list,5,FALSE),"")</f>
        <v/>
      </c>
      <c r="AA140" s="843">
        <f t="shared" si="26"/>
        <v>0</v>
      </c>
      <c r="AB140" s="843" t="str">
        <f t="shared" si="24"/>
        <v/>
      </c>
      <c r="AC140" s="843">
        <f t="shared" si="27"/>
        <v>2</v>
      </c>
      <c r="AD140" s="1214"/>
      <c r="AE140" s="1214"/>
      <c r="AF140" s="1215"/>
      <c r="AG140" s="1215"/>
      <c r="AH140" s="1215"/>
      <c r="AI140" s="1215"/>
      <c r="AJ140" s="1216"/>
      <c r="AK140" s="1216"/>
      <c r="AL140" s="1216"/>
      <c r="AM140" s="1216"/>
      <c r="AN140" s="1216"/>
      <c r="AO140" s="1216"/>
      <c r="AP140" s="1216"/>
      <c r="AQ140" s="1216"/>
      <c r="AR140" s="1216"/>
      <c r="AS140" s="1216"/>
      <c r="AT140" s="1216"/>
      <c r="AU140" s="1120" t="str" cm="1">
        <f t="array" ref="AU140">IF(H140="","",Slookup(MID(X140,1,3)*1,UomConversion!$D$8:$J$500,2,UomConversion!$I$8:$I$500,1,UomConversion!$J$8:$J$500,1))</f>
        <v/>
      </c>
      <c r="AV140" s="401" t="str">
        <f t="shared" si="28"/>
        <v/>
      </c>
      <c r="AW140" s="757" t="str">
        <f t="shared" si="29"/>
        <v/>
      </c>
      <c r="AX140" s="757" t="str">
        <f t="shared" si="30"/>
        <v/>
      </c>
      <c r="AY140" s="757" t="str">
        <f t="shared" si="31"/>
        <v/>
      </c>
      <c r="AZ140" s="1209" cm="1">
        <f t="array" ref="AZ140">IF(Y140="",1,Slookup(MID(X140,1,3)*1,UomConversion!$D$8:$J$500,5,UomConversion!$E$8:$E$500,MID(Y140,1,3)*1,UomConversion!$I$8:$I$500,1))</f>
        <v>1</v>
      </c>
      <c r="BA140" s="1209" cm="1">
        <f t="array" ref="BA140">IF(Z140="",1,Slookup(MID(X140,1,3)*1,UomConversion!$D$8:$J$500,5,UomConversion!$E$8:$E$500,MID(Z140,1,3)*1,UomConversion!$I$8:$I$500,1))</f>
        <v>1</v>
      </c>
      <c r="BB140" s="1217">
        <f t="shared" si="25"/>
        <v>0</v>
      </c>
      <c r="BC140" s="1217"/>
      <c r="BD140" s="1217"/>
    </row>
    <row r="141" spans="2:56" s="1120" customFormat="1" ht="24.95" customHeight="1">
      <c r="B141" s="445"/>
      <c r="C141" s="843"/>
      <c r="D141" s="843"/>
      <c r="E141" s="843"/>
      <c r="F141" s="1116"/>
      <c r="G141" s="1117"/>
      <c r="H141" s="868"/>
      <c r="I141" s="1118"/>
      <c r="J141" s="1138"/>
      <c r="K141" s="1138"/>
      <c r="L141" s="870"/>
      <c r="M141" s="868"/>
      <c r="N141" s="1118"/>
      <c r="O141" s="1119"/>
      <c r="P141" s="884"/>
      <c r="Q141" s="885"/>
      <c r="R141" s="843"/>
      <c r="S141" s="843"/>
      <c r="T141" s="843"/>
      <c r="U141" s="843"/>
      <c r="V141" s="843"/>
      <c r="W141" s="843"/>
      <c r="X141" s="870"/>
      <c r="Y141" s="843" t="str">
        <f>IF(OR(ISNA(MATCH(MID(X141,1,3)*1,UomConversion!$D$8:$D$500,0)),H141=""),"",IF(AV141="","",AV141))</f>
        <v/>
      </c>
      <c r="Z141" s="843" t="str">
        <f>IF(AND(AU141&gt;0,COUNTIFS(UomConversion!$D$8:$D$500,MID(X141,1,3)*1,UomConversion!$J$8:$J$500,1)&gt;1),TEXT(AU141,"000")&amp;"."&amp;VLOOKUP(AU141,uom_list,5,FALSE),"")</f>
        <v/>
      </c>
      <c r="AA141" s="843">
        <f t="shared" si="26"/>
        <v>0</v>
      </c>
      <c r="AB141" s="843" t="str">
        <f t="shared" si="24"/>
        <v/>
      </c>
      <c r="AC141" s="843">
        <f t="shared" si="27"/>
        <v>2</v>
      </c>
      <c r="AD141" s="1219"/>
      <c r="AE141" s="1219"/>
      <c r="AF141" s="1215"/>
      <c r="AG141" s="1215"/>
      <c r="AH141" s="1215"/>
      <c r="AI141" s="1215"/>
      <c r="AJ141" s="1216"/>
      <c r="AK141" s="1216"/>
      <c r="AL141" s="1216"/>
      <c r="AM141" s="1216"/>
      <c r="AN141" s="1216"/>
      <c r="AO141" s="1216"/>
      <c r="AP141" s="1216"/>
      <c r="AQ141" s="1216"/>
      <c r="AR141" s="1216"/>
      <c r="AS141" s="1216"/>
      <c r="AT141" s="1216"/>
      <c r="AU141" s="1120" t="str" cm="1">
        <f t="array" ref="AU141">IF(H141="","",Slookup(MID(X141,1,3)*1,UomConversion!$D$8:$J$500,2,UomConversion!$I$8:$I$500,1,UomConversion!$J$8:$J$500,1))</f>
        <v/>
      </c>
      <c r="AV141" s="401" t="str">
        <f t="shared" si="28"/>
        <v/>
      </c>
      <c r="AW141" s="757" t="str">
        <f t="shared" si="29"/>
        <v/>
      </c>
      <c r="AX141" s="757" t="str">
        <f t="shared" si="30"/>
        <v/>
      </c>
      <c r="AY141" s="757" t="str">
        <f t="shared" si="31"/>
        <v/>
      </c>
      <c r="AZ141" s="1209" cm="1">
        <f t="array" ref="AZ141">IF(Y141="",1,Slookup(MID(X141,1,3)*1,UomConversion!$D$8:$J$500,5,UomConversion!$E$8:$E$500,MID(Y141,1,3)*1,UomConversion!$I$8:$I$500,1))</f>
        <v>1</v>
      </c>
      <c r="BA141" s="1209" cm="1">
        <f t="array" ref="BA141">IF(Z141="",1,Slookup(MID(X141,1,3)*1,UomConversion!$D$8:$J$500,5,UomConversion!$E$8:$E$500,MID(Z141,1,3)*1,UomConversion!$I$8:$I$500,1))</f>
        <v>1</v>
      </c>
      <c r="BB141" s="1217">
        <f>IF(AA141=1,AE141,IF(AA141=2,AE141*R141,IF(AA141=3,AE141*BA141,0)))</f>
        <v>0</v>
      </c>
      <c r="BC141" s="1217"/>
      <c r="BD141" s="1217"/>
    </row>
    <row r="142" spans="2:56" s="1120" customFormat="1" ht="24.95" customHeight="1">
      <c r="B142" s="445"/>
      <c r="C142" s="843"/>
      <c r="D142" s="843"/>
      <c r="E142" s="843"/>
      <c r="F142" s="1116"/>
      <c r="G142" s="1117"/>
      <c r="H142" s="868"/>
      <c r="I142" s="1118"/>
      <c r="J142" s="1138"/>
      <c r="K142" s="1138"/>
      <c r="L142" s="870"/>
      <c r="M142" s="868"/>
      <c r="N142" s="1118"/>
      <c r="O142" s="1119"/>
      <c r="P142" s="884"/>
      <c r="Q142" s="885"/>
      <c r="R142" s="843"/>
      <c r="S142" s="843"/>
      <c r="T142" s="843"/>
      <c r="U142" s="843"/>
      <c r="V142" s="843"/>
      <c r="W142" s="843"/>
      <c r="X142" s="870"/>
      <c r="Y142" s="843" t="str">
        <f>IF(OR(ISNA(MATCH(MID(X142,1,3)*1,UomConversion!$D$8:$D$500,0)),H142=""),"",IF(AV142="","",AV142))</f>
        <v/>
      </c>
      <c r="Z142" s="843" t="str">
        <f>IF(AND(AU142&gt;0,COUNTIFS(UomConversion!$D$8:$D$500,MID(X142,1,3)*1,UomConversion!$J$8:$J$500,1)&gt;1),TEXT(AU142,"000")&amp;"."&amp;VLOOKUP(AU142,uom_list,5,FALSE),"")</f>
        <v/>
      </c>
      <c r="AA142" s="843">
        <f t="shared" si="26"/>
        <v>0</v>
      </c>
      <c r="AB142" s="843" t="str">
        <f t="shared" si="24"/>
        <v/>
      </c>
      <c r="AC142" s="843">
        <f t="shared" si="27"/>
        <v>2</v>
      </c>
      <c r="AD142" s="1214"/>
      <c r="AE142" s="1214"/>
      <c r="AF142" s="1215"/>
      <c r="AG142" s="1215"/>
      <c r="AH142" s="1215"/>
      <c r="AI142" s="1215"/>
      <c r="AJ142" s="1216"/>
      <c r="AK142" s="1216"/>
      <c r="AL142" s="1216"/>
      <c r="AM142" s="1216"/>
      <c r="AN142" s="1216"/>
      <c r="AO142" s="1216"/>
      <c r="AP142" s="1216"/>
      <c r="AQ142" s="1216"/>
      <c r="AR142" s="1216"/>
      <c r="AS142" s="1216"/>
      <c r="AT142" s="1216"/>
      <c r="AU142" s="1120" t="str" cm="1">
        <f t="array" ref="AU142">IF(H142="","",Slookup(MID(X142,1,3)*1,UomConversion!$D$8:$J$500,2,UomConversion!$I$8:$I$500,1,UomConversion!$J$8:$J$500,1))</f>
        <v/>
      </c>
      <c r="AV142" s="401" t="str">
        <f t="shared" si="28"/>
        <v/>
      </c>
      <c r="AW142" s="757" t="str">
        <f t="shared" si="29"/>
        <v/>
      </c>
      <c r="AX142" s="757" t="str">
        <f t="shared" si="30"/>
        <v/>
      </c>
      <c r="AY142" s="757" t="str">
        <f t="shared" si="31"/>
        <v/>
      </c>
      <c r="AZ142" s="1209" cm="1">
        <f t="array" ref="AZ142">IF(Y142="",1,Slookup(MID(X142,1,3)*1,UomConversion!$D$8:$J$500,5,UomConversion!$E$8:$E$500,MID(Y142,1,3)*1,UomConversion!$I$8:$I$500,1))</f>
        <v>1</v>
      </c>
      <c r="BA142" s="1209" cm="1">
        <f t="array" ref="BA142">IF(Z142="",1,Slookup(MID(X142,1,3)*1,UomConversion!$D$8:$J$500,5,UomConversion!$E$8:$E$500,MID(Z142,1,3)*1,UomConversion!$I$8:$I$500,1))</f>
        <v>1</v>
      </c>
      <c r="BB142" s="1217">
        <f t="shared" si="25"/>
        <v>0</v>
      </c>
      <c r="BC142" s="1217"/>
      <c r="BD142" s="1217"/>
    </row>
    <row r="143" spans="2:56" s="1120" customFormat="1" ht="24.95" customHeight="1">
      <c r="B143" s="445"/>
      <c r="C143" s="843"/>
      <c r="D143" s="843"/>
      <c r="E143" s="843"/>
      <c r="F143" s="1116"/>
      <c r="G143" s="1117"/>
      <c r="H143" s="868"/>
      <c r="I143" s="1118"/>
      <c r="J143" s="1138"/>
      <c r="K143" s="1138"/>
      <c r="L143" s="870"/>
      <c r="M143" s="868"/>
      <c r="N143" s="1118"/>
      <c r="O143" s="1119"/>
      <c r="P143" s="884"/>
      <c r="Q143" s="885"/>
      <c r="R143" s="843"/>
      <c r="S143" s="843"/>
      <c r="T143" s="843"/>
      <c r="U143" s="843"/>
      <c r="V143" s="843"/>
      <c r="W143" s="843"/>
      <c r="X143" s="870"/>
      <c r="Y143" s="843" t="str">
        <f>IF(OR(ISNA(MATCH(MID(X143,1,3)*1,UomConversion!$D$8:$D$500,0)),H143=""),"",IF(AV143="","",AV143))</f>
        <v/>
      </c>
      <c r="Z143" s="843" t="str">
        <f>IF(AND(AU143&gt;0,COUNTIFS(UomConversion!$D$8:$D$500,MID(X143,1,3)*1,UomConversion!$J$8:$J$500,1)&gt;1),TEXT(AU143,"000")&amp;"."&amp;VLOOKUP(AU143,uom_list,5,FALSE),"")</f>
        <v/>
      </c>
      <c r="AA143" s="843">
        <f t="shared" si="26"/>
        <v>0</v>
      </c>
      <c r="AB143" s="843" t="str">
        <f t="shared" si="24"/>
        <v/>
      </c>
      <c r="AC143" s="843">
        <f t="shared" si="27"/>
        <v>2</v>
      </c>
      <c r="AD143" s="1214"/>
      <c r="AE143" s="1214"/>
      <c r="AF143" s="1215"/>
      <c r="AG143" s="1215"/>
      <c r="AH143" s="1215"/>
      <c r="AI143" s="1215"/>
      <c r="AJ143" s="1216"/>
      <c r="AK143" s="1216"/>
      <c r="AL143" s="1216"/>
      <c r="AM143" s="1216"/>
      <c r="AN143" s="1216"/>
      <c r="AO143" s="1216"/>
      <c r="AP143" s="1216"/>
      <c r="AQ143" s="1216"/>
      <c r="AR143" s="1216"/>
      <c r="AS143" s="1216"/>
      <c r="AT143" s="1216"/>
      <c r="AU143" s="1120" t="str" cm="1">
        <f t="array" ref="AU143">IF(H143="","",Slookup(MID(X143,1,3)*1,UomConversion!$D$8:$J$500,2,UomConversion!$I$8:$I$500,1,UomConversion!$J$8:$J$500,1))</f>
        <v/>
      </c>
      <c r="AV143" s="401" t="str">
        <f t="shared" si="28"/>
        <v/>
      </c>
      <c r="AW143" s="757" t="str">
        <f t="shared" si="29"/>
        <v/>
      </c>
      <c r="AX143" s="757" t="str">
        <f t="shared" si="30"/>
        <v/>
      </c>
      <c r="AY143" s="757" t="str">
        <f t="shared" si="31"/>
        <v/>
      </c>
      <c r="AZ143" s="1209" cm="1">
        <f t="array" ref="AZ143">IF(Y143="",1,Slookup(MID(X143,1,3)*1,UomConversion!$D$8:$J$500,5,UomConversion!$E$8:$E$500,MID(Y143,1,3)*1,UomConversion!$I$8:$I$500,1))</f>
        <v>1</v>
      </c>
      <c r="BA143" s="1209" cm="1">
        <f t="array" ref="BA143">IF(Z143="",1,Slookup(MID(X143,1,3)*1,UomConversion!$D$8:$J$500,5,UomConversion!$E$8:$E$500,MID(Z143,1,3)*1,UomConversion!$I$8:$I$500,1))</f>
        <v>1</v>
      </c>
      <c r="BB143" s="1217">
        <f t="shared" si="25"/>
        <v>0</v>
      </c>
      <c r="BC143" s="1217"/>
      <c r="BD143" s="1217"/>
    </row>
    <row r="144" spans="2:56" s="1120" customFormat="1" ht="24.95" customHeight="1">
      <c r="B144" s="445"/>
      <c r="C144" s="843"/>
      <c r="D144" s="843"/>
      <c r="E144" s="843"/>
      <c r="F144" s="1116"/>
      <c r="G144" s="1117"/>
      <c r="H144" s="868"/>
      <c r="I144" s="1118"/>
      <c r="J144" s="1138"/>
      <c r="K144" s="1138"/>
      <c r="L144" s="870"/>
      <c r="M144" s="868"/>
      <c r="N144" s="1118"/>
      <c r="O144" s="1119"/>
      <c r="P144" s="884"/>
      <c r="Q144" s="885"/>
      <c r="R144" s="843"/>
      <c r="S144" s="843"/>
      <c r="T144" s="843"/>
      <c r="U144" s="843"/>
      <c r="V144" s="843"/>
      <c r="W144" s="843"/>
      <c r="X144" s="870"/>
      <c r="Y144" s="843" t="str">
        <f>IF(OR(ISNA(MATCH(MID(X144,1,3)*1,UomConversion!$D$8:$D$500,0)),H144=""),"",IF(AV144="","",AV144))</f>
        <v/>
      </c>
      <c r="Z144" s="843" t="str">
        <f>IF(AND(AU144&gt;0,COUNTIFS(UomConversion!$D$8:$D$500,MID(X144,1,3)*1,UomConversion!$J$8:$J$500,1)&gt;1),TEXT(AU144,"000")&amp;"."&amp;VLOOKUP(AU144,uom_list,5,FALSE),"")</f>
        <v/>
      </c>
      <c r="AA144" s="843">
        <f t="shared" si="26"/>
        <v>0</v>
      </c>
      <c r="AB144" s="843" t="str">
        <f t="shared" si="24"/>
        <v/>
      </c>
      <c r="AC144" s="843">
        <f t="shared" si="27"/>
        <v>2</v>
      </c>
      <c r="AD144" s="1214"/>
      <c r="AE144" s="1214"/>
      <c r="AF144" s="1215"/>
      <c r="AG144" s="1215"/>
      <c r="AH144" s="1215"/>
      <c r="AI144" s="1215"/>
      <c r="AJ144" s="1216"/>
      <c r="AK144" s="1216"/>
      <c r="AL144" s="1216"/>
      <c r="AM144" s="1216"/>
      <c r="AN144" s="1216"/>
      <c r="AO144" s="1216"/>
      <c r="AP144" s="1216"/>
      <c r="AQ144" s="1216"/>
      <c r="AR144" s="1216"/>
      <c r="AS144" s="1216"/>
      <c r="AT144" s="1216"/>
      <c r="AU144" s="1120" t="str" cm="1">
        <f t="array" ref="AU144">IF(H144="","",Slookup(MID(X144,1,3)*1,UomConversion!$D$8:$J$500,2,UomConversion!$I$8:$I$500,1,UomConversion!$J$8:$J$500,1))</f>
        <v/>
      </c>
      <c r="AV144" s="401" t="str">
        <f t="shared" si="28"/>
        <v/>
      </c>
      <c r="AW144" s="757" t="str">
        <f t="shared" si="29"/>
        <v/>
      </c>
      <c r="AX144" s="757" t="str">
        <f t="shared" si="30"/>
        <v/>
      </c>
      <c r="AY144" s="757" t="str">
        <f t="shared" si="31"/>
        <v/>
      </c>
      <c r="AZ144" s="1209" cm="1">
        <f t="array" ref="AZ144">IF(Y144="",1,Slookup(MID(X144,1,3)*1,UomConversion!$D$8:$J$500,5,UomConversion!$E$8:$E$500,MID(Y144,1,3)*1,UomConversion!$I$8:$I$500,1))</f>
        <v>1</v>
      </c>
      <c r="BA144" s="1209" cm="1">
        <f t="array" ref="BA144">IF(Z144="",1,Slookup(MID(X144,1,3)*1,UomConversion!$D$8:$J$500,5,UomConversion!$E$8:$E$500,MID(Z144,1,3)*1,UomConversion!$I$8:$I$500,1))</f>
        <v>1</v>
      </c>
      <c r="BB144" s="1217">
        <f t="shared" si="25"/>
        <v>0</v>
      </c>
      <c r="BC144" s="1217"/>
      <c r="BD144" s="1217"/>
    </row>
    <row r="145" spans="2:56" s="1120" customFormat="1" ht="24.95" customHeight="1">
      <c r="B145" s="445"/>
      <c r="C145" s="843"/>
      <c r="D145" s="843"/>
      <c r="E145" s="843"/>
      <c r="F145" s="1116"/>
      <c r="G145" s="1117"/>
      <c r="H145" s="868"/>
      <c r="I145" s="1118"/>
      <c r="J145" s="1138"/>
      <c r="K145" s="1138"/>
      <c r="L145" s="870"/>
      <c r="M145" s="868"/>
      <c r="N145" s="1118"/>
      <c r="O145" s="1119"/>
      <c r="P145" s="884"/>
      <c r="Q145" s="885"/>
      <c r="R145" s="843"/>
      <c r="S145" s="843"/>
      <c r="T145" s="843"/>
      <c r="U145" s="843"/>
      <c r="V145" s="843"/>
      <c r="W145" s="843"/>
      <c r="X145" s="870"/>
      <c r="Y145" s="843" t="str">
        <f>IF(OR(ISNA(MATCH(MID(X145,1,3)*1,UomConversion!$D$8:$D$500,0)),H145=""),"",IF(AV145="","",AV145))</f>
        <v/>
      </c>
      <c r="Z145" s="843" t="str">
        <f>IF(AND(AU145&gt;0,COUNTIFS(UomConversion!$D$8:$D$500,MID(X145,1,3)*1,UomConversion!$J$8:$J$500,1)&gt;1),TEXT(AU145,"000")&amp;"."&amp;VLOOKUP(AU145,uom_list,5,FALSE),"")</f>
        <v/>
      </c>
      <c r="AA145" s="843">
        <f t="shared" si="26"/>
        <v>0</v>
      </c>
      <c r="AB145" s="843" t="str">
        <f t="shared" si="24"/>
        <v/>
      </c>
      <c r="AC145" s="843">
        <f t="shared" si="27"/>
        <v>2</v>
      </c>
      <c r="AD145" s="1214"/>
      <c r="AE145" s="1214"/>
      <c r="AF145" s="1215"/>
      <c r="AG145" s="1215"/>
      <c r="AH145" s="1215"/>
      <c r="AI145" s="1215"/>
      <c r="AJ145" s="1216"/>
      <c r="AK145" s="1216"/>
      <c r="AL145" s="1216"/>
      <c r="AM145" s="1216"/>
      <c r="AN145" s="1216"/>
      <c r="AO145" s="1216"/>
      <c r="AP145" s="1216"/>
      <c r="AQ145" s="1216"/>
      <c r="AR145" s="1216"/>
      <c r="AS145" s="1216"/>
      <c r="AT145" s="1216"/>
      <c r="AU145" s="1120" t="str" cm="1">
        <f t="array" ref="AU145">IF(H145="","",Slookup(MID(X145,1,3)*1,UomConversion!$D$8:$J$500,2,UomConversion!$I$8:$I$500,1,UomConversion!$J$8:$J$500,1))</f>
        <v/>
      </c>
      <c r="AV145" s="401" t="str">
        <f t="shared" si="28"/>
        <v/>
      </c>
      <c r="AW145" s="757" t="str">
        <f t="shared" si="29"/>
        <v/>
      </c>
      <c r="AX145" s="757" t="str">
        <f t="shared" si="30"/>
        <v/>
      </c>
      <c r="AY145" s="757" t="str">
        <f t="shared" si="31"/>
        <v/>
      </c>
      <c r="AZ145" s="1209" cm="1">
        <f t="array" ref="AZ145">IF(Y145="",1,Slookup(MID(X145,1,3)*1,UomConversion!$D$8:$J$500,5,UomConversion!$E$8:$E$500,MID(Y145,1,3)*1,UomConversion!$I$8:$I$500,1))</f>
        <v>1</v>
      </c>
      <c r="BA145" s="1209" cm="1">
        <f t="array" ref="BA145">IF(Z145="",1,Slookup(MID(X145,1,3)*1,UomConversion!$D$8:$J$500,5,UomConversion!$E$8:$E$500,MID(Z145,1,3)*1,UomConversion!$I$8:$I$500,1))</f>
        <v>1</v>
      </c>
      <c r="BB145" s="1217">
        <f t="shared" si="25"/>
        <v>0</v>
      </c>
      <c r="BC145" s="1217"/>
      <c r="BD145" s="1217"/>
    </row>
    <row r="146" spans="2:56" s="1120" customFormat="1" ht="24.95" customHeight="1">
      <c r="B146" s="445"/>
      <c r="C146" s="843"/>
      <c r="D146" s="843"/>
      <c r="E146" s="843"/>
      <c r="F146" s="1116"/>
      <c r="G146" s="1117"/>
      <c r="H146" s="868"/>
      <c r="I146" s="1118"/>
      <c r="J146" s="1138"/>
      <c r="K146" s="1138"/>
      <c r="L146" s="870"/>
      <c r="M146" s="868"/>
      <c r="N146" s="1118"/>
      <c r="O146" s="1119"/>
      <c r="P146" s="884"/>
      <c r="Q146" s="885"/>
      <c r="R146" s="843"/>
      <c r="S146" s="843"/>
      <c r="T146" s="843"/>
      <c r="U146" s="843"/>
      <c r="V146" s="843"/>
      <c r="W146" s="843"/>
      <c r="X146" s="870"/>
      <c r="Y146" s="843" t="str">
        <f>IF(OR(ISNA(MATCH(MID(X146,1,3)*1,UomConversion!$D$8:$D$500,0)),H146=""),"",IF(AV146="","",AV146))</f>
        <v/>
      </c>
      <c r="Z146" s="843" t="str">
        <f>IF(AND(AU146&gt;0,COUNTIFS(UomConversion!$D$8:$D$500,MID(X146,1,3)*1,UomConversion!$J$8:$J$500,1)&gt;1),TEXT(AU146,"000")&amp;"."&amp;VLOOKUP(AU146,uom_list,5,FALSE),"")</f>
        <v/>
      </c>
      <c r="AA146" s="843">
        <f t="shared" si="26"/>
        <v>0</v>
      </c>
      <c r="AB146" s="843" t="str">
        <f t="shared" si="24"/>
        <v/>
      </c>
      <c r="AC146" s="843">
        <f t="shared" si="27"/>
        <v>2</v>
      </c>
      <c r="AD146" s="1214"/>
      <c r="AE146" s="1214"/>
      <c r="AF146" s="1215"/>
      <c r="AG146" s="1215"/>
      <c r="AH146" s="1215"/>
      <c r="AI146" s="1215"/>
      <c r="AJ146" s="1216"/>
      <c r="AK146" s="1216"/>
      <c r="AL146" s="1216"/>
      <c r="AM146" s="1216"/>
      <c r="AN146" s="1216"/>
      <c r="AO146" s="1216"/>
      <c r="AP146" s="1216"/>
      <c r="AQ146" s="1216"/>
      <c r="AR146" s="1216"/>
      <c r="AS146" s="1216"/>
      <c r="AT146" s="1216"/>
      <c r="AU146" s="1120" t="str" cm="1">
        <f t="array" ref="AU146">IF(H146="","",Slookup(MID(X146,1,3)*1,UomConversion!$D$8:$J$500,2,UomConversion!$I$8:$I$500,1,UomConversion!$J$8:$J$500,1))</f>
        <v/>
      </c>
      <c r="AV146" s="401" t="str">
        <f t="shared" si="28"/>
        <v/>
      </c>
      <c r="AW146" s="757" t="str">
        <f t="shared" si="29"/>
        <v/>
      </c>
      <c r="AX146" s="757" t="str">
        <f t="shared" si="30"/>
        <v/>
      </c>
      <c r="AY146" s="757" t="str">
        <f t="shared" si="31"/>
        <v/>
      </c>
      <c r="AZ146" s="1209" cm="1">
        <f t="array" ref="AZ146">IF(Y146="",1,Slookup(MID(X146,1,3)*1,UomConversion!$D$8:$J$500,5,UomConversion!$E$8:$E$500,MID(Y146,1,3)*1,UomConversion!$I$8:$I$500,1))</f>
        <v>1</v>
      </c>
      <c r="BA146" s="1209" cm="1">
        <f t="array" ref="BA146">IF(Z146="",1,Slookup(MID(X146,1,3)*1,UomConversion!$D$8:$J$500,5,UomConversion!$E$8:$E$500,MID(Z146,1,3)*1,UomConversion!$I$8:$I$500,1))</f>
        <v>1</v>
      </c>
      <c r="BB146" s="1217">
        <f t="shared" si="25"/>
        <v>0</v>
      </c>
      <c r="BC146" s="1217"/>
      <c r="BD146" s="1217"/>
    </row>
    <row r="147" spans="2:56" s="1120" customFormat="1" ht="24.95" customHeight="1">
      <c r="B147" s="445"/>
      <c r="C147" s="843"/>
      <c r="D147" s="843"/>
      <c r="E147" s="843"/>
      <c r="F147" s="1116"/>
      <c r="G147" s="1117"/>
      <c r="H147" s="868"/>
      <c r="I147" s="1118"/>
      <c r="J147" s="1138"/>
      <c r="K147" s="1138"/>
      <c r="L147" s="870"/>
      <c r="M147" s="868"/>
      <c r="N147" s="1118"/>
      <c r="O147" s="1119"/>
      <c r="P147" s="884"/>
      <c r="Q147" s="885"/>
      <c r="R147" s="843"/>
      <c r="S147" s="843"/>
      <c r="T147" s="843"/>
      <c r="U147" s="843"/>
      <c r="V147" s="843"/>
      <c r="W147" s="843"/>
      <c r="X147" s="870"/>
      <c r="Y147" s="843" t="str">
        <f>IF(OR(ISNA(MATCH(MID(X147,1,3)*1,UomConversion!$D$8:$D$500,0)),H147=""),"",IF(AV147="","",AV147))</f>
        <v/>
      </c>
      <c r="Z147" s="843" t="str">
        <f>IF(AND(AU147&gt;0,COUNTIFS(UomConversion!$D$8:$D$500,MID(X147,1,3)*1,UomConversion!$J$8:$J$500,1)&gt;1),TEXT(AU147,"000")&amp;"."&amp;VLOOKUP(AU147,uom_list,5,FALSE),"")</f>
        <v/>
      </c>
      <c r="AA147" s="843">
        <f t="shared" si="26"/>
        <v>0</v>
      </c>
      <c r="AB147" s="843" t="str">
        <f t="shared" si="24"/>
        <v/>
      </c>
      <c r="AC147" s="843">
        <f t="shared" si="27"/>
        <v>2</v>
      </c>
      <c r="AD147" s="1214"/>
      <c r="AE147" s="1214"/>
      <c r="AF147" s="1215"/>
      <c r="AG147" s="1215"/>
      <c r="AH147" s="1215"/>
      <c r="AI147" s="1215"/>
      <c r="AJ147" s="1216"/>
      <c r="AK147" s="1216"/>
      <c r="AL147" s="1216"/>
      <c r="AM147" s="1216"/>
      <c r="AN147" s="1216"/>
      <c r="AO147" s="1216"/>
      <c r="AP147" s="1216"/>
      <c r="AQ147" s="1216"/>
      <c r="AR147" s="1216"/>
      <c r="AS147" s="1216"/>
      <c r="AT147" s="1216"/>
      <c r="AU147" s="1120" t="str" cm="1">
        <f t="array" ref="AU147">IF(H147="","",Slookup(MID(X147,1,3)*1,UomConversion!$D$8:$J$500,2,UomConversion!$I$8:$I$500,1,UomConversion!$J$8:$J$500,1))</f>
        <v/>
      </c>
      <c r="AV147" s="401" t="str">
        <f t="shared" si="28"/>
        <v/>
      </c>
      <c r="AW147" s="757" t="str">
        <f t="shared" si="29"/>
        <v/>
      </c>
      <c r="AX147" s="757" t="str">
        <f t="shared" si="30"/>
        <v/>
      </c>
      <c r="AY147" s="757" t="str">
        <f t="shared" si="31"/>
        <v/>
      </c>
      <c r="AZ147" s="1209" cm="1">
        <f t="array" ref="AZ147">IF(Y147="",1,Slookup(MID(X147,1,3)*1,UomConversion!$D$8:$J$500,5,UomConversion!$E$8:$E$500,MID(Y147,1,3)*1,UomConversion!$I$8:$I$500,1))</f>
        <v>1</v>
      </c>
      <c r="BA147" s="1209" cm="1">
        <f t="array" ref="BA147">IF(Z147="",1,Slookup(MID(X147,1,3)*1,UomConversion!$D$8:$J$500,5,UomConversion!$E$8:$E$500,MID(Z147,1,3)*1,UomConversion!$I$8:$I$500,1))</f>
        <v>1</v>
      </c>
      <c r="BB147" s="1217">
        <f t="shared" si="25"/>
        <v>0</v>
      </c>
      <c r="BC147" s="1217"/>
      <c r="BD147" s="1217"/>
    </row>
    <row r="148" spans="2:56" s="1120" customFormat="1" ht="24.95" customHeight="1">
      <c r="B148" s="445"/>
      <c r="C148" s="843"/>
      <c r="D148" s="843"/>
      <c r="E148" s="843"/>
      <c r="F148" s="1116"/>
      <c r="G148" s="1117"/>
      <c r="H148" s="868"/>
      <c r="I148" s="1118"/>
      <c r="J148" s="1138"/>
      <c r="K148" s="1138"/>
      <c r="L148" s="870"/>
      <c r="M148" s="868"/>
      <c r="N148" s="1118"/>
      <c r="O148" s="1119"/>
      <c r="P148" s="884"/>
      <c r="Q148" s="885"/>
      <c r="R148" s="843"/>
      <c r="S148" s="843"/>
      <c r="T148" s="843"/>
      <c r="U148" s="843"/>
      <c r="V148" s="843"/>
      <c r="W148" s="843"/>
      <c r="X148" s="870"/>
      <c r="Y148" s="843" t="str">
        <f>IF(OR(ISNA(MATCH(MID(X148,1,3)*1,UomConversion!$D$8:$D$500,0)),H148=""),"",IF(AV148="","",AV148))</f>
        <v/>
      </c>
      <c r="Z148" s="843" t="str">
        <f>IF(AND(AU148&gt;0,COUNTIFS(UomConversion!$D$8:$D$500,MID(X148,1,3)*1,UomConversion!$J$8:$J$500,1)&gt;1),TEXT(AU148,"000")&amp;"."&amp;VLOOKUP(AU148,uom_list,5,FALSE),"")</f>
        <v/>
      </c>
      <c r="AA148" s="843">
        <f t="shared" ref="AA148:AA179" si="32">COUNT(AW148:AY148)</f>
        <v>0</v>
      </c>
      <c r="AB148" s="843" t="str">
        <f t="shared" si="24"/>
        <v/>
      </c>
      <c r="AC148" s="843">
        <f t="shared" ref="AC148:AC179" si="33">import_pro_number_of_price_type</f>
        <v>2</v>
      </c>
      <c r="AD148" s="1214"/>
      <c r="AE148" s="1214"/>
      <c r="AF148" s="1215"/>
      <c r="AG148" s="1215"/>
      <c r="AH148" s="1215"/>
      <c r="AI148" s="1215"/>
      <c r="AJ148" s="1216"/>
      <c r="AK148" s="1216"/>
      <c r="AL148" s="1216"/>
      <c r="AM148" s="1216"/>
      <c r="AN148" s="1216"/>
      <c r="AO148" s="1216"/>
      <c r="AP148" s="1216"/>
      <c r="AQ148" s="1216"/>
      <c r="AR148" s="1216"/>
      <c r="AS148" s="1216"/>
      <c r="AT148" s="1216"/>
      <c r="AU148" s="1120" t="str" cm="1">
        <f t="array" ref="AU148">IF(H148="","",Slookup(MID(X148,1,3)*1,UomConversion!$D$8:$J$500,2,UomConversion!$I$8:$I$500,1,UomConversion!$J$8:$J$500,1))</f>
        <v/>
      </c>
      <c r="AV148" s="401" t="str">
        <f t="shared" ref="AV148:AV179" si="34">IF(OR(ISNA(VLOOKUP(MID(X148,1,3)*1,uom_converion_list,2,FALSE)),H148=""),"",TEXT(VLOOKUP(MID(X148,1,3)*1,uom_converion_list,2,FALSE),"000")&amp;"."&amp;VLOOKUP(VLOOKUP(MID(X148,1,3)*1,uom_converion_list,2,FALSE),uom_list,5,FALSE))</f>
        <v/>
      </c>
      <c r="AW148" s="757" t="str">
        <f t="shared" ref="AW148:AW179" si="35">IF(X148="","",MID(X148,1,3)*1)</f>
        <v/>
      </c>
      <c r="AX148" s="757" t="str">
        <f t="shared" ref="AX148:AX179" si="36">IF(Y148="","",MID(Y148,1,3)*1)</f>
        <v/>
      </c>
      <c r="AY148" s="757" t="str">
        <f t="shared" ref="AY148:AY179" si="37">IF(Z148="","",MID(Z148,1,3)*1)</f>
        <v/>
      </c>
      <c r="AZ148" s="1209" cm="1">
        <f t="array" ref="AZ148">IF(Y148="",1,Slookup(MID(X148,1,3)*1,UomConversion!$D$8:$J$500,5,UomConversion!$E$8:$E$500,MID(Y148,1,3)*1,UomConversion!$I$8:$I$500,1))</f>
        <v>1</v>
      </c>
      <c r="BA148" s="1209" cm="1">
        <f t="array" ref="BA148">IF(Z148="",1,Slookup(MID(X148,1,3)*1,UomConversion!$D$8:$J$500,5,UomConversion!$E$8:$E$500,MID(Z148,1,3)*1,UomConversion!$I$8:$I$500,1))</f>
        <v>1</v>
      </c>
      <c r="BB148" s="1217">
        <f t="shared" si="25"/>
        <v>0</v>
      </c>
      <c r="BC148" s="1217"/>
      <c r="BD148" s="1217"/>
    </row>
    <row r="149" spans="2:56" s="1120" customFormat="1" ht="24.95" customHeight="1">
      <c r="B149" s="445"/>
      <c r="C149" s="843"/>
      <c r="D149" s="843"/>
      <c r="E149" s="843"/>
      <c r="F149" s="1116"/>
      <c r="G149" s="1117"/>
      <c r="H149" s="868"/>
      <c r="I149" s="1118"/>
      <c r="J149" s="1138"/>
      <c r="K149" s="1138"/>
      <c r="L149" s="870"/>
      <c r="M149" s="868"/>
      <c r="N149" s="1118"/>
      <c r="O149" s="1119"/>
      <c r="P149" s="884"/>
      <c r="Q149" s="885"/>
      <c r="R149" s="843"/>
      <c r="S149" s="843"/>
      <c r="T149" s="843"/>
      <c r="U149" s="843"/>
      <c r="V149" s="843"/>
      <c r="W149" s="843"/>
      <c r="X149" s="870"/>
      <c r="Y149" s="843" t="str">
        <f>IF(OR(ISNA(MATCH(MID(X149,1,3)*1,UomConversion!$D$8:$D$500,0)),H149=""),"",IF(AV149="","",AV149))</f>
        <v/>
      </c>
      <c r="Z149" s="843" t="str">
        <f>IF(AND(AU149&gt;0,COUNTIFS(UomConversion!$D$8:$D$500,MID(X149,1,3)*1,UomConversion!$J$8:$J$500,1)&gt;1),TEXT(AU149,"000")&amp;"."&amp;VLOOKUP(AU149,uom_list,5,FALSE),"")</f>
        <v/>
      </c>
      <c r="AA149" s="843">
        <f t="shared" si="32"/>
        <v>0</v>
      </c>
      <c r="AB149" s="843" t="str">
        <f t="shared" ref="AB149:AB212" si="38">_xlfn.TEXTJOIN(",",TRUE,AW149:AY149)</f>
        <v/>
      </c>
      <c r="AC149" s="843">
        <f t="shared" si="33"/>
        <v>2</v>
      </c>
      <c r="AD149" s="1214"/>
      <c r="AE149" s="1214"/>
      <c r="AF149" s="1215"/>
      <c r="AG149" s="1215"/>
      <c r="AH149" s="1215"/>
      <c r="AI149" s="1215"/>
      <c r="AJ149" s="1216"/>
      <c r="AK149" s="1216"/>
      <c r="AL149" s="1216"/>
      <c r="AM149" s="1216"/>
      <c r="AN149" s="1216"/>
      <c r="AO149" s="1216"/>
      <c r="AP149" s="1216"/>
      <c r="AQ149" s="1216"/>
      <c r="AR149" s="1216"/>
      <c r="AS149" s="1216"/>
      <c r="AT149" s="1216"/>
      <c r="AU149" s="1120" t="str" cm="1">
        <f t="array" ref="AU149">IF(H149="","",Slookup(MID(X149,1,3)*1,UomConversion!$D$8:$J$500,2,UomConversion!$I$8:$I$500,1,UomConversion!$J$8:$J$500,1))</f>
        <v/>
      </c>
      <c r="AV149" s="401" t="str">
        <f t="shared" si="34"/>
        <v/>
      </c>
      <c r="AW149" s="757" t="str">
        <f t="shared" si="35"/>
        <v/>
      </c>
      <c r="AX149" s="757" t="str">
        <f t="shared" si="36"/>
        <v/>
      </c>
      <c r="AY149" s="757" t="str">
        <f t="shared" si="37"/>
        <v/>
      </c>
      <c r="AZ149" s="1209" cm="1">
        <f t="array" ref="AZ149">IF(Y149="",1,Slookup(MID(X149,1,3)*1,UomConversion!$D$8:$J$500,5,UomConversion!$E$8:$E$500,MID(Y149,1,3)*1,UomConversion!$I$8:$I$500,1))</f>
        <v>1</v>
      </c>
      <c r="BA149" s="1209" cm="1">
        <f t="array" ref="BA149">IF(Z149="",1,Slookup(MID(X149,1,3)*1,UomConversion!$D$8:$J$500,5,UomConversion!$E$8:$E$500,MID(Z149,1,3)*1,UomConversion!$I$8:$I$500,1))</f>
        <v>1</v>
      </c>
      <c r="BB149" s="1217">
        <f t="shared" ref="BB149:BB212" si="39">IF(AA149=1,AE149,IF(AA149=2,AE149*R149,IF(AA149=3,AE149*BA149,0)))</f>
        <v>0</v>
      </c>
      <c r="BC149" s="1217"/>
      <c r="BD149" s="1217"/>
    </row>
    <row r="150" spans="2:56" s="1120" customFormat="1" ht="24.95" customHeight="1">
      <c r="B150" s="445"/>
      <c r="C150" s="843"/>
      <c r="D150" s="843"/>
      <c r="E150" s="843"/>
      <c r="F150" s="1116"/>
      <c r="G150" s="1117"/>
      <c r="H150" s="868"/>
      <c r="I150" s="1118"/>
      <c r="J150" s="1138"/>
      <c r="K150" s="1138"/>
      <c r="L150" s="870"/>
      <c r="M150" s="868"/>
      <c r="N150" s="1118"/>
      <c r="O150" s="1119"/>
      <c r="P150" s="884"/>
      <c r="Q150" s="885"/>
      <c r="R150" s="843"/>
      <c r="S150" s="843"/>
      <c r="T150" s="843"/>
      <c r="U150" s="843"/>
      <c r="V150" s="843"/>
      <c r="W150" s="843"/>
      <c r="X150" s="870"/>
      <c r="Y150" s="843" t="str">
        <f>IF(OR(ISNA(MATCH(MID(X150,1,3)*1,UomConversion!$D$8:$D$500,0)),H150=""),"",IF(AV150="","",AV150))</f>
        <v/>
      </c>
      <c r="Z150" s="843" t="str">
        <f>IF(AND(AU150&gt;0,COUNTIFS(UomConversion!$D$8:$D$500,MID(X150,1,3)*1,UomConversion!$J$8:$J$500,1)&gt;1),TEXT(AU150,"000")&amp;"."&amp;VLOOKUP(AU150,uom_list,5,FALSE),"")</f>
        <v/>
      </c>
      <c r="AA150" s="843">
        <f t="shared" si="32"/>
        <v>0</v>
      </c>
      <c r="AB150" s="843" t="str">
        <f t="shared" si="38"/>
        <v/>
      </c>
      <c r="AC150" s="843">
        <f t="shared" si="33"/>
        <v>2</v>
      </c>
      <c r="AD150" s="1214"/>
      <c r="AE150" s="1214"/>
      <c r="AF150" s="1215"/>
      <c r="AG150" s="1215"/>
      <c r="AH150" s="1215"/>
      <c r="AI150" s="1215"/>
      <c r="AJ150" s="1216"/>
      <c r="AK150" s="1216"/>
      <c r="AL150" s="1216"/>
      <c r="AM150" s="1216"/>
      <c r="AN150" s="1216"/>
      <c r="AO150" s="1216"/>
      <c r="AP150" s="1216"/>
      <c r="AQ150" s="1216"/>
      <c r="AR150" s="1216"/>
      <c r="AS150" s="1216"/>
      <c r="AT150" s="1216"/>
      <c r="AU150" s="1120" t="str" cm="1">
        <f t="array" ref="AU150">IF(H150="","",Slookup(MID(X150,1,3)*1,UomConversion!$D$8:$J$500,2,UomConversion!$I$8:$I$500,1,UomConversion!$J$8:$J$500,1))</f>
        <v/>
      </c>
      <c r="AV150" s="401" t="str">
        <f t="shared" si="34"/>
        <v/>
      </c>
      <c r="AW150" s="757" t="str">
        <f t="shared" si="35"/>
        <v/>
      </c>
      <c r="AX150" s="757" t="str">
        <f t="shared" si="36"/>
        <v/>
      </c>
      <c r="AY150" s="757" t="str">
        <f t="shared" si="37"/>
        <v/>
      </c>
      <c r="AZ150" s="1209" cm="1">
        <f t="array" ref="AZ150">IF(Y150="",1,Slookup(MID(X150,1,3)*1,UomConversion!$D$8:$J$500,5,UomConversion!$E$8:$E$500,MID(Y150,1,3)*1,UomConversion!$I$8:$I$500,1))</f>
        <v>1</v>
      </c>
      <c r="BA150" s="1209" cm="1">
        <f t="array" ref="BA150">IF(Z150="",1,Slookup(MID(X150,1,3)*1,UomConversion!$D$8:$J$500,5,UomConversion!$E$8:$E$500,MID(Z150,1,3)*1,UomConversion!$I$8:$I$500,1))</f>
        <v>1</v>
      </c>
      <c r="BB150" s="1217">
        <f t="shared" si="39"/>
        <v>0</v>
      </c>
      <c r="BC150" s="1217"/>
      <c r="BD150" s="1217"/>
    </row>
    <row r="151" spans="2:56" s="1120" customFormat="1" ht="24.95" customHeight="1">
      <c r="B151" s="445"/>
      <c r="C151" s="843"/>
      <c r="D151" s="843"/>
      <c r="E151" s="843"/>
      <c r="F151" s="1116"/>
      <c r="G151" s="1117"/>
      <c r="H151" s="868"/>
      <c r="I151" s="1118"/>
      <c r="J151" s="1138"/>
      <c r="K151" s="1138"/>
      <c r="L151" s="870"/>
      <c r="M151" s="868"/>
      <c r="N151" s="1118"/>
      <c r="O151" s="1119"/>
      <c r="P151" s="884"/>
      <c r="Q151" s="885"/>
      <c r="R151" s="843"/>
      <c r="S151" s="843"/>
      <c r="T151" s="843"/>
      <c r="U151" s="843"/>
      <c r="V151" s="843"/>
      <c r="W151" s="843"/>
      <c r="X151" s="870"/>
      <c r="Y151" s="843" t="str">
        <f>IF(OR(ISNA(MATCH(MID(X151,1,3)*1,UomConversion!$D$8:$D$500,0)),H151=""),"",IF(AV151="","",AV151))</f>
        <v/>
      </c>
      <c r="Z151" s="843" t="str">
        <f>IF(AND(AU151&gt;0,COUNTIFS(UomConversion!$D$8:$D$500,MID(X151,1,3)*1,UomConversion!$J$8:$J$500,1)&gt;1),TEXT(AU151,"000")&amp;"."&amp;VLOOKUP(AU151,uom_list,5,FALSE),"")</f>
        <v/>
      </c>
      <c r="AA151" s="843">
        <f t="shared" si="32"/>
        <v>0</v>
      </c>
      <c r="AB151" s="843" t="str">
        <f t="shared" si="38"/>
        <v/>
      </c>
      <c r="AC151" s="843">
        <f t="shared" si="33"/>
        <v>2</v>
      </c>
      <c r="AD151" s="1214"/>
      <c r="AE151" s="1214"/>
      <c r="AF151" s="1215"/>
      <c r="AG151" s="1215"/>
      <c r="AH151" s="1215"/>
      <c r="AI151" s="1215"/>
      <c r="AJ151" s="1216"/>
      <c r="AK151" s="1216"/>
      <c r="AL151" s="1216"/>
      <c r="AM151" s="1216"/>
      <c r="AN151" s="1216"/>
      <c r="AO151" s="1216"/>
      <c r="AP151" s="1216"/>
      <c r="AQ151" s="1216"/>
      <c r="AR151" s="1216"/>
      <c r="AS151" s="1216"/>
      <c r="AT151" s="1216"/>
      <c r="AU151" s="1120" t="str" cm="1">
        <f t="array" ref="AU151">IF(H151="","",Slookup(MID(X151,1,3)*1,UomConversion!$D$8:$J$500,2,UomConversion!$I$8:$I$500,1,UomConversion!$J$8:$J$500,1))</f>
        <v/>
      </c>
      <c r="AV151" s="401" t="str">
        <f t="shared" si="34"/>
        <v/>
      </c>
      <c r="AW151" s="757" t="str">
        <f t="shared" si="35"/>
        <v/>
      </c>
      <c r="AX151" s="757" t="str">
        <f t="shared" si="36"/>
        <v/>
      </c>
      <c r="AY151" s="757" t="str">
        <f t="shared" si="37"/>
        <v/>
      </c>
      <c r="AZ151" s="1209" cm="1">
        <f t="array" ref="AZ151">IF(Y151="",1,Slookup(MID(X151,1,3)*1,UomConversion!$D$8:$J$500,5,UomConversion!$E$8:$E$500,MID(Y151,1,3)*1,UomConversion!$I$8:$I$500,1))</f>
        <v>1</v>
      </c>
      <c r="BA151" s="1209" cm="1">
        <f t="array" ref="BA151">IF(Z151="",1,Slookup(MID(X151,1,3)*1,UomConversion!$D$8:$J$500,5,UomConversion!$E$8:$E$500,MID(Z151,1,3)*1,UomConversion!$I$8:$I$500,1))</f>
        <v>1</v>
      </c>
      <c r="BB151" s="1217">
        <f t="shared" si="39"/>
        <v>0</v>
      </c>
      <c r="BC151" s="1217"/>
      <c r="BD151" s="1217"/>
    </row>
    <row r="152" spans="2:56" s="1120" customFormat="1" ht="24.95" customHeight="1">
      <c r="B152" s="445"/>
      <c r="C152" s="843"/>
      <c r="D152" s="843"/>
      <c r="E152" s="843"/>
      <c r="F152" s="1116"/>
      <c r="G152" s="1117"/>
      <c r="H152" s="868"/>
      <c r="I152" s="1118"/>
      <c r="J152" s="1138"/>
      <c r="K152" s="1138"/>
      <c r="L152" s="870"/>
      <c r="M152" s="868"/>
      <c r="N152" s="1118"/>
      <c r="O152" s="1119"/>
      <c r="P152" s="884"/>
      <c r="Q152" s="885"/>
      <c r="R152" s="843"/>
      <c r="S152" s="843"/>
      <c r="T152" s="843"/>
      <c r="U152" s="843"/>
      <c r="V152" s="843"/>
      <c r="W152" s="843"/>
      <c r="X152" s="870"/>
      <c r="Y152" s="843" t="str">
        <f>IF(OR(ISNA(MATCH(MID(X152,1,3)*1,UomConversion!$D$8:$D$500,0)),H152=""),"",IF(AV152="","",AV152))</f>
        <v/>
      </c>
      <c r="Z152" s="843" t="str">
        <f>IF(AND(AU152&gt;0,COUNTIFS(UomConversion!$D$8:$D$500,MID(X152,1,3)*1,UomConversion!$J$8:$J$500,1)&gt;1),TEXT(AU152,"000")&amp;"."&amp;VLOOKUP(AU152,uom_list,5,FALSE),"")</f>
        <v/>
      </c>
      <c r="AA152" s="843">
        <f t="shared" si="32"/>
        <v>0</v>
      </c>
      <c r="AB152" s="843" t="str">
        <f t="shared" si="38"/>
        <v/>
      </c>
      <c r="AC152" s="843">
        <f t="shared" si="33"/>
        <v>2</v>
      </c>
      <c r="AD152" s="1214"/>
      <c r="AE152" s="1214"/>
      <c r="AF152" s="1215"/>
      <c r="AG152" s="1215"/>
      <c r="AH152" s="1215"/>
      <c r="AI152" s="1215"/>
      <c r="AJ152" s="1216"/>
      <c r="AK152" s="1216"/>
      <c r="AL152" s="1216"/>
      <c r="AM152" s="1216"/>
      <c r="AN152" s="1216"/>
      <c r="AO152" s="1216"/>
      <c r="AP152" s="1216"/>
      <c r="AQ152" s="1216"/>
      <c r="AR152" s="1216"/>
      <c r="AS152" s="1216"/>
      <c r="AT152" s="1216"/>
      <c r="AU152" s="1120" t="str" cm="1">
        <f t="array" ref="AU152">IF(H152="","",Slookup(MID(X152,1,3)*1,UomConversion!$D$8:$J$500,2,UomConversion!$I$8:$I$500,1,UomConversion!$J$8:$J$500,1))</f>
        <v/>
      </c>
      <c r="AV152" s="401" t="str">
        <f t="shared" si="34"/>
        <v/>
      </c>
      <c r="AW152" s="757" t="str">
        <f t="shared" si="35"/>
        <v/>
      </c>
      <c r="AX152" s="757" t="str">
        <f t="shared" si="36"/>
        <v/>
      </c>
      <c r="AY152" s="757" t="str">
        <f t="shared" si="37"/>
        <v/>
      </c>
      <c r="AZ152" s="1209" cm="1">
        <f t="array" ref="AZ152">IF(Y152="",1,Slookup(MID(X152,1,3)*1,UomConversion!$D$8:$J$500,5,UomConversion!$E$8:$E$500,MID(Y152,1,3)*1,UomConversion!$I$8:$I$500,1))</f>
        <v>1</v>
      </c>
      <c r="BA152" s="1209" cm="1">
        <f t="array" ref="BA152">IF(Z152="",1,Slookup(MID(X152,1,3)*1,UomConversion!$D$8:$J$500,5,UomConversion!$E$8:$E$500,MID(Z152,1,3)*1,UomConversion!$I$8:$I$500,1))</f>
        <v>1</v>
      </c>
      <c r="BB152" s="1217">
        <f t="shared" si="39"/>
        <v>0</v>
      </c>
      <c r="BC152" s="1217"/>
      <c r="BD152" s="1217"/>
    </row>
    <row r="153" spans="2:56" s="1120" customFormat="1" ht="24.95" customHeight="1">
      <c r="B153" s="445"/>
      <c r="C153" s="843"/>
      <c r="D153" s="843"/>
      <c r="E153" s="843"/>
      <c r="F153" s="1116"/>
      <c r="G153" s="1117"/>
      <c r="H153" s="868"/>
      <c r="I153" s="1118"/>
      <c r="J153" s="1138"/>
      <c r="K153" s="1138"/>
      <c r="L153" s="870"/>
      <c r="M153" s="868"/>
      <c r="N153" s="1118"/>
      <c r="O153" s="1119"/>
      <c r="P153" s="884"/>
      <c r="Q153" s="885"/>
      <c r="R153" s="843"/>
      <c r="S153" s="843"/>
      <c r="T153" s="843"/>
      <c r="U153" s="843"/>
      <c r="V153" s="843"/>
      <c r="W153" s="843"/>
      <c r="X153" s="870"/>
      <c r="Y153" s="843" t="str">
        <f>IF(OR(ISNA(MATCH(MID(X153,1,3)*1,UomConversion!$D$8:$D$500,0)),H153=""),"",IF(AV153="","",AV153))</f>
        <v/>
      </c>
      <c r="Z153" s="843" t="str">
        <f>IF(AND(AU153&gt;0,COUNTIFS(UomConversion!$D$8:$D$500,MID(X153,1,3)*1,UomConversion!$J$8:$J$500,1)&gt;1),TEXT(AU153,"000")&amp;"."&amp;VLOOKUP(AU153,uom_list,5,FALSE),"")</f>
        <v/>
      </c>
      <c r="AA153" s="843">
        <f t="shared" si="32"/>
        <v>0</v>
      </c>
      <c r="AB153" s="843" t="str">
        <f t="shared" si="38"/>
        <v/>
      </c>
      <c r="AC153" s="843">
        <f t="shared" si="33"/>
        <v>2</v>
      </c>
      <c r="AD153" s="1214"/>
      <c r="AE153" s="1214"/>
      <c r="AF153" s="1215"/>
      <c r="AG153" s="1215"/>
      <c r="AH153" s="1215"/>
      <c r="AI153" s="1215"/>
      <c r="AJ153" s="1216"/>
      <c r="AK153" s="1216"/>
      <c r="AL153" s="1216"/>
      <c r="AM153" s="1216"/>
      <c r="AN153" s="1216"/>
      <c r="AO153" s="1216"/>
      <c r="AP153" s="1216"/>
      <c r="AQ153" s="1216"/>
      <c r="AR153" s="1216"/>
      <c r="AS153" s="1216"/>
      <c r="AT153" s="1216"/>
      <c r="AU153" s="1120" t="str" cm="1">
        <f t="array" ref="AU153">IF(H153="","",Slookup(MID(X153,1,3)*1,UomConversion!$D$8:$J$500,2,UomConversion!$I$8:$I$500,1,UomConversion!$J$8:$J$500,1))</f>
        <v/>
      </c>
      <c r="AV153" s="401" t="str">
        <f t="shared" si="34"/>
        <v/>
      </c>
      <c r="AW153" s="757" t="str">
        <f t="shared" si="35"/>
        <v/>
      </c>
      <c r="AX153" s="757" t="str">
        <f t="shared" si="36"/>
        <v/>
      </c>
      <c r="AY153" s="757" t="str">
        <f t="shared" si="37"/>
        <v/>
      </c>
      <c r="AZ153" s="1209" cm="1">
        <f t="array" ref="AZ153">IF(Y153="",1,Slookup(MID(X153,1,3)*1,UomConversion!$D$8:$J$500,5,UomConversion!$E$8:$E$500,MID(Y153,1,3)*1,UomConversion!$I$8:$I$500,1))</f>
        <v>1</v>
      </c>
      <c r="BA153" s="1209" cm="1">
        <f t="array" ref="BA153">IF(Z153="",1,Slookup(MID(X153,1,3)*1,UomConversion!$D$8:$J$500,5,UomConversion!$E$8:$E$500,MID(Z153,1,3)*1,UomConversion!$I$8:$I$500,1))</f>
        <v>1</v>
      </c>
      <c r="BB153" s="1217">
        <f t="shared" si="39"/>
        <v>0</v>
      </c>
      <c r="BC153" s="1217"/>
      <c r="BD153" s="1217"/>
    </row>
    <row r="154" spans="2:56" s="1120" customFormat="1" ht="24.95" customHeight="1">
      <c r="B154" s="445"/>
      <c r="C154" s="843"/>
      <c r="D154" s="843"/>
      <c r="E154" s="843"/>
      <c r="F154" s="1116"/>
      <c r="G154" s="1117"/>
      <c r="H154" s="868"/>
      <c r="I154" s="1118"/>
      <c r="J154" s="1138"/>
      <c r="K154" s="1138"/>
      <c r="L154" s="870"/>
      <c r="M154" s="868"/>
      <c r="N154" s="1118"/>
      <c r="O154" s="1119"/>
      <c r="P154" s="884"/>
      <c r="Q154" s="885"/>
      <c r="R154" s="843"/>
      <c r="S154" s="843"/>
      <c r="T154" s="843"/>
      <c r="U154" s="843"/>
      <c r="V154" s="843"/>
      <c r="W154" s="843"/>
      <c r="X154" s="870"/>
      <c r="Y154" s="843" t="str">
        <f>IF(OR(ISNA(MATCH(MID(X154,1,3)*1,UomConversion!$D$8:$D$500,0)),H154=""),"",IF(AV154="","",AV154))</f>
        <v/>
      </c>
      <c r="Z154" s="843" t="str">
        <f>IF(AND(AU154&gt;0,COUNTIFS(UomConversion!$D$8:$D$500,MID(X154,1,3)*1,UomConversion!$J$8:$J$500,1)&gt;1),TEXT(AU154,"000")&amp;"."&amp;VLOOKUP(AU154,uom_list,5,FALSE),"")</f>
        <v/>
      </c>
      <c r="AA154" s="843">
        <f t="shared" si="32"/>
        <v>0</v>
      </c>
      <c r="AB154" s="843" t="str">
        <f t="shared" si="38"/>
        <v/>
      </c>
      <c r="AC154" s="843">
        <f t="shared" si="33"/>
        <v>2</v>
      </c>
      <c r="AD154" s="1214"/>
      <c r="AE154" s="1214"/>
      <c r="AF154" s="1215"/>
      <c r="AG154" s="1215"/>
      <c r="AH154" s="1215"/>
      <c r="AI154" s="1215"/>
      <c r="AJ154" s="1216"/>
      <c r="AK154" s="1216"/>
      <c r="AL154" s="1216"/>
      <c r="AM154" s="1216"/>
      <c r="AN154" s="1216"/>
      <c r="AO154" s="1216"/>
      <c r="AP154" s="1216"/>
      <c r="AQ154" s="1216"/>
      <c r="AR154" s="1216"/>
      <c r="AS154" s="1216"/>
      <c r="AT154" s="1216"/>
      <c r="AU154" s="1120" t="str" cm="1">
        <f t="array" ref="AU154">IF(H154="","",Slookup(MID(X154,1,3)*1,UomConversion!$D$8:$J$500,2,UomConversion!$I$8:$I$500,1,UomConversion!$J$8:$J$500,1))</f>
        <v/>
      </c>
      <c r="AV154" s="401" t="str">
        <f t="shared" si="34"/>
        <v/>
      </c>
      <c r="AW154" s="757" t="str">
        <f t="shared" si="35"/>
        <v/>
      </c>
      <c r="AX154" s="757" t="str">
        <f t="shared" si="36"/>
        <v/>
      </c>
      <c r="AY154" s="757" t="str">
        <f t="shared" si="37"/>
        <v/>
      </c>
      <c r="AZ154" s="1209" cm="1">
        <f t="array" ref="AZ154">IF(Y154="",1,Slookup(MID(X154,1,3)*1,UomConversion!$D$8:$J$500,5,UomConversion!$E$8:$E$500,MID(Y154,1,3)*1,UomConversion!$I$8:$I$500,1))</f>
        <v>1</v>
      </c>
      <c r="BA154" s="1209" cm="1">
        <f t="array" ref="BA154">IF(Z154="",1,Slookup(MID(X154,1,3)*1,UomConversion!$D$8:$J$500,5,UomConversion!$E$8:$E$500,MID(Z154,1,3)*1,UomConversion!$I$8:$I$500,1))</f>
        <v>1</v>
      </c>
      <c r="BB154" s="1217">
        <f t="shared" si="39"/>
        <v>0</v>
      </c>
      <c r="BC154" s="1217"/>
      <c r="BD154" s="1217"/>
    </row>
    <row r="155" spans="2:56" s="1120" customFormat="1" ht="24.95" customHeight="1">
      <c r="B155" s="445"/>
      <c r="C155" s="843"/>
      <c r="D155" s="843"/>
      <c r="E155" s="843"/>
      <c r="F155" s="1116"/>
      <c r="G155" s="1117"/>
      <c r="H155" s="868"/>
      <c r="I155" s="1118"/>
      <c r="J155" s="1138"/>
      <c r="K155" s="1138"/>
      <c r="L155" s="870"/>
      <c r="M155" s="868"/>
      <c r="N155" s="1118"/>
      <c r="O155" s="1119"/>
      <c r="P155" s="884"/>
      <c r="Q155" s="885"/>
      <c r="R155" s="843"/>
      <c r="S155" s="843"/>
      <c r="T155" s="843"/>
      <c r="U155" s="843"/>
      <c r="V155" s="843"/>
      <c r="W155" s="843"/>
      <c r="X155" s="870"/>
      <c r="Y155" s="843" t="str">
        <f>IF(OR(ISNA(MATCH(MID(X155,1,3)*1,UomConversion!$D$8:$D$500,0)),H155=""),"",IF(AV155="","",AV155))</f>
        <v/>
      </c>
      <c r="Z155" s="843" t="str">
        <f>IF(AND(AU155&gt;0,COUNTIFS(UomConversion!$D$8:$D$500,MID(X155,1,3)*1,UomConversion!$J$8:$J$500,1)&gt;1),TEXT(AU155,"000")&amp;"."&amp;VLOOKUP(AU155,uom_list,5,FALSE),"")</f>
        <v/>
      </c>
      <c r="AA155" s="843">
        <f t="shared" si="32"/>
        <v>0</v>
      </c>
      <c r="AB155" s="843" t="str">
        <f t="shared" si="38"/>
        <v/>
      </c>
      <c r="AC155" s="843">
        <f t="shared" si="33"/>
        <v>2</v>
      </c>
      <c r="AD155" s="1214"/>
      <c r="AE155" s="1214"/>
      <c r="AF155" s="1215"/>
      <c r="AG155" s="1215"/>
      <c r="AH155" s="1215"/>
      <c r="AI155" s="1215"/>
      <c r="AJ155" s="1216"/>
      <c r="AK155" s="1216"/>
      <c r="AL155" s="1216"/>
      <c r="AM155" s="1216"/>
      <c r="AN155" s="1216"/>
      <c r="AO155" s="1216"/>
      <c r="AP155" s="1216"/>
      <c r="AQ155" s="1216"/>
      <c r="AR155" s="1216"/>
      <c r="AS155" s="1216"/>
      <c r="AT155" s="1216"/>
      <c r="AU155" s="1120" t="str" cm="1">
        <f t="array" ref="AU155">IF(H155="","",Slookup(MID(X155,1,3)*1,UomConversion!$D$8:$J$500,2,UomConversion!$I$8:$I$500,1,UomConversion!$J$8:$J$500,1))</f>
        <v/>
      </c>
      <c r="AV155" s="401" t="str">
        <f t="shared" si="34"/>
        <v/>
      </c>
      <c r="AW155" s="757" t="str">
        <f t="shared" si="35"/>
        <v/>
      </c>
      <c r="AX155" s="757" t="str">
        <f t="shared" si="36"/>
        <v/>
      </c>
      <c r="AY155" s="757" t="str">
        <f t="shared" si="37"/>
        <v/>
      </c>
      <c r="AZ155" s="1209" cm="1">
        <f t="array" ref="AZ155">IF(Y155="",1,Slookup(MID(X155,1,3)*1,UomConversion!$D$8:$J$500,5,UomConversion!$E$8:$E$500,MID(Y155,1,3)*1,UomConversion!$I$8:$I$500,1))</f>
        <v>1</v>
      </c>
      <c r="BA155" s="1209" cm="1">
        <f t="array" ref="BA155">IF(Z155="",1,Slookup(MID(X155,1,3)*1,UomConversion!$D$8:$J$500,5,UomConversion!$E$8:$E$500,MID(Z155,1,3)*1,UomConversion!$I$8:$I$500,1))</f>
        <v>1</v>
      </c>
      <c r="BB155" s="1217">
        <f t="shared" si="39"/>
        <v>0</v>
      </c>
      <c r="BC155" s="1217"/>
      <c r="BD155" s="1217"/>
    </row>
    <row r="156" spans="2:56" s="1120" customFormat="1" ht="24.95" customHeight="1">
      <c r="B156" s="445"/>
      <c r="C156" s="843"/>
      <c r="D156" s="843"/>
      <c r="E156" s="843"/>
      <c r="F156" s="1116"/>
      <c r="G156" s="1117"/>
      <c r="H156" s="868"/>
      <c r="I156" s="1118"/>
      <c r="J156" s="1138"/>
      <c r="K156" s="1138"/>
      <c r="L156" s="870"/>
      <c r="M156" s="868"/>
      <c r="N156" s="1118"/>
      <c r="O156" s="1119"/>
      <c r="P156" s="884"/>
      <c r="Q156" s="885"/>
      <c r="R156" s="843"/>
      <c r="S156" s="843"/>
      <c r="T156" s="843"/>
      <c r="U156" s="843"/>
      <c r="V156" s="843"/>
      <c r="W156" s="843"/>
      <c r="X156" s="870"/>
      <c r="Y156" s="843" t="str">
        <f>IF(OR(ISNA(MATCH(MID(X156,1,3)*1,UomConversion!$D$8:$D$500,0)),H156=""),"",IF(AV156="","",AV156))</f>
        <v/>
      </c>
      <c r="Z156" s="843" t="str">
        <f>IF(AND(AU156&gt;0,COUNTIFS(UomConversion!$D$8:$D$500,MID(X156,1,3)*1,UomConversion!$J$8:$J$500,1)&gt;1),TEXT(AU156,"000")&amp;"."&amp;VLOOKUP(AU156,uom_list,5,FALSE),"")</f>
        <v/>
      </c>
      <c r="AA156" s="843">
        <f t="shared" si="32"/>
        <v>0</v>
      </c>
      <c r="AB156" s="843" t="str">
        <f t="shared" si="38"/>
        <v/>
      </c>
      <c r="AC156" s="843">
        <f t="shared" si="33"/>
        <v>2</v>
      </c>
      <c r="AD156" s="1214"/>
      <c r="AE156" s="1214"/>
      <c r="AF156" s="1215"/>
      <c r="AG156" s="1215"/>
      <c r="AH156" s="1215"/>
      <c r="AI156" s="1215"/>
      <c r="AJ156" s="1216"/>
      <c r="AK156" s="1216"/>
      <c r="AL156" s="1216"/>
      <c r="AM156" s="1216"/>
      <c r="AN156" s="1216"/>
      <c r="AO156" s="1216"/>
      <c r="AP156" s="1216"/>
      <c r="AQ156" s="1216"/>
      <c r="AR156" s="1216"/>
      <c r="AS156" s="1216"/>
      <c r="AT156" s="1216"/>
      <c r="AU156" s="1120" t="str" cm="1">
        <f t="array" ref="AU156">IF(H156="","",Slookup(MID(X156,1,3)*1,UomConversion!$D$8:$J$500,2,UomConversion!$I$8:$I$500,1,UomConversion!$J$8:$J$500,1))</f>
        <v/>
      </c>
      <c r="AV156" s="401" t="str">
        <f t="shared" si="34"/>
        <v/>
      </c>
      <c r="AW156" s="757" t="str">
        <f t="shared" si="35"/>
        <v/>
      </c>
      <c r="AX156" s="757" t="str">
        <f t="shared" si="36"/>
        <v/>
      </c>
      <c r="AY156" s="757" t="str">
        <f t="shared" si="37"/>
        <v/>
      </c>
      <c r="AZ156" s="1209" cm="1">
        <f t="array" ref="AZ156">IF(Y156="",1,Slookup(MID(X156,1,3)*1,UomConversion!$D$8:$J$500,5,UomConversion!$E$8:$E$500,MID(Y156,1,3)*1,UomConversion!$I$8:$I$500,1))</f>
        <v>1</v>
      </c>
      <c r="BA156" s="1209" cm="1">
        <f t="array" ref="BA156">IF(Z156="",1,Slookup(MID(X156,1,3)*1,UomConversion!$D$8:$J$500,5,UomConversion!$E$8:$E$500,MID(Z156,1,3)*1,UomConversion!$I$8:$I$500,1))</f>
        <v>1</v>
      </c>
      <c r="BB156" s="1217">
        <f t="shared" si="39"/>
        <v>0</v>
      </c>
      <c r="BC156" s="1217"/>
      <c r="BD156" s="1217"/>
    </row>
    <row r="157" spans="2:56" s="1120" customFormat="1" ht="24.95" customHeight="1">
      <c r="B157" s="445"/>
      <c r="C157" s="843"/>
      <c r="D157" s="843"/>
      <c r="E157" s="843"/>
      <c r="F157" s="1116"/>
      <c r="G157" s="1117"/>
      <c r="H157" s="868"/>
      <c r="I157" s="1118"/>
      <c r="J157" s="1138"/>
      <c r="K157" s="1138"/>
      <c r="L157" s="870"/>
      <c r="M157" s="868"/>
      <c r="N157" s="1118"/>
      <c r="O157" s="1119"/>
      <c r="P157" s="884"/>
      <c r="Q157" s="885"/>
      <c r="R157" s="843"/>
      <c r="S157" s="843"/>
      <c r="T157" s="843"/>
      <c r="U157" s="843"/>
      <c r="V157" s="843"/>
      <c r="W157" s="843"/>
      <c r="X157" s="870"/>
      <c r="Y157" s="843" t="str">
        <f>IF(OR(ISNA(MATCH(MID(X157,1,3)*1,UomConversion!$D$8:$D$500,0)),H157=""),"",IF(AV157="","",AV157))</f>
        <v/>
      </c>
      <c r="Z157" s="843" t="str">
        <f>IF(AND(AU157&gt;0,COUNTIFS(UomConversion!$D$8:$D$500,MID(X157,1,3)*1,UomConversion!$J$8:$J$500,1)&gt;1),TEXT(AU157,"000")&amp;"."&amp;VLOOKUP(AU157,uom_list,5,FALSE),"")</f>
        <v/>
      </c>
      <c r="AA157" s="843">
        <f t="shared" si="32"/>
        <v>0</v>
      </c>
      <c r="AB157" s="843" t="str">
        <f t="shared" si="38"/>
        <v/>
      </c>
      <c r="AC157" s="843">
        <f t="shared" si="33"/>
        <v>2</v>
      </c>
      <c r="AD157" s="1214"/>
      <c r="AE157" s="1214"/>
      <c r="AF157" s="1215"/>
      <c r="AG157" s="1215"/>
      <c r="AH157" s="1215"/>
      <c r="AI157" s="1215"/>
      <c r="AJ157" s="1216"/>
      <c r="AK157" s="1216"/>
      <c r="AL157" s="1216"/>
      <c r="AM157" s="1216"/>
      <c r="AN157" s="1216"/>
      <c r="AO157" s="1216"/>
      <c r="AP157" s="1216"/>
      <c r="AQ157" s="1216"/>
      <c r="AR157" s="1216"/>
      <c r="AS157" s="1216"/>
      <c r="AT157" s="1216"/>
      <c r="AU157" s="1120" t="str" cm="1">
        <f t="array" ref="AU157">IF(H157="","",Slookup(MID(X157,1,3)*1,UomConversion!$D$8:$J$500,2,UomConversion!$I$8:$I$500,1,UomConversion!$J$8:$J$500,1))</f>
        <v/>
      </c>
      <c r="AV157" s="401" t="str">
        <f t="shared" si="34"/>
        <v/>
      </c>
      <c r="AW157" s="757" t="str">
        <f t="shared" si="35"/>
        <v/>
      </c>
      <c r="AX157" s="757" t="str">
        <f t="shared" si="36"/>
        <v/>
      </c>
      <c r="AY157" s="757" t="str">
        <f t="shared" si="37"/>
        <v/>
      </c>
      <c r="AZ157" s="1209" cm="1">
        <f t="array" ref="AZ157">IF(Y157="",1,Slookup(MID(X157,1,3)*1,UomConversion!$D$8:$J$500,5,UomConversion!$E$8:$E$500,MID(Y157,1,3)*1,UomConversion!$I$8:$I$500,1))</f>
        <v>1</v>
      </c>
      <c r="BA157" s="1209" cm="1">
        <f t="array" ref="BA157">IF(Z157="",1,Slookup(MID(X157,1,3)*1,UomConversion!$D$8:$J$500,5,UomConversion!$E$8:$E$500,MID(Z157,1,3)*1,UomConversion!$I$8:$I$500,1))</f>
        <v>1</v>
      </c>
      <c r="BB157" s="1217">
        <f t="shared" si="39"/>
        <v>0</v>
      </c>
      <c r="BC157" s="1217"/>
      <c r="BD157" s="1217"/>
    </row>
    <row r="158" spans="2:56" s="1120" customFormat="1" ht="24.95" customHeight="1">
      <c r="B158" s="445"/>
      <c r="C158" s="843"/>
      <c r="D158" s="843"/>
      <c r="E158" s="843"/>
      <c r="F158" s="1116"/>
      <c r="G158" s="1117"/>
      <c r="H158" s="868"/>
      <c r="I158" s="1118"/>
      <c r="J158" s="1138"/>
      <c r="K158" s="1138"/>
      <c r="L158" s="870"/>
      <c r="M158" s="868"/>
      <c r="N158" s="1118"/>
      <c r="O158" s="1119"/>
      <c r="P158" s="884"/>
      <c r="Q158" s="885"/>
      <c r="R158" s="843"/>
      <c r="S158" s="843"/>
      <c r="T158" s="843"/>
      <c r="U158" s="843"/>
      <c r="V158" s="843"/>
      <c r="W158" s="843"/>
      <c r="X158" s="870"/>
      <c r="Y158" s="843" t="str">
        <f>IF(OR(ISNA(MATCH(MID(X158,1,3)*1,UomConversion!$D$8:$D$500,0)),H158=""),"",IF(AV158="","",AV158))</f>
        <v/>
      </c>
      <c r="Z158" s="843" t="str">
        <f>IF(AND(AU158&gt;0,COUNTIFS(UomConversion!$D$8:$D$500,MID(X158,1,3)*1,UomConversion!$J$8:$J$500,1)&gt;1),TEXT(AU158,"000")&amp;"."&amp;VLOOKUP(AU158,uom_list,5,FALSE),"")</f>
        <v/>
      </c>
      <c r="AA158" s="843">
        <f t="shared" si="32"/>
        <v>0</v>
      </c>
      <c r="AB158" s="843" t="str">
        <f t="shared" si="38"/>
        <v/>
      </c>
      <c r="AC158" s="843">
        <f t="shared" si="33"/>
        <v>2</v>
      </c>
      <c r="AD158" s="1214"/>
      <c r="AE158" s="1214"/>
      <c r="AF158" s="1215"/>
      <c r="AG158" s="1215"/>
      <c r="AH158" s="1215"/>
      <c r="AI158" s="1215"/>
      <c r="AJ158" s="1216"/>
      <c r="AK158" s="1216"/>
      <c r="AL158" s="1216"/>
      <c r="AM158" s="1216"/>
      <c r="AN158" s="1216"/>
      <c r="AO158" s="1216"/>
      <c r="AP158" s="1216"/>
      <c r="AQ158" s="1216"/>
      <c r="AR158" s="1216"/>
      <c r="AS158" s="1216"/>
      <c r="AT158" s="1216"/>
      <c r="AU158" s="1120" t="str" cm="1">
        <f t="array" ref="AU158">IF(H158="","",Slookup(MID(X158,1,3)*1,UomConversion!$D$8:$J$500,2,UomConversion!$I$8:$I$500,1,UomConversion!$J$8:$J$500,1))</f>
        <v/>
      </c>
      <c r="AV158" s="401" t="str">
        <f t="shared" si="34"/>
        <v/>
      </c>
      <c r="AW158" s="757" t="str">
        <f t="shared" si="35"/>
        <v/>
      </c>
      <c r="AX158" s="757" t="str">
        <f t="shared" si="36"/>
        <v/>
      </c>
      <c r="AY158" s="757" t="str">
        <f t="shared" si="37"/>
        <v/>
      </c>
      <c r="AZ158" s="1209" cm="1">
        <f t="array" ref="AZ158">IF(Y158="",1,Slookup(MID(X158,1,3)*1,UomConversion!$D$8:$J$500,5,UomConversion!$E$8:$E$500,MID(Y158,1,3)*1,UomConversion!$I$8:$I$500,1))</f>
        <v>1</v>
      </c>
      <c r="BA158" s="1209" cm="1">
        <f t="array" ref="BA158">IF(Z158="",1,Slookup(MID(X158,1,3)*1,UomConversion!$D$8:$J$500,5,UomConversion!$E$8:$E$500,MID(Z158,1,3)*1,UomConversion!$I$8:$I$500,1))</f>
        <v>1</v>
      </c>
      <c r="BB158" s="1217">
        <f t="shared" si="39"/>
        <v>0</v>
      </c>
      <c r="BC158" s="1217"/>
      <c r="BD158" s="1217"/>
    </row>
    <row r="159" spans="2:56" s="1120" customFormat="1" ht="24.95" customHeight="1">
      <c r="B159" s="445"/>
      <c r="C159" s="843"/>
      <c r="D159" s="843"/>
      <c r="E159" s="843"/>
      <c r="F159" s="1116"/>
      <c r="G159" s="1117"/>
      <c r="H159" s="868"/>
      <c r="I159" s="1118"/>
      <c r="J159" s="1138"/>
      <c r="K159" s="1138"/>
      <c r="L159" s="870"/>
      <c r="M159" s="868"/>
      <c r="N159" s="1118"/>
      <c r="O159" s="1119"/>
      <c r="P159" s="884"/>
      <c r="Q159" s="885"/>
      <c r="R159" s="843"/>
      <c r="S159" s="843"/>
      <c r="T159" s="843"/>
      <c r="U159" s="843"/>
      <c r="V159" s="843"/>
      <c r="W159" s="843"/>
      <c r="X159" s="870"/>
      <c r="Y159" s="843" t="str">
        <f>IF(OR(ISNA(MATCH(MID(X159,1,3)*1,UomConversion!$D$8:$D$500,0)),H159=""),"",IF(AV159="","",AV159))</f>
        <v/>
      </c>
      <c r="Z159" s="843" t="str">
        <f>IF(AND(AU159&gt;0,COUNTIFS(UomConversion!$D$8:$D$500,MID(X159,1,3)*1,UomConversion!$J$8:$J$500,1)&gt;1),TEXT(AU159,"000")&amp;"."&amp;VLOOKUP(AU159,uom_list,5,FALSE),"")</f>
        <v/>
      </c>
      <c r="AA159" s="843">
        <f t="shared" si="32"/>
        <v>0</v>
      </c>
      <c r="AB159" s="843" t="str">
        <f t="shared" si="38"/>
        <v/>
      </c>
      <c r="AC159" s="843">
        <f t="shared" si="33"/>
        <v>2</v>
      </c>
      <c r="AD159" s="1214"/>
      <c r="AE159" s="1214"/>
      <c r="AF159" s="1215"/>
      <c r="AG159" s="1215"/>
      <c r="AH159" s="1215"/>
      <c r="AI159" s="1215"/>
      <c r="AJ159" s="1216"/>
      <c r="AK159" s="1216"/>
      <c r="AL159" s="1216"/>
      <c r="AM159" s="1216"/>
      <c r="AN159" s="1216"/>
      <c r="AO159" s="1216"/>
      <c r="AP159" s="1216"/>
      <c r="AQ159" s="1216"/>
      <c r="AR159" s="1216"/>
      <c r="AS159" s="1216"/>
      <c r="AT159" s="1216"/>
      <c r="AU159" s="1120" t="str" cm="1">
        <f t="array" ref="AU159">IF(H159="","",Slookup(MID(X159,1,3)*1,UomConversion!$D$8:$J$500,2,UomConversion!$I$8:$I$500,1,UomConversion!$J$8:$J$500,1))</f>
        <v/>
      </c>
      <c r="AV159" s="401" t="str">
        <f t="shared" si="34"/>
        <v/>
      </c>
      <c r="AW159" s="757" t="str">
        <f t="shared" si="35"/>
        <v/>
      </c>
      <c r="AX159" s="757" t="str">
        <f t="shared" si="36"/>
        <v/>
      </c>
      <c r="AY159" s="757" t="str">
        <f t="shared" si="37"/>
        <v/>
      </c>
      <c r="AZ159" s="1209" cm="1">
        <f t="array" ref="AZ159">IF(Y159="",1,Slookup(MID(X159,1,3)*1,UomConversion!$D$8:$J$500,5,UomConversion!$E$8:$E$500,MID(Y159,1,3)*1,UomConversion!$I$8:$I$500,1))</f>
        <v>1</v>
      </c>
      <c r="BA159" s="1209" cm="1">
        <f t="array" ref="BA159">IF(Z159="",1,Slookup(MID(X159,1,3)*1,UomConversion!$D$8:$J$500,5,UomConversion!$E$8:$E$500,MID(Z159,1,3)*1,UomConversion!$I$8:$I$500,1))</f>
        <v>1</v>
      </c>
      <c r="BB159" s="1217">
        <f t="shared" si="39"/>
        <v>0</v>
      </c>
      <c r="BC159" s="1217"/>
      <c r="BD159" s="1217"/>
    </row>
    <row r="160" spans="2:56" s="1120" customFormat="1" ht="24.95" customHeight="1">
      <c r="B160" s="445"/>
      <c r="C160" s="843"/>
      <c r="D160" s="843"/>
      <c r="E160" s="843"/>
      <c r="F160" s="1116"/>
      <c r="G160" s="1117"/>
      <c r="H160" s="868"/>
      <c r="I160" s="1118"/>
      <c r="J160" s="1138"/>
      <c r="K160" s="1138"/>
      <c r="L160" s="870"/>
      <c r="M160" s="868"/>
      <c r="N160" s="1118"/>
      <c r="O160" s="1119"/>
      <c r="P160" s="884"/>
      <c r="Q160" s="885"/>
      <c r="R160" s="843"/>
      <c r="S160" s="843"/>
      <c r="T160" s="843"/>
      <c r="U160" s="843"/>
      <c r="V160" s="843"/>
      <c r="W160" s="843"/>
      <c r="X160" s="870"/>
      <c r="Y160" s="843" t="str">
        <f>IF(OR(ISNA(MATCH(MID(X160,1,3)*1,UomConversion!$D$8:$D$500,0)),H160=""),"",IF(AV160="","",AV160))</f>
        <v/>
      </c>
      <c r="Z160" s="843" t="str">
        <f>IF(AND(AU160&gt;0,COUNTIFS(UomConversion!$D$8:$D$500,MID(X160,1,3)*1,UomConversion!$J$8:$J$500,1)&gt;1),TEXT(AU160,"000")&amp;"."&amp;VLOOKUP(AU160,uom_list,5,FALSE),"")</f>
        <v/>
      </c>
      <c r="AA160" s="843">
        <f t="shared" si="32"/>
        <v>0</v>
      </c>
      <c r="AB160" s="843" t="str">
        <f t="shared" si="38"/>
        <v/>
      </c>
      <c r="AC160" s="843">
        <f t="shared" si="33"/>
        <v>2</v>
      </c>
      <c r="AD160" s="1214"/>
      <c r="AE160" s="1214"/>
      <c r="AF160" s="1215"/>
      <c r="AG160" s="1215"/>
      <c r="AH160" s="1215"/>
      <c r="AI160" s="1215"/>
      <c r="AJ160" s="1216"/>
      <c r="AK160" s="1216"/>
      <c r="AL160" s="1216"/>
      <c r="AM160" s="1216"/>
      <c r="AN160" s="1216"/>
      <c r="AO160" s="1216"/>
      <c r="AP160" s="1216"/>
      <c r="AQ160" s="1216"/>
      <c r="AR160" s="1216"/>
      <c r="AS160" s="1216"/>
      <c r="AT160" s="1216"/>
      <c r="AU160" s="1120" t="str" cm="1">
        <f t="array" ref="AU160">IF(H160="","",Slookup(MID(X160,1,3)*1,UomConversion!$D$8:$J$500,2,UomConversion!$I$8:$I$500,1,UomConversion!$J$8:$J$500,1))</f>
        <v/>
      </c>
      <c r="AV160" s="401" t="str">
        <f t="shared" si="34"/>
        <v/>
      </c>
      <c r="AW160" s="757" t="str">
        <f t="shared" si="35"/>
        <v/>
      </c>
      <c r="AX160" s="757" t="str">
        <f t="shared" si="36"/>
        <v/>
      </c>
      <c r="AY160" s="757" t="str">
        <f t="shared" si="37"/>
        <v/>
      </c>
      <c r="AZ160" s="1209" cm="1">
        <f t="array" ref="AZ160">IF(Y160="",1,Slookup(MID(X160,1,3)*1,UomConversion!$D$8:$J$500,5,UomConversion!$E$8:$E$500,MID(Y160,1,3)*1,UomConversion!$I$8:$I$500,1))</f>
        <v>1</v>
      </c>
      <c r="BA160" s="1209" cm="1">
        <f t="array" ref="BA160">IF(Z160="",1,Slookup(MID(X160,1,3)*1,UomConversion!$D$8:$J$500,5,UomConversion!$E$8:$E$500,MID(Z160,1,3)*1,UomConversion!$I$8:$I$500,1))</f>
        <v>1</v>
      </c>
      <c r="BB160" s="1217">
        <f t="shared" si="39"/>
        <v>0</v>
      </c>
      <c r="BC160" s="1217"/>
      <c r="BD160" s="1217"/>
    </row>
    <row r="161" spans="2:56" s="1120" customFormat="1" ht="24.95" customHeight="1">
      <c r="B161" s="445"/>
      <c r="C161" s="843"/>
      <c r="D161" s="843"/>
      <c r="E161" s="843"/>
      <c r="F161" s="1116"/>
      <c r="G161" s="1117"/>
      <c r="H161" s="868"/>
      <c r="I161" s="1118"/>
      <c r="J161" s="1138"/>
      <c r="K161" s="1138"/>
      <c r="L161" s="870"/>
      <c r="M161" s="868"/>
      <c r="N161" s="1118"/>
      <c r="O161" s="1119"/>
      <c r="P161" s="884"/>
      <c r="Q161" s="885"/>
      <c r="R161" s="843"/>
      <c r="S161" s="843"/>
      <c r="T161" s="843"/>
      <c r="U161" s="843"/>
      <c r="V161" s="843"/>
      <c r="W161" s="843"/>
      <c r="X161" s="870"/>
      <c r="Y161" s="843" t="str">
        <f>IF(OR(ISNA(MATCH(MID(X161,1,3)*1,UomConversion!$D$8:$D$500,0)),H161=""),"",IF(AV161="","",AV161))</f>
        <v/>
      </c>
      <c r="Z161" s="843" t="str">
        <f>IF(AND(AU161&gt;0,COUNTIFS(UomConversion!$D$8:$D$500,MID(X161,1,3)*1,UomConversion!$J$8:$J$500,1)&gt;1),TEXT(AU161,"000")&amp;"."&amp;VLOOKUP(AU161,uom_list,5,FALSE),"")</f>
        <v/>
      </c>
      <c r="AA161" s="843">
        <f t="shared" si="32"/>
        <v>0</v>
      </c>
      <c r="AB161" s="843" t="str">
        <f t="shared" si="38"/>
        <v/>
      </c>
      <c r="AC161" s="843">
        <f t="shared" si="33"/>
        <v>2</v>
      </c>
      <c r="AD161" s="1214"/>
      <c r="AE161" s="1214"/>
      <c r="AF161" s="1215"/>
      <c r="AG161" s="1215"/>
      <c r="AH161" s="1215"/>
      <c r="AI161" s="1215"/>
      <c r="AJ161" s="1216"/>
      <c r="AK161" s="1216"/>
      <c r="AL161" s="1216"/>
      <c r="AM161" s="1216"/>
      <c r="AN161" s="1216"/>
      <c r="AO161" s="1216"/>
      <c r="AP161" s="1216"/>
      <c r="AQ161" s="1216"/>
      <c r="AR161" s="1216"/>
      <c r="AS161" s="1216"/>
      <c r="AT161" s="1216"/>
      <c r="AU161" s="1120" t="str" cm="1">
        <f t="array" ref="AU161">IF(H161="","",Slookup(MID(X161,1,3)*1,UomConversion!$D$8:$J$500,2,UomConversion!$I$8:$I$500,1,UomConversion!$J$8:$J$500,1))</f>
        <v/>
      </c>
      <c r="AV161" s="401" t="str">
        <f t="shared" si="34"/>
        <v/>
      </c>
      <c r="AW161" s="757" t="str">
        <f t="shared" si="35"/>
        <v/>
      </c>
      <c r="AX161" s="757" t="str">
        <f t="shared" si="36"/>
        <v/>
      </c>
      <c r="AY161" s="757" t="str">
        <f t="shared" si="37"/>
        <v/>
      </c>
      <c r="AZ161" s="1209" cm="1">
        <f t="array" ref="AZ161">IF(Y161="",1,Slookup(MID(X161,1,3)*1,UomConversion!$D$8:$J$500,5,UomConversion!$E$8:$E$500,MID(Y161,1,3)*1,UomConversion!$I$8:$I$500,1))</f>
        <v>1</v>
      </c>
      <c r="BA161" s="1209" cm="1">
        <f t="array" ref="BA161">IF(Z161="",1,Slookup(MID(X161,1,3)*1,UomConversion!$D$8:$J$500,5,UomConversion!$E$8:$E$500,MID(Z161,1,3)*1,UomConversion!$I$8:$I$500,1))</f>
        <v>1</v>
      </c>
      <c r="BB161" s="1217">
        <f t="shared" si="39"/>
        <v>0</v>
      </c>
      <c r="BC161" s="1217"/>
      <c r="BD161" s="1217"/>
    </row>
    <row r="162" spans="2:56" s="1120" customFormat="1" ht="24.95" customHeight="1">
      <c r="B162" s="445"/>
      <c r="C162" s="843"/>
      <c r="D162" s="843"/>
      <c r="E162" s="843"/>
      <c r="F162" s="1116"/>
      <c r="G162" s="1117"/>
      <c r="H162" s="868"/>
      <c r="I162" s="1118"/>
      <c r="J162" s="1138"/>
      <c r="K162" s="1138"/>
      <c r="L162" s="870"/>
      <c r="M162" s="868"/>
      <c r="N162" s="1118"/>
      <c r="O162" s="1119"/>
      <c r="P162" s="884"/>
      <c r="Q162" s="885"/>
      <c r="R162" s="843"/>
      <c r="S162" s="843"/>
      <c r="T162" s="843"/>
      <c r="U162" s="843"/>
      <c r="V162" s="843"/>
      <c r="W162" s="843"/>
      <c r="X162" s="870"/>
      <c r="Y162" s="843" t="str">
        <f>IF(OR(ISNA(MATCH(MID(X162,1,3)*1,UomConversion!$D$8:$D$500,0)),H162=""),"",IF(AV162="","",AV162))</f>
        <v/>
      </c>
      <c r="Z162" s="843" t="str">
        <f>IF(AND(AU162&gt;0,COUNTIFS(UomConversion!$D$8:$D$500,MID(X162,1,3)*1,UomConversion!$J$8:$J$500,1)&gt;1),TEXT(AU162,"000")&amp;"."&amp;VLOOKUP(AU162,uom_list,5,FALSE),"")</f>
        <v/>
      </c>
      <c r="AA162" s="843">
        <f t="shared" si="32"/>
        <v>0</v>
      </c>
      <c r="AB162" s="843" t="str">
        <f t="shared" si="38"/>
        <v/>
      </c>
      <c r="AC162" s="843">
        <f t="shared" si="33"/>
        <v>2</v>
      </c>
      <c r="AD162" s="1214"/>
      <c r="AE162" s="1214"/>
      <c r="AF162" s="1215"/>
      <c r="AG162" s="1215"/>
      <c r="AH162" s="1215"/>
      <c r="AI162" s="1215"/>
      <c r="AJ162" s="1216"/>
      <c r="AK162" s="1216"/>
      <c r="AL162" s="1216"/>
      <c r="AM162" s="1216"/>
      <c r="AN162" s="1216"/>
      <c r="AO162" s="1216"/>
      <c r="AP162" s="1216"/>
      <c r="AQ162" s="1216"/>
      <c r="AR162" s="1216"/>
      <c r="AS162" s="1216"/>
      <c r="AT162" s="1216"/>
      <c r="AU162" s="1120" t="str" cm="1">
        <f t="array" ref="AU162">IF(H162="","",Slookup(MID(X162,1,3)*1,UomConversion!$D$8:$J$500,2,UomConversion!$I$8:$I$500,1,UomConversion!$J$8:$J$500,1))</f>
        <v/>
      </c>
      <c r="AV162" s="401" t="str">
        <f t="shared" si="34"/>
        <v/>
      </c>
      <c r="AW162" s="757" t="str">
        <f t="shared" si="35"/>
        <v/>
      </c>
      <c r="AX162" s="757" t="str">
        <f t="shared" si="36"/>
        <v/>
      </c>
      <c r="AY162" s="757" t="str">
        <f t="shared" si="37"/>
        <v/>
      </c>
      <c r="AZ162" s="1209" cm="1">
        <f t="array" ref="AZ162">IF(Y162="",1,Slookup(MID(X162,1,3)*1,UomConversion!$D$8:$J$500,5,UomConversion!$E$8:$E$500,MID(Y162,1,3)*1,UomConversion!$I$8:$I$500,1))</f>
        <v>1</v>
      </c>
      <c r="BA162" s="1209" cm="1">
        <f t="array" ref="BA162">IF(Z162="",1,Slookup(MID(X162,1,3)*1,UomConversion!$D$8:$J$500,5,UomConversion!$E$8:$E$500,MID(Z162,1,3)*1,UomConversion!$I$8:$I$500,1))</f>
        <v>1</v>
      </c>
      <c r="BB162" s="1217">
        <f t="shared" si="39"/>
        <v>0</v>
      </c>
      <c r="BC162" s="1217"/>
      <c r="BD162" s="1217"/>
    </row>
    <row r="163" spans="2:56" s="1120" customFormat="1" ht="24.95" customHeight="1">
      <c r="B163" s="445"/>
      <c r="C163" s="843"/>
      <c r="D163" s="843"/>
      <c r="E163" s="843"/>
      <c r="F163" s="1116"/>
      <c r="G163" s="1117"/>
      <c r="H163" s="868"/>
      <c r="I163" s="1118"/>
      <c r="J163" s="1138"/>
      <c r="K163" s="1138"/>
      <c r="L163" s="870"/>
      <c r="M163" s="868"/>
      <c r="N163" s="1118"/>
      <c r="O163" s="1119"/>
      <c r="P163" s="884"/>
      <c r="Q163" s="885"/>
      <c r="R163" s="843"/>
      <c r="S163" s="843"/>
      <c r="T163" s="843"/>
      <c r="U163" s="843"/>
      <c r="V163" s="843"/>
      <c r="W163" s="843"/>
      <c r="X163" s="870"/>
      <c r="Y163" s="843" t="str">
        <f>IF(OR(ISNA(MATCH(MID(X163,1,3)*1,UomConversion!$D$8:$D$500,0)),H163=""),"",IF(AV163="","",AV163))</f>
        <v/>
      </c>
      <c r="Z163" s="843" t="str">
        <f>IF(AND(AU163&gt;0,COUNTIFS(UomConversion!$D$8:$D$500,MID(X163,1,3)*1,UomConversion!$J$8:$J$500,1)&gt;1),TEXT(AU163,"000")&amp;"."&amp;VLOOKUP(AU163,uom_list,5,FALSE),"")</f>
        <v/>
      </c>
      <c r="AA163" s="843">
        <f t="shared" si="32"/>
        <v>0</v>
      </c>
      <c r="AB163" s="843" t="str">
        <f t="shared" si="38"/>
        <v/>
      </c>
      <c r="AC163" s="843">
        <f t="shared" si="33"/>
        <v>2</v>
      </c>
      <c r="AD163" s="1214"/>
      <c r="AE163" s="1214"/>
      <c r="AF163" s="1215"/>
      <c r="AG163" s="1215"/>
      <c r="AH163" s="1215"/>
      <c r="AI163" s="1215"/>
      <c r="AJ163" s="1216"/>
      <c r="AK163" s="1216"/>
      <c r="AL163" s="1216"/>
      <c r="AM163" s="1216"/>
      <c r="AN163" s="1216"/>
      <c r="AO163" s="1216"/>
      <c r="AP163" s="1216"/>
      <c r="AQ163" s="1216"/>
      <c r="AR163" s="1216"/>
      <c r="AS163" s="1216"/>
      <c r="AT163" s="1216"/>
      <c r="AU163" s="1120" t="str" cm="1">
        <f t="array" ref="AU163">IF(H163="","",Slookup(MID(X163,1,3)*1,UomConversion!$D$8:$J$500,2,UomConversion!$I$8:$I$500,1,UomConversion!$J$8:$J$500,1))</f>
        <v/>
      </c>
      <c r="AV163" s="401" t="str">
        <f t="shared" si="34"/>
        <v/>
      </c>
      <c r="AW163" s="757" t="str">
        <f t="shared" si="35"/>
        <v/>
      </c>
      <c r="AX163" s="757" t="str">
        <f t="shared" si="36"/>
        <v/>
      </c>
      <c r="AY163" s="757" t="str">
        <f t="shared" si="37"/>
        <v/>
      </c>
      <c r="AZ163" s="1209" cm="1">
        <f t="array" ref="AZ163">IF(Y163="",1,Slookup(MID(X163,1,3)*1,UomConversion!$D$8:$J$500,5,UomConversion!$E$8:$E$500,MID(Y163,1,3)*1,UomConversion!$I$8:$I$500,1))</f>
        <v>1</v>
      </c>
      <c r="BA163" s="1209" cm="1">
        <f t="array" ref="BA163">IF(Z163="",1,Slookup(MID(X163,1,3)*1,UomConversion!$D$8:$J$500,5,UomConversion!$E$8:$E$500,MID(Z163,1,3)*1,UomConversion!$I$8:$I$500,1))</f>
        <v>1</v>
      </c>
      <c r="BB163" s="1217">
        <f t="shared" si="39"/>
        <v>0</v>
      </c>
      <c r="BC163" s="1217"/>
      <c r="BD163" s="1217"/>
    </row>
    <row r="164" spans="2:56" s="1120" customFormat="1" ht="24.95" customHeight="1">
      <c r="B164" s="445"/>
      <c r="C164" s="843"/>
      <c r="D164" s="843"/>
      <c r="E164" s="843"/>
      <c r="F164" s="1116"/>
      <c r="G164" s="1117"/>
      <c r="H164" s="868"/>
      <c r="I164" s="1118"/>
      <c r="J164" s="1138"/>
      <c r="K164" s="1138"/>
      <c r="L164" s="870"/>
      <c r="M164" s="868"/>
      <c r="N164" s="1118"/>
      <c r="O164" s="1119"/>
      <c r="P164" s="884"/>
      <c r="Q164" s="885"/>
      <c r="R164" s="843"/>
      <c r="S164" s="843"/>
      <c r="T164" s="843"/>
      <c r="U164" s="843"/>
      <c r="V164" s="843"/>
      <c r="W164" s="843"/>
      <c r="X164" s="870"/>
      <c r="Y164" s="843" t="str">
        <f>IF(OR(ISNA(MATCH(MID(X164,1,3)*1,UomConversion!$D$8:$D$500,0)),H164=""),"",IF(AV164="","",AV164))</f>
        <v/>
      </c>
      <c r="Z164" s="843" t="str">
        <f>IF(AND(AU164&gt;0,COUNTIFS(UomConversion!$D$8:$D$500,MID(X164,1,3)*1,UomConversion!$J$8:$J$500,1)&gt;1),TEXT(AU164,"000")&amp;"."&amp;VLOOKUP(AU164,uom_list,5,FALSE),"")</f>
        <v/>
      </c>
      <c r="AA164" s="843">
        <f t="shared" si="32"/>
        <v>0</v>
      </c>
      <c r="AB164" s="843" t="str">
        <f t="shared" si="38"/>
        <v/>
      </c>
      <c r="AC164" s="843">
        <f t="shared" si="33"/>
        <v>2</v>
      </c>
      <c r="AD164" s="1214"/>
      <c r="AE164" s="1214"/>
      <c r="AF164" s="1215"/>
      <c r="AG164" s="1215"/>
      <c r="AH164" s="1215"/>
      <c r="AI164" s="1215"/>
      <c r="AJ164" s="1216"/>
      <c r="AK164" s="1216"/>
      <c r="AL164" s="1216"/>
      <c r="AM164" s="1216"/>
      <c r="AN164" s="1216"/>
      <c r="AO164" s="1216"/>
      <c r="AP164" s="1216"/>
      <c r="AQ164" s="1216"/>
      <c r="AR164" s="1216"/>
      <c r="AS164" s="1216"/>
      <c r="AT164" s="1216"/>
      <c r="AU164" s="1120" t="str" cm="1">
        <f t="array" ref="AU164">IF(H164="","",Slookup(MID(X164,1,3)*1,UomConversion!$D$8:$J$500,2,UomConversion!$I$8:$I$500,1,UomConversion!$J$8:$J$500,1))</f>
        <v/>
      </c>
      <c r="AV164" s="401" t="str">
        <f t="shared" si="34"/>
        <v/>
      </c>
      <c r="AW164" s="757" t="str">
        <f t="shared" si="35"/>
        <v/>
      </c>
      <c r="AX164" s="757" t="str">
        <f t="shared" si="36"/>
        <v/>
      </c>
      <c r="AY164" s="757" t="str">
        <f t="shared" si="37"/>
        <v/>
      </c>
      <c r="AZ164" s="1209" cm="1">
        <f t="array" ref="AZ164">IF(Y164="",1,Slookup(MID(X164,1,3)*1,UomConversion!$D$8:$J$500,5,UomConversion!$E$8:$E$500,MID(Y164,1,3)*1,UomConversion!$I$8:$I$500,1))</f>
        <v>1</v>
      </c>
      <c r="BA164" s="1209" cm="1">
        <f t="array" ref="BA164">IF(Z164="",1,Slookup(MID(X164,1,3)*1,UomConversion!$D$8:$J$500,5,UomConversion!$E$8:$E$500,MID(Z164,1,3)*1,UomConversion!$I$8:$I$500,1))</f>
        <v>1</v>
      </c>
      <c r="BB164" s="1217">
        <f t="shared" si="39"/>
        <v>0</v>
      </c>
      <c r="BC164" s="1217"/>
      <c r="BD164" s="1217"/>
    </row>
    <row r="165" spans="2:56" s="1120" customFormat="1" ht="24.95" customHeight="1">
      <c r="B165" s="445"/>
      <c r="C165" s="843"/>
      <c r="D165" s="843"/>
      <c r="E165" s="843"/>
      <c r="F165" s="1116"/>
      <c r="G165" s="1117"/>
      <c r="H165" s="868"/>
      <c r="I165" s="1118"/>
      <c r="J165" s="1138"/>
      <c r="K165" s="1138"/>
      <c r="L165" s="870"/>
      <c r="M165" s="868"/>
      <c r="N165" s="1118"/>
      <c r="O165" s="1119"/>
      <c r="P165" s="884"/>
      <c r="Q165" s="885"/>
      <c r="R165" s="843"/>
      <c r="S165" s="843"/>
      <c r="T165" s="843"/>
      <c r="U165" s="843"/>
      <c r="V165" s="843"/>
      <c r="W165" s="843"/>
      <c r="X165" s="870"/>
      <c r="Y165" s="843" t="str">
        <f>IF(OR(ISNA(MATCH(MID(X165,1,3)*1,UomConversion!$D$8:$D$500,0)),H165=""),"",IF(AV165="","",AV165))</f>
        <v/>
      </c>
      <c r="Z165" s="843" t="str">
        <f>IF(AND(AU165&gt;0,COUNTIFS(UomConversion!$D$8:$D$500,MID(X165,1,3)*1,UomConversion!$J$8:$J$500,1)&gt;1),TEXT(AU165,"000")&amp;"."&amp;VLOOKUP(AU165,uom_list,5,FALSE),"")</f>
        <v/>
      </c>
      <c r="AA165" s="843">
        <f t="shared" si="32"/>
        <v>0</v>
      </c>
      <c r="AB165" s="843" t="str">
        <f t="shared" si="38"/>
        <v/>
      </c>
      <c r="AC165" s="843">
        <f t="shared" si="33"/>
        <v>2</v>
      </c>
      <c r="AD165" s="1214"/>
      <c r="AE165" s="1214"/>
      <c r="AF165" s="1215"/>
      <c r="AG165" s="1215"/>
      <c r="AH165" s="1215"/>
      <c r="AI165" s="1215"/>
      <c r="AJ165" s="1216"/>
      <c r="AK165" s="1216"/>
      <c r="AL165" s="1216"/>
      <c r="AM165" s="1216"/>
      <c r="AN165" s="1216"/>
      <c r="AO165" s="1216"/>
      <c r="AP165" s="1216"/>
      <c r="AQ165" s="1216"/>
      <c r="AR165" s="1216"/>
      <c r="AS165" s="1216"/>
      <c r="AT165" s="1216"/>
      <c r="AU165" s="1120" t="str" cm="1">
        <f t="array" ref="AU165">IF(H165="","",Slookup(MID(X165,1,3)*1,UomConversion!$D$8:$J$500,2,UomConversion!$I$8:$I$500,1,UomConversion!$J$8:$J$500,1))</f>
        <v/>
      </c>
      <c r="AV165" s="401" t="str">
        <f t="shared" si="34"/>
        <v/>
      </c>
      <c r="AW165" s="757" t="str">
        <f t="shared" si="35"/>
        <v/>
      </c>
      <c r="AX165" s="757" t="str">
        <f t="shared" si="36"/>
        <v/>
      </c>
      <c r="AY165" s="757" t="str">
        <f t="shared" si="37"/>
        <v/>
      </c>
      <c r="AZ165" s="1209" cm="1">
        <f t="array" ref="AZ165">IF(Y165="",1,Slookup(MID(X165,1,3)*1,UomConversion!$D$8:$J$500,5,UomConversion!$E$8:$E$500,MID(Y165,1,3)*1,UomConversion!$I$8:$I$500,1))</f>
        <v>1</v>
      </c>
      <c r="BA165" s="1209" cm="1">
        <f t="array" ref="BA165">IF(Z165="",1,Slookup(MID(X165,1,3)*1,UomConversion!$D$8:$J$500,5,UomConversion!$E$8:$E$500,MID(Z165,1,3)*1,UomConversion!$I$8:$I$500,1))</f>
        <v>1</v>
      </c>
      <c r="BB165" s="1217">
        <f t="shared" si="39"/>
        <v>0</v>
      </c>
      <c r="BC165" s="1217"/>
      <c r="BD165" s="1217"/>
    </row>
    <row r="166" spans="2:56" s="1120" customFormat="1" ht="24.95" customHeight="1">
      <c r="B166" s="445"/>
      <c r="C166" s="843"/>
      <c r="D166" s="843"/>
      <c r="E166" s="843"/>
      <c r="F166" s="1116"/>
      <c r="G166" s="1117"/>
      <c r="H166" s="868"/>
      <c r="I166" s="1118"/>
      <c r="J166" s="1138"/>
      <c r="K166" s="1138"/>
      <c r="L166" s="870"/>
      <c r="M166" s="868"/>
      <c r="N166" s="1118"/>
      <c r="O166" s="1119"/>
      <c r="P166" s="884"/>
      <c r="Q166" s="885"/>
      <c r="R166" s="843"/>
      <c r="S166" s="843"/>
      <c r="T166" s="843"/>
      <c r="U166" s="843"/>
      <c r="V166" s="843"/>
      <c r="W166" s="843"/>
      <c r="X166" s="870"/>
      <c r="Y166" s="843" t="str">
        <f>IF(OR(ISNA(MATCH(MID(X166,1,3)*1,UomConversion!$D$8:$D$500,0)),H166=""),"",IF(AV166="","",AV166))</f>
        <v/>
      </c>
      <c r="Z166" s="843" t="str">
        <f>IF(AND(AU166&gt;0,COUNTIFS(UomConversion!$D$8:$D$500,MID(X166,1,3)*1,UomConversion!$J$8:$J$500,1)&gt;1),TEXT(AU166,"000")&amp;"."&amp;VLOOKUP(AU166,uom_list,5,FALSE),"")</f>
        <v/>
      </c>
      <c r="AA166" s="843">
        <f t="shared" si="32"/>
        <v>0</v>
      </c>
      <c r="AB166" s="843" t="str">
        <f t="shared" si="38"/>
        <v/>
      </c>
      <c r="AC166" s="843">
        <f t="shared" si="33"/>
        <v>2</v>
      </c>
      <c r="AD166" s="1214"/>
      <c r="AE166" s="1214"/>
      <c r="AF166" s="1215"/>
      <c r="AG166" s="1215"/>
      <c r="AH166" s="1215"/>
      <c r="AI166" s="1215"/>
      <c r="AJ166" s="1216"/>
      <c r="AK166" s="1216"/>
      <c r="AL166" s="1216"/>
      <c r="AM166" s="1216"/>
      <c r="AN166" s="1216"/>
      <c r="AO166" s="1216"/>
      <c r="AP166" s="1216"/>
      <c r="AQ166" s="1216"/>
      <c r="AR166" s="1216"/>
      <c r="AS166" s="1216"/>
      <c r="AT166" s="1216"/>
      <c r="AU166" s="1120" t="str" cm="1">
        <f t="array" ref="AU166">IF(H166="","",Slookup(MID(X166,1,3)*1,UomConversion!$D$8:$J$500,2,UomConversion!$I$8:$I$500,1,UomConversion!$J$8:$J$500,1))</f>
        <v/>
      </c>
      <c r="AV166" s="401" t="str">
        <f t="shared" si="34"/>
        <v/>
      </c>
      <c r="AW166" s="757" t="str">
        <f t="shared" si="35"/>
        <v/>
      </c>
      <c r="AX166" s="757" t="str">
        <f t="shared" si="36"/>
        <v/>
      </c>
      <c r="AY166" s="757" t="str">
        <f t="shared" si="37"/>
        <v/>
      </c>
      <c r="AZ166" s="1209" cm="1">
        <f t="array" ref="AZ166">IF(Y166="",1,Slookup(MID(X166,1,3)*1,UomConversion!$D$8:$J$500,5,UomConversion!$E$8:$E$500,MID(Y166,1,3)*1,UomConversion!$I$8:$I$500,1))</f>
        <v>1</v>
      </c>
      <c r="BA166" s="1209" cm="1">
        <f t="array" ref="BA166">IF(Z166="",1,Slookup(MID(X166,1,3)*1,UomConversion!$D$8:$J$500,5,UomConversion!$E$8:$E$500,MID(Z166,1,3)*1,UomConversion!$I$8:$I$500,1))</f>
        <v>1</v>
      </c>
      <c r="BB166" s="1217">
        <f t="shared" si="39"/>
        <v>0</v>
      </c>
      <c r="BC166" s="1217"/>
      <c r="BD166" s="1217"/>
    </row>
    <row r="167" spans="2:56" s="1120" customFormat="1" ht="24.95" customHeight="1">
      <c r="B167" s="445"/>
      <c r="C167" s="843"/>
      <c r="D167" s="843"/>
      <c r="E167" s="843"/>
      <c r="F167" s="1116"/>
      <c r="G167" s="1117"/>
      <c r="H167" s="868"/>
      <c r="I167" s="1118"/>
      <c r="J167" s="1138"/>
      <c r="K167" s="1138"/>
      <c r="L167" s="870"/>
      <c r="M167" s="868"/>
      <c r="N167" s="1118"/>
      <c r="O167" s="1119"/>
      <c r="P167" s="884"/>
      <c r="Q167" s="885"/>
      <c r="R167" s="843"/>
      <c r="S167" s="843"/>
      <c r="T167" s="843"/>
      <c r="U167" s="843"/>
      <c r="V167" s="843"/>
      <c r="W167" s="843"/>
      <c r="X167" s="870"/>
      <c r="Y167" s="843" t="str">
        <f>IF(OR(ISNA(MATCH(MID(X167,1,3)*1,UomConversion!$D$8:$D$500,0)),H167=""),"",IF(AV167="","",AV167))</f>
        <v/>
      </c>
      <c r="Z167" s="843" t="str">
        <f>IF(AND(AU167&gt;0,COUNTIFS(UomConversion!$D$8:$D$500,MID(X167,1,3)*1,UomConversion!$J$8:$J$500,1)&gt;1),TEXT(AU167,"000")&amp;"."&amp;VLOOKUP(AU167,uom_list,5,FALSE),"")</f>
        <v/>
      </c>
      <c r="AA167" s="843">
        <f t="shared" si="32"/>
        <v>0</v>
      </c>
      <c r="AB167" s="843" t="str">
        <f t="shared" si="38"/>
        <v/>
      </c>
      <c r="AC167" s="843">
        <f t="shared" si="33"/>
        <v>2</v>
      </c>
      <c r="AD167" s="1214"/>
      <c r="AE167" s="1214"/>
      <c r="AF167" s="1215"/>
      <c r="AG167" s="1215"/>
      <c r="AH167" s="1215"/>
      <c r="AI167" s="1215"/>
      <c r="AJ167" s="1216"/>
      <c r="AK167" s="1216"/>
      <c r="AL167" s="1216"/>
      <c r="AM167" s="1216"/>
      <c r="AN167" s="1216"/>
      <c r="AO167" s="1216"/>
      <c r="AP167" s="1216"/>
      <c r="AQ167" s="1216"/>
      <c r="AR167" s="1216"/>
      <c r="AS167" s="1216"/>
      <c r="AT167" s="1216"/>
      <c r="AU167" s="1120" t="str" cm="1">
        <f t="array" ref="AU167">IF(H167="","",Slookup(MID(X167,1,3)*1,UomConversion!$D$8:$J$500,2,UomConversion!$I$8:$I$500,1,UomConversion!$J$8:$J$500,1))</f>
        <v/>
      </c>
      <c r="AV167" s="401" t="str">
        <f t="shared" si="34"/>
        <v/>
      </c>
      <c r="AW167" s="757" t="str">
        <f t="shared" si="35"/>
        <v/>
      </c>
      <c r="AX167" s="757" t="str">
        <f t="shared" si="36"/>
        <v/>
      </c>
      <c r="AY167" s="757" t="str">
        <f t="shared" si="37"/>
        <v/>
      </c>
      <c r="AZ167" s="1209" cm="1">
        <f t="array" ref="AZ167">IF(Y167="",1,Slookup(MID(X167,1,3)*1,UomConversion!$D$8:$J$500,5,UomConversion!$E$8:$E$500,MID(Y167,1,3)*1,UomConversion!$I$8:$I$500,1))</f>
        <v>1</v>
      </c>
      <c r="BA167" s="1209" cm="1">
        <f t="array" ref="BA167">IF(Z167="",1,Slookup(MID(X167,1,3)*1,UomConversion!$D$8:$J$500,5,UomConversion!$E$8:$E$500,MID(Z167,1,3)*1,UomConversion!$I$8:$I$500,1))</f>
        <v>1</v>
      </c>
      <c r="BB167" s="1217">
        <f t="shared" si="39"/>
        <v>0</v>
      </c>
      <c r="BC167" s="1217"/>
      <c r="BD167" s="1217"/>
    </row>
    <row r="168" spans="2:56" s="1120" customFormat="1" ht="24.95" customHeight="1">
      <c r="B168" s="445"/>
      <c r="C168" s="843"/>
      <c r="D168" s="843"/>
      <c r="E168" s="843"/>
      <c r="F168" s="1116"/>
      <c r="G168" s="1117"/>
      <c r="H168" s="868"/>
      <c r="I168" s="1118"/>
      <c r="J168" s="1138"/>
      <c r="K168" s="1138"/>
      <c r="L168" s="870"/>
      <c r="M168" s="868"/>
      <c r="N168" s="1118"/>
      <c r="O168" s="1119"/>
      <c r="P168" s="884"/>
      <c r="Q168" s="885"/>
      <c r="R168" s="843"/>
      <c r="S168" s="843"/>
      <c r="T168" s="843"/>
      <c r="U168" s="843"/>
      <c r="V168" s="843"/>
      <c r="W168" s="843"/>
      <c r="X168" s="870"/>
      <c r="Y168" s="843" t="str">
        <f>IF(OR(ISNA(MATCH(MID(X168,1,3)*1,UomConversion!$D$8:$D$500,0)),H168=""),"",IF(AV168="","",AV168))</f>
        <v/>
      </c>
      <c r="Z168" s="843" t="str">
        <f>IF(AND(AU168&gt;0,COUNTIFS(UomConversion!$D$8:$D$500,MID(X168,1,3)*1,UomConversion!$J$8:$J$500,1)&gt;1),TEXT(AU168,"000")&amp;"."&amp;VLOOKUP(AU168,uom_list,5,FALSE),"")</f>
        <v/>
      </c>
      <c r="AA168" s="843">
        <f t="shared" si="32"/>
        <v>0</v>
      </c>
      <c r="AB168" s="843" t="str">
        <f t="shared" si="38"/>
        <v/>
      </c>
      <c r="AC168" s="843">
        <f t="shared" si="33"/>
        <v>2</v>
      </c>
      <c r="AD168" s="1214"/>
      <c r="AE168" s="1214"/>
      <c r="AF168" s="1215"/>
      <c r="AG168" s="1215"/>
      <c r="AH168" s="1215"/>
      <c r="AI168" s="1215"/>
      <c r="AJ168" s="1216"/>
      <c r="AK168" s="1216"/>
      <c r="AL168" s="1216"/>
      <c r="AM168" s="1216"/>
      <c r="AN168" s="1216"/>
      <c r="AO168" s="1216"/>
      <c r="AP168" s="1216"/>
      <c r="AQ168" s="1216"/>
      <c r="AR168" s="1216"/>
      <c r="AS168" s="1216"/>
      <c r="AT168" s="1216"/>
      <c r="AU168" s="1120" t="str" cm="1">
        <f t="array" ref="AU168">IF(H168="","",Slookup(MID(X168,1,3)*1,UomConversion!$D$8:$J$500,2,UomConversion!$I$8:$I$500,1,UomConversion!$J$8:$J$500,1))</f>
        <v/>
      </c>
      <c r="AV168" s="401" t="str">
        <f t="shared" si="34"/>
        <v/>
      </c>
      <c r="AW168" s="757" t="str">
        <f t="shared" si="35"/>
        <v/>
      </c>
      <c r="AX168" s="757" t="str">
        <f t="shared" si="36"/>
        <v/>
      </c>
      <c r="AY168" s="757" t="str">
        <f t="shared" si="37"/>
        <v/>
      </c>
      <c r="AZ168" s="1209" cm="1">
        <f t="array" ref="AZ168">IF(Y168="",1,Slookup(MID(X168,1,3)*1,UomConversion!$D$8:$J$500,5,UomConversion!$E$8:$E$500,MID(Y168,1,3)*1,UomConversion!$I$8:$I$500,1))</f>
        <v>1</v>
      </c>
      <c r="BA168" s="1209" cm="1">
        <f t="array" ref="BA168">IF(Z168="",1,Slookup(MID(X168,1,3)*1,UomConversion!$D$8:$J$500,5,UomConversion!$E$8:$E$500,MID(Z168,1,3)*1,UomConversion!$I$8:$I$500,1))</f>
        <v>1</v>
      </c>
      <c r="BB168" s="1217">
        <f t="shared" si="39"/>
        <v>0</v>
      </c>
      <c r="BC168" s="1217"/>
      <c r="BD168" s="1217"/>
    </row>
    <row r="169" spans="2:56" s="1120" customFormat="1" ht="24.95" customHeight="1">
      <c r="B169" s="445"/>
      <c r="C169" s="843"/>
      <c r="D169" s="843"/>
      <c r="E169" s="843"/>
      <c r="F169" s="1116"/>
      <c r="G169" s="1117"/>
      <c r="H169" s="868"/>
      <c r="I169" s="1118"/>
      <c r="J169" s="1138"/>
      <c r="K169" s="1138"/>
      <c r="L169" s="870"/>
      <c r="M169" s="868"/>
      <c r="N169" s="1118"/>
      <c r="O169" s="1119"/>
      <c r="P169" s="884"/>
      <c r="Q169" s="885"/>
      <c r="R169" s="843"/>
      <c r="S169" s="843"/>
      <c r="T169" s="843"/>
      <c r="U169" s="843"/>
      <c r="V169" s="843"/>
      <c r="W169" s="843"/>
      <c r="X169" s="870"/>
      <c r="Y169" s="843" t="str">
        <f>IF(OR(ISNA(MATCH(MID(X169,1,3)*1,UomConversion!$D$8:$D$500,0)),H169=""),"",IF(AV169="","",AV169))</f>
        <v/>
      </c>
      <c r="Z169" s="843" t="str">
        <f>IF(AND(AU169&gt;0,COUNTIFS(UomConversion!$D$8:$D$500,MID(X169,1,3)*1,UomConversion!$J$8:$J$500,1)&gt;1),TEXT(AU169,"000")&amp;"."&amp;VLOOKUP(AU169,uom_list,5,FALSE),"")</f>
        <v/>
      </c>
      <c r="AA169" s="843">
        <f t="shared" si="32"/>
        <v>0</v>
      </c>
      <c r="AB169" s="843" t="str">
        <f t="shared" si="38"/>
        <v/>
      </c>
      <c r="AC169" s="843">
        <f t="shared" si="33"/>
        <v>2</v>
      </c>
      <c r="AD169" s="1214"/>
      <c r="AE169" s="1214"/>
      <c r="AF169" s="1215"/>
      <c r="AG169" s="1215"/>
      <c r="AH169" s="1215"/>
      <c r="AI169" s="1215"/>
      <c r="AJ169" s="1216"/>
      <c r="AK169" s="1216"/>
      <c r="AL169" s="1216"/>
      <c r="AM169" s="1216"/>
      <c r="AN169" s="1216"/>
      <c r="AO169" s="1216"/>
      <c r="AP169" s="1216"/>
      <c r="AQ169" s="1216"/>
      <c r="AR169" s="1216"/>
      <c r="AS169" s="1216"/>
      <c r="AT169" s="1216"/>
      <c r="AU169" s="1120" t="str" cm="1">
        <f t="array" ref="AU169">IF(H169="","",Slookup(MID(X169,1,3)*1,UomConversion!$D$8:$J$500,2,UomConversion!$I$8:$I$500,1,UomConversion!$J$8:$J$500,1))</f>
        <v/>
      </c>
      <c r="AV169" s="401" t="str">
        <f t="shared" si="34"/>
        <v/>
      </c>
      <c r="AW169" s="757" t="str">
        <f t="shared" si="35"/>
        <v/>
      </c>
      <c r="AX169" s="757" t="str">
        <f t="shared" si="36"/>
        <v/>
      </c>
      <c r="AY169" s="757" t="str">
        <f t="shared" si="37"/>
        <v/>
      </c>
      <c r="AZ169" s="1209" cm="1">
        <f t="array" ref="AZ169">IF(Y169="",1,Slookup(MID(X169,1,3)*1,UomConversion!$D$8:$J$500,5,UomConversion!$E$8:$E$500,MID(Y169,1,3)*1,UomConversion!$I$8:$I$500,1))</f>
        <v>1</v>
      </c>
      <c r="BA169" s="1209" cm="1">
        <f t="array" ref="BA169">IF(Z169="",1,Slookup(MID(X169,1,3)*1,UomConversion!$D$8:$J$500,5,UomConversion!$E$8:$E$500,MID(Z169,1,3)*1,UomConversion!$I$8:$I$500,1))</f>
        <v>1</v>
      </c>
      <c r="BB169" s="1217">
        <f t="shared" si="39"/>
        <v>0</v>
      </c>
      <c r="BC169" s="1217"/>
      <c r="BD169" s="1217"/>
    </row>
    <row r="170" spans="2:56" s="1120" customFormat="1" ht="24.95" customHeight="1">
      <c r="B170" s="445"/>
      <c r="C170" s="843"/>
      <c r="D170" s="843"/>
      <c r="E170" s="843"/>
      <c r="F170" s="1116"/>
      <c r="G170" s="1117"/>
      <c r="H170" s="868"/>
      <c r="I170" s="1118"/>
      <c r="J170" s="1138"/>
      <c r="K170" s="1138"/>
      <c r="L170" s="870"/>
      <c r="M170" s="868"/>
      <c r="N170" s="1118"/>
      <c r="O170" s="1119"/>
      <c r="P170" s="884"/>
      <c r="Q170" s="885"/>
      <c r="R170" s="843"/>
      <c r="S170" s="843"/>
      <c r="T170" s="843"/>
      <c r="U170" s="843"/>
      <c r="V170" s="843"/>
      <c r="W170" s="843"/>
      <c r="X170" s="870"/>
      <c r="Y170" s="843" t="str">
        <f>IF(OR(ISNA(MATCH(MID(X170,1,3)*1,UomConversion!$D$8:$D$500,0)),H170=""),"",IF(AV170="","",AV170))</f>
        <v/>
      </c>
      <c r="Z170" s="843" t="str">
        <f>IF(AND(AU170&gt;0,COUNTIFS(UomConversion!$D$8:$D$500,MID(X170,1,3)*1,UomConversion!$J$8:$J$500,1)&gt;1),TEXT(AU170,"000")&amp;"."&amp;VLOOKUP(AU170,uom_list,5,FALSE),"")</f>
        <v/>
      </c>
      <c r="AA170" s="843">
        <f t="shared" si="32"/>
        <v>0</v>
      </c>
      <c r="AB170" s="843" t="str">
        <f t="shared" si="38"/>
        <v/>
      </c>
      <c r="AC170" s="843">
        <f t="shared" si="33"/>
        <v>2</v>
      </c>
      <c r="AD170" s="1214"/>
      <c r="AE170" s="1214"/>
      <c r="AF170" s="1215"/>
      <c r="AG170" s="1215"/>
      <c r="AH170" s="1215"/>
      <c r="AI170" s="1215"/>
      <c r="AJ170" s="1216"/>
      <c r="AK170" s="1216"/>
      <c r="AL170" s="1216"/>
      <c r="AM170" s="1216"/>
      <c r="AN170" s="1216"/>
      <c r="AO170" s="1216"/>
      <c r="AP170" s="1216"/>
      <c r="AQ170" s="1216"/>
      <c r="AR170" s="1216"/>
      <c r="AS170" s="1216"/>
      <c r="AT170" s="1216"/>
      <c r="AU170" s="1120" t="str" cm="1">
        <f t="array" ref="AU170">IF(H170="","",Slookup(MID(X170,1,3)*1,UomConversion!$D$8:$J$500,2,UomConversion!$I$8:$I$500,1,UomConversion!$J$8:$J$500,1))</f>
        <v/>
      </c>
      <c r="AV170" s="401" t="str">
        <f t="shared" si="34"/>
        <v/>
      </c>
      <c r="AW170" s="757" t="str">
        <f t="shared" si="35"/>
        <v/>
      </c>
      <c r="AX170" s="757" t="str">
        <f t="shared" si="36"/>
        <v/>
      </c>
      <c r="AY170" s="757" t="str">
        <f t="shared" si="37"/>
        <v/>
      </c>
      <c r="AZ170" s="1209" cm="1">
        <f t="array" ref="AZ170">IF(Y170="",1,Slookup(MID(X170,1,3)*1,UomConversion!$D$8:$J$500,5,UomConversion!$E$8:$E$500,MID(Y170,1,3)*1,UomConversion!$I$8:$I$500,1))</f>
        <v>1</v>
      </c>
      <c r="BA170" s="1209" cm="1">
        <f t="array" ref="BA170">IF(Z170="",1,Slookup(MID(X170,1,3)*1,UomConversion!$D$8:$J$500,5,UomConversion!$E$8:$E$500,MID(Z170,1,3)*1,UomConversion!$I$8:$I$500,1))</f>
        <v>1</v>
      </c>
      <c r="BB170" s="1217">
        <f t="shared" si="39"/>
        <v>0</v>
      </c>
      <c r="BC170" s="1217"/>
      <c r="BD170" s="1217"/>
    </row>
    <row r="171" spans="2:56" s="1120" customFormat="1" ht="24.95" customHeight="1">
      <c r="B171" s="445"/>
      <c r="C171" s="843"/>
      <c r="D171" s="843"/>
      <c r="E171" s="843"/>
      <c r="F171" s="1116"/>
      <c r="G171" s="1117"/>
      <c r="H171" s="868"/>
      <c r="I171" s="1118"/>
      <c r="J171" s="1138"/>
      <c r="K171" s="1138"/>
      <c r="L171" s="870"/>
      <c r="M171" s="868"/>
      <c r="N171" s="1118"/>
      <c r="O171" s="1119"/>
      <c r="P171" s="884"/>
      <c r="Q171" s="885"/>
      <c r="R171" s="843"/>
      <c r="S171" s="843"/>
      <c r="T171" s="843"/>
      <c r="U171" s="843"/>
      <c r="V171" s="843"/>
      <c r="W171" s="843"/>
      <c r="X171" s="870"/>
      <c r="Y171" s="843" t="str">
        <f>IF(OR(ISNA(MATCH(MID(X171,1,3)*1,UomConversion!$D$8:$D$500,0)),H171=""),"",IF(AV171="","",AV171))</f>
        <v/>
      </c>
      <c r="Z171" s="843" t="str">
        <f>IF(AND(AU171&gt;0,COUNTIFS(UomConversion!$D$8:$D$500,MID(X171,1,3)*1,UomConversion!$J$8:$J$500,1)&gt;1),TEXT(AU171,"000")&amp;"."&amp;VLOOKUP(AU171,uom_list,5,FALSE),"")</f>
        <v/>
      </c>
      <c r="AA171" s="843">
        <f t="shared" si="32"/>
        <v>0</v>
      </c>
      <c r="AB171" s="843" t="str">
        <f t="shared" si="38"/>
        <v/>
      </c>
      <c r="AC171" s="843">
        <f t="shared" si="33"/>
        <v>2</v>
      </c>
      <c r="AD171" s="1214"/>
      <c r="AE171" s="1214"/>
      <c r="AF171" s="1215"/>
      <c r="AG171" s="1215"/>
      <c r="AH171" s="1215"/>
      <c r="AI171" s="1215"/>
      <c r="AJ171" s="1216"/>
      <c r="AK171" s="1216"/>
      <c r="AL171" s="1216"/>
      <c r="AM171" s="1216"/>
      <c r="AN171" s="1216"/>
      <c r="AO171" s="1216"/>
      <c r="AP171" s="1216"/>
      <c r="AQ171" s="1216"/>
      <c r="AR171" s="1216"/>
      <c r="AS171" s="1216"/>
      <c r="AT171" s="1216"/>
      <c r="AU171" s="1120" t="str" cm="1">
        <f t="array" ref="AU171">IF(H171="","",Slookup(MID(X171,1,3)*1,UomConversion!$D$8:$J$500,2,UomConversion!$I$8:$I$500,1,UomConversion!$J$8:$J$500,1))</f>
        <v/>
      </c>
      <c r="AV171" s="401" t="str">
        <f t="shared" si="34"/>
        <v/>
      </c>
      <c r="AW171" s="757" t="str">
        <f t="shared" si="35"/>
        <v/>
      </c>
      <c r="AX171" s="757" t="str">
        <f t="shared" si="36"/>
        <v/>
      </c>
      <c r="AY171" s="757" t="str">
        <f t="shared" si="37"/>
        <v/>
      </c>
      <c r="AZ171" s="1209" cm="1">
        <f t="array" ref="AZ171">IF(Y171="",1,Slookup(MID(X171,1,3)*1,UomConversion!$D$8:$J$500,5,UomConversion!$E$8:$E$500,MID(Y171,1,3)*1,UomConversion!$I$8:$I$500,1))</f>
        <v>1</v>
      </c>
      <c r="BA171" s="1209" cm="1">
        <f t="array" ref="BA171">IF(Z171="",1,Slookup(MID(X171,1,3)*1,UomConversion!$D$8:$J$500,5,UomConversion!$E$8:$E$500,MID(Z171,1,3)*1,UomConversion!$I$8:$I$500,1))</f>
        <v>1</v>
      </c>
      <c r="BB171" s="1217">
        <f t="shared" si="39"/>
        <v>0</v>
      </c>
      <c r="BC171" s="1217"/>
      <c r="BD171" s="1217"/>
    </row>
    <row r="172" spans="2:56" s="1120" customFormat="1" ht="24.95" customHeight="1">
      <c r="B172" s="445"/>
      <c r="C172" s="843"/>
      <c r="D172" s="843"/>
      <c r="E172" s="843"/>
      <c r="F172" s="1116"/>
      <c r="G172" s="1117"/>
      <c r="H172" s="868"/>
      <c r="I172" s="1118"/>
      <c r="J172" s="1138"/>
      <c r="K172" s="1138"/>
      <c r="L172" s="870"/>
      <c r="M172" s="868"/>
      <c r="N172" s="1118"/>
      <c r="O172" s="1119"/>
      <c r="P172" s="884"/>
      <c r="Q172" s="885"/>
      <c r="R172" s="843"/>
      <c r="S172" s="843"/>
      <c r="T172" s="843"/>
      <c r="U172" s="843"/>
      <c r="V172" s="843"/>
      <c r="W172" s="843"/>
      <c r="X172" s="870"/>
      <c r="Y172" s="843" t="str">
        <f>IF(OR(ISNA(MATCH(MID(X172,1,3)*1,UomConversion!$D$8:$D$500,0)),H172=""),"",IF(AV172="","",AV172))</f>
        <v/>
      </c>
      <c r="Z172" s="843" t="str">
        <f>IF(AND(AU172&gt;0,COUNTIFS(UomConversion!$D$8:$D$500,MID(X172,1,3)*1,UomConversion!$J$8:$J$500,1)&gt;1),TEXT(AU172,"000")&amp;"."&amp;VLOOKUP(AU172,uom_list,5,FALSE),"")</f>
        <v/>
      </c>
      <c r="AA172" s="843">
        <f t="shared" si="32"/>
        <v>0</v>
      </c>
      <c r="AB172" s="843" t="str">
        <f t="shared" si="38"/>
        <v/>
      </c>
      <c r="AC172" s="843">
        <f t="shared" si="33"/>
        <v>2</v>
      </c>
      <c r="AD172" s="1214"/>
      <c r="AE172" s="1214"/>
      <c r="AF172" s="1215"/>
      <c r="AG172" s="1215"/>
      <c r="AH172" s="1215"/>
      <c r="AI172" s="1215"/>
      <c r="AJ172" s="1216"/>
      <c r="AK172" s="1216"/>
      <c r="AL172" s="1216"/>
      <c r="AM172" s="1216"/>
      <c r="AN172" s="1216"/>
      <c r="AO172" s="1216"/>
      <c r="AP172" s="1216"/>
      <c r="AQ172" s="1216"/>
      <c r="AR172" s="1216"/>
      <c r="AS172" s="1216"/>
      <c r="AT172" s="1216"/>
      <c r="AU172" s="1120" t="str" cm="1">
        <f t="array" ref="AU172">IF(H172="","",Slookup(MID(X172,1,3)*1,UomConversion!$D$8:$J$500,2,UomConversion!$I$8:$I$500,1,UomConversion!$J$8:$J$500,1))</f>
        <v/>
      </c>
      <c r="AV172" s="401" t="str">
        <f t="shared" si="34"/>
        <v/>
      </c>
      <c r="AW172" s="757" t="str">
        <f t="shared" si="35"/>
        <v/>
      </c>
      <c r="AX172" s="757" t="str">
        <f t="shared" si="36"/>
        <v/>
      </c>
      <c r="AY172" s="757" t="str">
        <f t="shared" si="37"/>
        <v/>
      </c>
      <c r="AZ172" s="1209" cm="1">
        <f t="array" ref="AZ172">IF(Y172="",1,Slookup(MID(X172,1,3)*1,UomConversion!$D$8:$J$500,5,UomConversion!$E$8:$E$500,MID(Y172,1,3)*1,UomConversion!$I$8:$I$500,1))</f>
        <v>1</v>
      </c>
      <c r="BA172" s="1209" cm="1">
        <f t="array" ref="BA172">IF(Z172="",1,Slookup(MID(X172,1,3)*1,UomConversion!$D$8:$J$500,5,UomConversion!$E$8:$E$500,MID(Z172,1,3)*1,UomConversion!$I$8:$I$500,1))</f>
        <v>1</v>
      </c>
      <c r="BB172" s="1217">
        <f t="shared" si="39"/>
        <v>0</v>
      </c>
      <c r="BC172" s="1217"/>
      <c r="BD172" s="1217"/>
    </row>
    <row r="173" spans="2:56" s="1120" customFormat="1" ht="24.95" customHeight="1">
      <c r="B173" s="445"/>
      <c r="C173" s="843"/>
      <c r="D173" s="843"/>
      <c r="E173" s="843"/>
      <c r="F173" s="1116"/>
      <c r="G173" s="1117"/>
      <c r="H173" s="868"/>
      <c r="I173" s="1118"/>
      <c r="J173" s="1138"/>
      <c r="K173" s="1138"/>
      <c r="L173" s="870"/>
      <c r="M173" s="868"/>
      <c r="N173" s="1118"/>
      <c r="O173" s="1119"/>
      <c r="P173" s="884"/>
      <c r="Q173" s="885"/>
      <c r="R173" s="843"/>
      <c r="S173" s="843"/>
      <c r="T173" s="843"/>
      <c r="U173" s="843"/>
      <c r="V173" s="843"/>
      <c r="W173" s="843"/>
      <c r="X173" s="870"/>
      <c r="Y173" s="843" t="str">
        <f>IF(OR(ISNA(MATCH(MID(X173,1,3)*1,UomConversion!$D$8:$D$500,0)),H173=""),"",IF(AV173="","",AV173))</f>
        <v/>
      </c>
      <c r="Z173" s="843" t="str">
        <f>IF(AND(AU173&gt;0,COUNTIFS(UomConversion!$D$8:$D$500,MID(X173,1,3)*1,UomConversion!$J$8:$J$500,1)&gt;1),TEXT(AU173,"000")&amp;"."&amp;VLOOKUP(AU173,uom_list,5,FALSE),"")</f>
        <v/>
      </c>
      <c r="AA173" s="843">
        <f t="shared" si="32"/>
        <v>0</v>
      </c>
      <c r="AB173" s="843" t="str">
        <f t="shared" si="38"/>
        <v/>
      </c>
      <c r="AC173" s="843">
        <f t="shared" si="33"/>
        <v>2</v>
      </c>
      <c r="AD173" s="1214"/>
      <c r="AE173" s="1214"/>
      <c r="AF173" s="1215"/>
      <c r="AG173" s="1215"/>
      <c r="AH173" s="1215"/>
      <c r="AI173" s="1215"/>
      <c r="AJ173" s="1216"/>
      <c r="AK173" s="1216"/>
      <c r="AL173" s="1216"/>
      <c r="AM173" s="1216"/>
      <c r="AN173" s="1216"/>
      <c r="AO173" s="1216"/>
      <c r="AP173" s="1216"/>
      <c r="AQ173" s="1216"/>
      <c r="AR173" s="1216"/>
      <c r="AS173" s="1216"/>
      <c r="AT173" s="1216"/>
      <c r="AU173" s="1120" t="str" cm="1">
        <f t="array" ref="AU173">IF(H173="","",Slookup(MID(X173,1,3)*1,UomConversion!$D$8:$J$500,2,UomConversion!$I$8:$I$500,1,UomConversion!$J$8:$J$500,1))</f>
        <v/>
      </c>
      <c r="AV173" s="401" t="str">
        <f t="shared" si="34"/>
        <v/>
      </c>
      <c r="AW173" s="757" t="str">
        <f t="shared" si="35"/>
        <v/>
      </c>
      <c r="AX173" s="757" t="str">
        <f t="shared" si="36"/>
        <v/>
      </c>
      <c r="AY173" s="757" t="str">
        <f t="shared" si="37"/>
        <v/>
      </c>
      <c r="AZ173" s="1209" cm="1">
        <f t="array" ref="AZ173">IF(Y173="",1,Slookup(MID(X173,1,3)*1,UomConversion!$D$8:$J$500,5,UomConversion!$E$8:$E$500,MID(Y173,1,3)*1,UomConversion!$I$8:$I$500,1))</f>
        <v>1</v>
      </c>
      <c r="BA173" s="1209" cm="1">
        <f t="array" ref="BA173">IF(Z173="",1,Slookup(MID(X173,1,3)*1,UomConversion!$D$8:$J$500,5,UomConversion!$E$8:$E$500,MID(Z173,1,3)*1,UomConversion!$I$8:$I$500,1))</f>
        <v>1</v>
      </c>
      <c r="BB173" s="1217">
        <f t="shared" si="39"/>
        <v>0</v>
      </c>
      <c r="BC173" s="1217"/>
      <c r="BD173" s="1217"/>
    </row>
    <row r="174" spans="2:56" s="1120" customFormat="1" ht="24.95" customHeight="1">
      <c r="B174" s="445"/>
      <c r="C174" s="843"/>
      <c r="D174" s="843"/>
      <c r="E174" s="843"/>
      <c r="F174" s="1116"/>
      <c r="G174" s="1117"/>
      <c r="H174" s="868"/>
      <c r="I174" s="1118"/>
      <c r="J174" s="1138"/>
      <c r="K174" s="1138"/>
      <c r="L174" s="870"/>
      <c r="M174" s="868"/>
      <c r="N174" s="1118"/>
      <c r="O174" s="1119"/>
      <c r="P174" s="884"/>
      <c r="Q174" s="885"/>
      <c r="R174" s="843"/>
      <c r="S174" s="843"/>
      <c r="T174" s="843"/>
      <c r="U174" s="843"/>
      <c r="V174" s="843"/>
      <c r="W174" s="843"/>
      <c r="X174" s="870"/>
      <c r="Y174" s="843" t="str">
        <f>IF(OR(ISNA(MATCH(MID(X174,1,3)*1,UomConversion!$D$8:$D$500,0)),H174=""),"",IF(AV174="","",AV174))</f>
        <v/>
      </c>
      <c r="Z174" s="843" t="str">
        <f>IF(AND(AU174&gt;0,COUNTIFS(UomConversion!$D$8:$D$500,MID(X174,1,3)*1,UomConversion!$J$8:$J$500,1)&gt;1),TEXT(AU174,"000")&amp;"."&amp;VLOOKUP(AU174,uom_list,5,FALSE),"")</f>
        <v/>
      </c>
      <c r="AA174" s="843">
        <f t="shared" si="32"/>
        <v>0</v>
      </c>
      <c r="AB174" s="843" t="str">
        <f t="shared" si="38"/>
        <v/>
      </c>
      <c r="AC174" s="843">
        <f t="shared" si="33"/>
        <v>2</v>
      </c>
      <c r="AD174" s="1214"/>
      <c r="AE174" s="1214"/>
      <c r="AF174" s="1215"/>
      <c r="AG174" s="1215"/>
      <c r="AH174" s="1215"/>
      <c r="AI174" s="1215"/>
      <c r="AJ174" s="1216"/>
      <c r="AK174" s="1216"/>
      <c r="AL174" s="1216"/>
      <c r="AM174" s="1216"/>
      <c r="AN174" s="1216"/>
      <c r="AO174" s="1216"/>
      <c r="AP174" s="1216"/>
      <c r="AQ174" s="1216"/>
      <c r="AR174" s="1216"/>
      <c r="AS174" s="1216"/>
      <c r="AT174" s="1216"/>
      <c r="AU174" s="1120" t="str" cm="1">
        <f t="array" ref="AU174">IF(H174="","",Slookup(MID(X174,1,3)*1,UomConversion!$D$8:$J$500,2,UomConversion!$I$8:$I$500,1,UomConversion!$J$8:$J$500,1))</f>
        <v/>
      </c>
      <c r="AV174" s="401" t="str">
        <f t="shared" si="34"/>
        <v/>
      </c>
      <c r="AW174" s="757" t="str">
        <f t="shared" si="35"/>
        <v/>
      </c>
      <c r="AX174" s="757" t="str">
        <f t="shared" si="36"/>
        <v/>
      </c>
      <c r="AY174" s="757" t="str">
        <f t="shared" si="37"/>
        <v/>
      </c>
      <c r="AZ174" s="1209" cm="1">
        <f t="array" ref="AZ174">IF(Y174="",1,Slookup(MID(X174,1,3)*1,UomConversion!$D$8:$J$500,5,UomConversion!$E$8:$E$500,MID(Y174,1,3)*1,UomConversion!$I$8:$I$500,1))</f>
        <v>1</v>
      </c>
      <c r="BA174" s="1209" cm="1">
        <f t="array" ref="BA174">IF(Z174="",1,Slookup(MID(X174,1,3)*1,UomConversion!$D$8:$J$500,5,UomConversion!$E$8:$E$500,MID(Z174,1,3)*1,UomConversion!$I$8:$I$500,1))</f>
        <v>1</v>
      </c>
      <c r="BB174" s="1217">
        <f t="shared" si="39"/>
        <v>0</v>
      </c>
      <c r="BC174" s="1217"/>
      <c r="BD174" s="1217"/>
    </row>
    <row r="175" spans="2:56" s="1120" customFormat="1" ht="24.95" customHeight="1">
      <c r="B175" s="445"/>
      <c r="C175" s="843"/>
      <c r="D175" s="843"/>
      <c r="E175" s="843"/>
      <c r="F175" s="1116"/>
      <c r="G175" s="1117"/>
      <c r="H175" s="868"/>
      <c r="I175" s="1118"/>
      <c r="J175" s="1138"/>
      <c r="K175" s="1138"/>
      <c r="L175" s="870"/>
      <c r="M175" s="868"/>
      <c r="N175" s="1118"/>
      <c r="O175" s="1119"/>
      <c r="P175" s="884"/>
      <c r="Q175" s="885"/>
      <c r="R175" s="843"/>
      <c r="S175" s="843"/>
      <c r="T175" s="843"/>
      <c r="U175" s="843"/>
      <c r="V175" s="843"/>
      <c r="W175" s="843"/>
      <c r="X175" s="870"/>
      <c r="Y175" s="843" t="str">
        <f>IF(OR(ISNA(MATCH(MID(X175,1,3)*1,UomConversion!$D$8:$D$500,0)),H175=""),"",IF(AV175="","",AV175))</f>
        <v/>
      </c>
      <c r="Z175" s="843" t="str">
        <f>IF(AND(AU175&gt;0,COUNTIFS(UomConversion!$D$8:$D$500,MID(X175,1,3)*1,UomConversion!$J$8:$J$500,1)&gt;1),TEXT(AU175,"000")&amp;"."&amp;VLOOKUP(AU175,uom_list,5,FALSE),"")</f>
        <v/>
      </c>
      <c r="AA175" s="843">
        <f t="shared" si="32"/>
        <v>0</v>
      </c>
      <c r="AB175" s="843" t="str">
        <f t="shared" si="38"/>
        <v/>
      </c>
      <c r="AC175" s="843">
        <f t="shared" si="33"/>
        <v>2</v>
      </c>
      <c r="AD175" s="1214"/>
      <c r="AE175" s="1214"/>
      <c r="AF175" s="1215"/>
      <c r="AG175" s="1215"/>
      <c r="AH175" s="1215"/>
      <c r="AI175" s="1215"/>
      <c r="AJ175" s="1216"/>
      <c r="AK175" s="1216"/>
      <c r="AL175" s="1216"/>
      <c r="AM175" s="1216"/>
      <c r="AN175" s="1216"/>
      <c r="AO175" s="1216"/>
      <c r="AP175" s="1216"/>
      <c r="AQ175" s="1216"/>
      <c r="AR175" s="1216"/>
      <c r="AS175" s="1216"/>
      <c r="AT175" s="1216"/>
      <c r="AU175" s="1120" t="str" cm="1">
        <f t="array" ref="AU175">IF(H175="","",Slookup(MID(X175,1,3)*1,UomConversion!$D$8:$J$500,2,UomConversion!$I$8:$I$500,1,UomConversion!$J$8:$J$500,1))</f>
        <v/>
      </c>
      <c r="AV175" s="401" t="str">
        <f t="shared" si="34"/>
        <v/>
      </c>
      <c r="AW175" s="757" t="str">
        <f t="shared" si="35"/>
        <v/>
      </c>
      <c r="AX175" s="757" t="str">
        <f t="shared" si="36"/>
        <v/>
      </c>
      <c r="AY175" s="757" t="str">
        <f t="shared" si="37"/>
        <v/>
      </c>
      <c r="AZ175" s="1209" cm="1">
        <f t="array" ref="AZ175">IF(Y175="",1,Slookup(MID(X175,1,3)*1,UomConversion!$D$8:$J$500,5,UomConversion!$E$8:$E$500,MID(Y175,1,3)*1,UomConversion!$I$8:$I$500,1))</f>
        <v>1</v>
      </c>
      <c r="BA175" s="1209" cm="1">
        <f t="array" ref="BA175">IF(Z175="",1,Slookup(MID(X175,1,3)*1,UomConversion!$D$8:$J$500,5,UomConversion!$E$8:$E$500,MID(Z175,1,3)*1,UomConversion!$I$8:$I$500,1))</f>
        <v>1</v>
      </c>
      <c r="BB175" s="1217">
        <f t="shared" si="39"/>
        <v>0</v>
      </c>
      <c r="BC175" s="1217"/>
      <c r="BD175" s="1217"/>
    </row>
    <row r="176" spans="2:56" s="1120" customFormat="1" ht="24.95" customHeight="1">
      <c r="B176" s="445"/>
      <c r="C176" s="843"/>
      <c r="D176" s="843"/>
      <c r="E176" s="843"/>
      <c r="F176" s="1116"/>
      <c r="G176" s="1117"/>
      <c r="H176" s="868"/>
      <c r="I176" s="1118"/>
      <c r="J176" s="1138"/>
      <c r="K176" s="1138"/>
      <c r="L176" s="870"/>
      <c r="M176" s="868"/>
      <c r="N176" s="1118"/>
      <c r="O176" s="1119"/>
      <c r="P176" s="884"/>
      <c r="Q176" s="885"/>
      <c r="R176" s="843"/>
      <c r="S176" s="843"/>
      <c r="T176" s="843"/>
      <c r="U176" s="843"/>
      <c r="V176" s="843"/>
      <c r="W176" s="843"/>
      <c r="X176" s="870"/>
      <c r="Y176" s="843" t="str">
        <f>IF(OR(ISNA(MATCH(MID(X176,1,3)*1,UomConversion!$D$8:$D$500,0)),H176=""),"",IF(AV176="","",AV176))</f>
        <v/>
      </c>
      <c r="Z176" s="843" t="str">
        <f>IF(AND(AU176&gt;0,COUNTIFS(UomConversion!$D$8:$D$500,MID(X176,1,3)*1,UomConversion!$J$8:$J$500,1)&gt;1),TEXT(AU176,"000")&amp;"."&amp;VLOOKUP(AU176,uom_list,5,FALSE),"")</f>
        <v/>
      </c>
      <c r="AA176" s="843">
        <f t="shared" si="32"/>
        <v>0</v>
      </c>
      <c r="AB176" s="843" t="str">
        <f t="shared" si="38"/>
        <v/>
      </c>
      <c r="AC176" s="843">
        <f t="shared" si="33"/>
        <v>2</v>
      </c>
      <c r="AD176" s="1214"/>
      <c r="AE176" s="1214"/>
      <c r="AF176" s="1215"/>
      <c r="AG176" s="1215"/>
      <c r="AH176" s="1215"/>
      <c r="AI176" s="1215"/>
      <c r="AJ176" s="1216"/>
      <c r="AK176" s="1216"/>
      <c r="AL176" s="1216"/>
      <c r="AM176" s="1216"/>
      <c r="AN176" s="1216"/>
      <c r="AO176" s="1216"/>
      <c r="AP176" s="1216"/>
      <c r="AQ176" s="1216"/>
      <c r="AR176" s="1216"/>
      <c r="AS176" s="1216"/>
      <c r="AT176" s="1216"/>
      <c r="AU176" s="1120" t="str" cm="1">
        <f t="array" ref="AU176">IF(H176="","",Slookup(MID(X176,1,3)*1,UomConversion!$D$8:$J$500,2,UomConversion!$I$8:$I$500,1,UomConversion!$J$8:$J$500,1))</f>
        <v/>
      </c>
      <c r="AV176" s="401" t="str">
        <f t="shared" si="34"/>
        <v/>
      </c>
      <c r="AW176" s="757" t="str">
        <f t="shared" si="35"/>
        <v/>
      </c>
      <c r="AX176" s="757" t="str">
        <f t="shared" si="36"/>
        <v/>
      </c>
      <c r="AY176" s="757" t="str">
        <f t="shared" si="37"/>
        <v/>
      </c>
      <c r="AZ176" s="1209" cm="1">
        <f t="array" ref="AZ176">IF(Y176="",1,Slookup(MID(X176,1,3)*1,UomConversion!$D$8:$J$500,5,UomConversion!$E$8:$E$500,MID(Y176,1,3)*1,UomConversion!$I$8:$I$500,1))</f>
        <v>1</v>
      </c>
      <c r="BA176" s="1209" cm="1">
        <f t="array" ref="BA176">IF(Z176="",1,Slookup(MID(X176,1,3)*1,UomConversion!$D$8:$J$500,5,UomConversion!$E$8:$E$500,MID(Z176,1,3)*1,UomConversion!$I$8:$I$500,1))</f>
        <v>1</v>
      </c>
      <c r="BB176" s="1217">
        <f t="shared" si="39"/>
        <v>0</v>
      </c>
      <c r="BC176" s="1217"/>
      <c r="BD176" s="1217"/>
    </row>
    <row r="177" spans="2:56" s="1120" customFormat="1" ht="24.95" customHeight="1">
      <c r="B177" s="445"/>
      <c r="C177" s="843"/>
      <c r="D177" s="843"/>
      <c r="E177" s="843"/>
      <c r="F177" s="1116"/>
      <c r="G177" s="1117"/>
      <c r="H177" s="868"/>
      <c r="I177" s="1118"/>
      <c r="J177" s="1138"/>
      <c r="K177" s="1138"/>
      <c r="L177" s="870"/>
      <c r="M177" s="868"/>
      <c r="N177" s="1118"/>
      <c r="O177" s="1119"/>
      <c r="P177" s="884"/>
      <c r="Q177" s="885"/>
      <c r="R177" s="843"/>
      <c r="S177" s="843"/>
      <c r="T177" s="843"/>
      <c r="U177" s="843"/>
      <c r="V177" s="843"/>
      <c r="W177" s="843"/>
      <c r="X177" s="870"/>
      <c r="Y177" s="843" t="str">
        <f>IF(OR(ISNA(MATCH(MID(X177,1,3)*1,UomConversion!$D$8:$D$500,0)),H177=""),"",IF(AV177="","",AV177))</f>
        <v/>
      </c>
      <c r="Z177" s="843" t="str">
        <f>IF(AND(AU177&gt;0,COUNTIFS(UomConversion!$D$8:$D$500,MID(X177,1,3)*1,UomConversion!$J$8:$J$500,1)&gt;1),TEXT(AU177,"000")&amp;"."&amp;VLOOKUP(AU177,uom_list,5,FALSE),"")</f>
        <v/>
      </c>
      <c r="AA177" s="843">
        <f t="shared" si="32"/>
        <v>0</v>
      </c>
      <c r="AB177" s="843" t="str">
        <f t="shared" si="38"/>
        <v/>
      </c>
      <c r="AC177" s="843">
        <f t="shared" si="33"/>
        <v>2</v>
      </c>
      <c r="AD177" s="1214"/>
      <c r="AE177" s="1214"/>
      <c r="AF177" s="1215"/>
      <c r="AG177" s="1215"/>
      <c r="AH177" s="1215"/>
      <c r="AI177" s="1215"/>
      <c r="AJ177" s="1216"/>
      <c r="AK177" s="1216"/>
      <c r="AL177" s="1216"/>
      <c r="AM177" s="1216"/>
      <c r="AN177" s="1216"/>
      <c r="AO177" s="1216"/>
      <c r="AP177" s="1216"/>
      <c r="AQ177" s="1216"/>
      <c r="AR177" s="1216"/>
      <c r="AS177" s="1216"/>
      <c r="AT177" s="1216"/>
      <c r="AU177" s="1120" t="str" cm="1">
        <f t="array" ref="AU177">IF(H177="","",Slookup(MID(X177,1,3)*1,UomConversion!$D$8:$J$500,2,UomConversion!$I$8:$I$500,1,UomConversion!$J$8:$J$500,1))</f>
        <v/>
      </c>
      <c r="AV177" s="401" t="str">
        <f t="shared" si="34"/>
        <v/>
      </c>
      <c r="AW177" s="757" t="str">
        <f t="shared" si="35"/>
        <v/>
      </c>
      <c r="AX177" s="757" t="str">
        <f t="shared" si="36"/>
        <v/>
      </c>
      <c r="AY177" s="757" t="str">
        <f t="shared" si="37"/>
        <v/>
      </c>
      <c r="AZ177" s="1209" cm="1">
        <f t="array" ref="AZ177">IF(Y177="",1,Slookup(MID(X177,1,3)*1,UomConversion!$D$8:$J$500,5,UomConversion!$E$8:$E$500,MID(Y177,1,3)*1,UomConversion!$I$8:$I$500,1))</f>
        <v>1</v>
      </c>
      <c r="BA177" s="1209" cm="1">
        <f t="array" ref="BA177">IF(Z177="",1,Slookup(MID(X177,1,3)*1,UomConversion!$D$8:$J$500,5,UomConversion!$E$8:$E$500,MID(Z177,1,3)*1,UomConversion!$I$8:$I$500,1))</f>
        <v>1</v>
      </c>
      <c r="BB177" s="1217">
        <f t="shared" si="39"/>
        <v>0</v>
      </c>
      <c r="BC177" s="1217"/>
      <c r="BD177" s="1217"/>
    </row>
    <row r="178" spans="2:56" s="1120" customFormat="1" ht="24.95" customHeight="1">
      <c r="B178" s="445"/>
      <c r="C178" s="843"/>
      <c r="D178" s="843"/>
      <c r="E178" s="843"/>
      <c r="F178" s="1116"/>
      <c r="G178" s="1117"/>
      <c r="H178" s="868"/>
      <c r="I178" s="1118"/>
      <c r="J178" s="1138"/>
      <c r="K178" s="1138"/>
      <c r="L178" s="870"/>
      <c r="M178" s="868"/>
      <c r="N178" s="1118"/>
      <c r="O178" s="1119"/>
      <c r="P178" s="884"/>
      <c r="Q178" s="885"/>
      <c r="R178" s="843"/>
      <c r="S178" s="843"/>
      <c r="T178" s="843"/>
      <c r="U178" s="843"/>
      <c r="V178" s="843"/>
      <c r="W178" s="843"/>
      <c r="X178" s="870"/>
      <c r="Y178" s="843" t="str">
        <f>IF(OR(ISNA(MATCH(MID(X178,1,3)*1,UomConversion!$D$8:$D$500,0)),H178=""),"",IF(AV178="","",AV178))</f>
        <v/>
      </c>
      <c r="Z178" s="843" t="str">
        <f>IF(AND(AU178&gt;0,COUNTIFS(UomConversion!$D$8:$D$500,MID(X178,1,3)*1,UomConversion!$J$8:$J$500,1)&gt;1),TEXT(AU178,"000")&amp;"."&amp;VLOOKUP(AU178,uom_list,5,FALSE),"")</f>
        <v/>
      </c>
      <c r="AA178" s="843">
        <f t="shared" si="32"/>
        <v>0</v>
      </c>
      <c r="AB178" s="843" t="str">
        <f t="shared" si="38"/>
        <v/>
      </c>
      <c r="AC178" s="843">
        <f t="shared" si="33"/>
        <v>2</v>
      </c>
      <c r="AD178" s="1214"/>
      <c r="AE178" s="1214"/>
      <c r="AF178" s="1215"/>
      <c r="AG178" s="1215"/>
      <c r="AH178" s="1215"/>
      <c r="AI178" s="1215"/>
      <c r="AJ178" s="1216"/>
      <c r="AK178" s="1216"/>
      <c r="AL178" s="1216"/>
      <c r="AM178" s="1216"/>
      <c r="AN178" s="1216"/>
      <c r="AO178" s="1216"/>
      <c r="AP178" s="1216"/>
      <c r="AQ178" s="1216"/>
      <c r="AR178" s="1216"/>
      <c r="AS178" s="1216"/>
      <c r="AT178" s="1216"/>
      <c r="AU178" s="1120" t="str" cm="1">
        <f t="array" ref="AU178">IF(H178="","",Slookup(MID(X178,1,3)*1,UomConversion!$D$8:$J$500,2,UomConversion!$I$8:$I$500,1,UomConversion!$J$8:$J$500,1))</f>
        <v/>
      </c>
      <c r="AV178" s="401" t="str">
        <f t="shared" si="34"/>
        <v/>
      </c>
      <c r="AW178" s="757" t="str">
        <f t="shared" si="35"/>
        <v/>
      </c>
      <c r="AX178" s="757" t="str">
        <f t="shared" si="36"/>
        <v/>
      </c>
      <c r="AY178" s="757" t="str">
        <f t="shared" si="37"/>
        <v/>
      </c>
      <c r="AZ178" s="1209" cm="1">
        <f t="array" ref="AZ178">IF(Y178="",1,Slookup(MID(X178,1,3)*1,UomConversion!$D$8:$J$500,5,UomConversion!$E$8:$E$500,MID(Y178,1,3)*1,UomConversion!$I$8:$I$500,1))</f>
        <v>1</v>
      </c>
      <c r="BA178" s="1209" cm="1">
        <f t="array" ref="BA178">IF(Z178="",1,Slookup(MID(X178,1,3)*1,UomConversion!$D$8:$J$500,5,UomConversion!$E$8:$E$500,MID(Z178,1,3)*1,UomConversion!$I$8:$I$500,1))</f>
        <v>1</v>
      </c>
      <c r="BB178" s="1217">
        <f t="shared" si="39"/>
        <v>0</v>
      </c>
      <c r="BC178" s="1217"/>
      <c r="BD178" s="1217"/>
    </row>
    <row r="179" spans="2:56" s="1120" customFormat="1" ht="24.95" customHeight="1">
      <c r="B179" s="445"/>
      <c r="C179" s="843"/>
      <c r="D179" s="843"/>
      <c r="E179" s="843"/>
      <c r="F179" s="1116"/>
      <c r="G179" s="1117"/>
      <c r="H179" s="868"/>
      <c r="I179" s="1118"/>
      <c r="J179" s="1138"/>
      <c r="K179" s="1138"/>
      <c r="L179" s="870"/>
      <c r="M179" s="868"/>
      <c r="N179" s="1118"/>
      <c r="O179" s="1119"/>
      <c r="P179" s="884"/>
      <c r="Q179" s="885"/>
      <c r="R179" s="843"/>
      <c r="S179" s="843"/>
      <c r="T179" s="843"/>
      <c r="U179" s="843"/>
      <c r="V179" s="843"/>
      <c r="W179" s="843"/>
      <c r="X179" s="870"/>
      <c r="Y179" s="843" t="str">
        <f>IF(OR(ISNA(MATCH(MID(X179,1,3)*1,UomConversion!$D$8:$D$500,0)),H179=""),"",IF(AV179="","",AV179))</f>
        <v/>
      </c>
      <c r="Z179" s="843" t="str">
        <f>IF(AND(AU179&gt;0,COUNTIFS(UomConversion!$D$8:$D$500,MID(X179,1,3)*1,UomConversion!$J$8:$J$500,1)&gt;1),TEXT(AU179,"000")&amp;"."&amp;VLOOKUP(AU179,uom_list,5,FALSE),"")</f>
        <v/>
      </c>
      <c r="AA179" s="843">
        <f t="shared" si="32"/>
        <v>0</v>
      </c>
      <c r="AB179" s="843" t="str">
        <f t="shared" si="38"/>
        <v/>
      </c>
      <c r="AC179" s="843">
        <f t="shared" si="33"/>
        <v>2</v>
      </c>
      <c r="AD179" s="1214"/>
      <c r="AE179" s="1214"/>
      <c r="AF179" s="1215"/>
      <c r="AG179" s="1215"/>
      <c r="AH179" s="1215"/>
      <c r="AI179" s="1215"/>
      <c r="AJ179" s="1216"/>
      <c r="AK179" s="1216"/>
      <c r="AL179" s="1216"/>
      <c r="AM179" s="1216"/>
      <c r="AN179" s="1216"/>
      <c r="AO179" s="1216"/>
      <c r="AP179" s="1216"/>
      <c r="AQ179" s="1216"/>
      <c r="AR179" s="1216"/>
      <c r="AS179" s="1216"/>
      <c r="AT179" s="1216"/>
      <c r="AU179" s="1120" t="str" cm="1">
        <f t="array" ref="AU179">IF(H179="","",Slookup(MID(X179,1,3)*1,UomConversion!$D$8:$J$500,2,UomConversion!$I$8:$I$500,1,UomConversion!$J$8:$J$500,1))</f>
        <v/>
      </c>
      <c r="AV179" s="401" t="str">
        <f t="shared" si="34"/>
        <v/>
      </c>
      <c r="AW179" s="757" t="str">
        <f t="shared" si="35"/>
        <v/>
      </c>
      <c r="AX179" s="757" t="str">
        <f t="shared" si="36"/>
        <v/>
      </c>
      <c r="AY179" s="757" t="str">
        <f t="shared" si="37"/>
        <v/>
      </c>
      <c r="AZ179" s="1209" cm="1">
        <f t="array" ref="AZ179">IF(Y179="",1,Slookup(MID(X179,1,3)*1,UomConversion!$D$8:$J$500,5,UomConversion!$E$8:$E$500,MID(Y179,1,3)*1,UomConversion!$I$8:$I$500,1))</f>
        <v>1</v>
      </c>
      <c r="BA179" s="1209" cm="1">
        <f t="array" ref="BA179">IF(Z179="",1,Slookup(MID(X179,1,3)*1,UomConversion!$D$8:$J$500,5,UomConversion!$E$8:$E$500,MID(Z179,1,3)*1,UomConversion!$I$8:$I$500,1))</f>
        <v>1</v>
      </c>
      <c r="BB179" s="1217">
        <f t="shared" si="39"/>
        <v>0</v>
      </c>
      <c r="BC179" s="1217"/>
      <c r="BD179" s="1217"/>
    </row>
    <row r="180" spans="2:56" s="1120" customFormat="1" ht="24.95" customHeight="1">
      <c r="B180" s="445"/>
      <c r="C180" s="843"/>
      <c r="D180" s="843"/>
      <c r="E180" s="843"/>
      <c r="F180" s="1116"/>
      <c r="G180" s="1117"/>
      <c r="H180" s="868"/>
      <c r="I180" s="1118"/>
      <c r="J180" s="1138"/>
      <c r="K180" s="1138"/>
      <c r="L180" s="870"/>
      <c r="M180" s="868"/>
      <c r="N180" s="1118"/>
      <c r="O180" s="1119"/>
      <c r="P180" s="884"/>
      <c r="Q180" s="885"/>
      <c r="R180" s="843"/>
      <c r="S180" s="843"/>
      <c r="T180" s="843"/>
      <c r="U180" s="843"/>
      <c r="V180" s="843"/>
      <c r="W180" s="843"/>
      <c r="X180" s="870"/>
      <c r="Y180" s="843" t="str">
        <f>IF(OR(ISNA(MATCH(MID(X180,1,3)*1,UomConversion!$D$8:$D$500,0)),H180=""),"",IF(AV180="","",AV180))</f>
        <v/>
      </c>
      <c r="Z180" s="843" t="str">
        <f>IF(AND(AU180&gt;0,COUNTIFS(UomConversion!$D$8:$D$500,MID(X180,1,3)*1,UomConversion!$J$8:$J$500,1)&gt;1),TEXT(AU180,"000")&amp;"."&amp;VLOOKUP(AU180,uom_list,5,FALSE),"")</f>
        <v/>
      </c>
      <c r="AA180" s="843">
        <f t="shared" ref="AA180:AA211" si="40">COUNT(AW180:AY180)</f>
        <v>0</v>
      </c>
      <c r="AB180" s="843" t="str">
        <f t="shared" si="38"/>
        <v/>
      </c>
      <c r="AC180" s="843">
        <f t="shared" ref="AC180:AC211" si="41">import_pro_number_of_price_type</f>
        <v>2</v>
      </c>
      <c r="AD180" s="1214"/>
      <c r="AE180" s="1214"/>
      <c r="AF180" s="1215"/>
      <c r="AG180" s="1215"/>
      <c r="AH180" s="1215"/>
      <c r="AI180" s="1215"/>
      <c r="AJ180" s="1216"/>
      <c r="AK180" s="1216"/>
      <c r="AL180" s="1216"/>
      <c r="AM180" s="1216"/>
      <c r="AN180" s="1216"/>
      <c r="AO180" s="1216"/>
      <c r="AP180" s="1216"/>
      <c r="AQ180" s="1216"/>
      <c r="AR180" s="1216"/>
      <c r="AS180" s="1216"/>
      <c r="AT180" s="1216"/>
      <c r="AU180" s="1120" t="str" cm="1">
        <f t="array" ref="AU180">IF(H180="","",Slookup(MID(X180,1,3)*1,UomConversion!$D$8:$J$500,2,UomConversion!$I$8:$I$500,1,UomConversion!$J$8:$J$500,1))</f>
        <v/>
      </c>
      <c r="AV180" s="401" t="str">
        <f t="shared" ref="AV180:AV211" si="42">IF(OR(ISNA(VLOOKUP(MID(X180,1,3)*1,uom_converion_list,2,FALSE)),H180=""),"",TEXT(VLOOKUP(MID(X180,1,3)*1,uom_converion_list,2,FALSE),"000")&amp;"."&amp;VLOOKUP(VLOOKUP(MID(X180,1,3)*1,uom_converion_list,2,FALSE),uom_list,5,FALSE))</f>
        <v/>
      </c>
      <c r="AW180" s="757" t="str">
        <f t="shared" ref="AW180:AW211" si="43">IF(X180="","",MID(X180,1,3)*1)</f>
        <v/>
      </c>
      <c r="AX180" s="757" t="str">
        <f t="shared" ref="AX180:AX211" si="44">IF(Y180="","",MID(Y180,1,3)*1)</f>
        <v/>
      </c>
      <c r="AY180" s="757" t="str">
        <f t="shared" ref="AY180:AY211" si="45">IF(Z180="","",MID(Z180,1,3)*1)</f>
        <v/>
      </c>
      <c r="AZ180" s="1209" cm="1">
        <f t="array" ref="AZ180">IF(Y180="",1,Slookup(MID(X180,1,3)*1,UomConversion!$D$8:$J$500,5,UomConversion!$E$8:$E$500,MID(Y180,1,3)*1,UomConversion!$I$8:$I$500,1))</f>
        <v>1</v>
      </c>
      <c r="BA180" s="1209" cm="1">
        <f t="array" ref="BA180">IF(Z180="",1,Slookup(MID(X180,1,3)*1,UomConversion!$D$8:$J$500,5,UomConversion!$E$8:$E$500,MID(Z180,1,3)*1,UomConversion!$I$8:$I$500,1))</f>
        <v>1</v>
      </c>
      <c r="BB180" s="1217">
        <f t="shared" si="39"/>
        <v>0</v>
      </c>
      <c r="BC180" s="1217"/>
      <c r="BD180" s="1217"/>
    </row>
    <row r="181" spans="2:56" s="1120" customFormat="1" ht="24.95" customHeight="1">
      <c r="B181" s="445"/>
      <c r="C181" s="843"/>
      <c r="D181" s="843"/>
      <c r="E181" s="843"/>
      <c r="F181" s="1116"/>
      <c r="G181" s="1117"/>
      <c r="H181" s="868"/>
      <c r="I181" s="1118"/>
      <c r="J181" s="1138"/>
      <c r="K181" s="1138"/>
      <c r="L181" s="870"/>
      <c r="M181" s="868"/>
      <c r="N181" s="1118"/>
      <c r="O181" s="1119"/>
      <c r="P181" s="884"/>
      <c r="Q181" s="885"/>
      <c r="R181" s="843"/>
      <c r="S181" s="843"/>
      <c r="T181" s="843"/>
      <c r="U181" s="843"/>
      <c r="V181" s="843"/>
      <c r="W181" s="843"/>
      <c r="X181" s="870"/>
      <c r="Y181" s="843" t="str">
        <f>IF(OR(ISNA(MATCH(MID(X181,1,3)*1,UomConversion!$D$8:$D$500,0)),H181=""),"",IF(AV181="","",AV181))</f>
        <v/>
      </c>
      <c r="Z181" s="843" t="str">
        <f>IF(AND(AU181&gt;0,COUNTIFS(UomConversion!$D$8:$D$500,MID(X181,1,3)*1,UomConversion!$J$8:$J$500,1)&gt;1),TEXT(AU181,"000")&amp;"."&amp;VLOOKUP(AU181,uom_list,5,FALSE),"")</f>
        <v/>
      </c>
      <c r="AA181" s="843">
        <f t="shared" si="40"/>
        <v>0</v>
      </c>
      <c r="AB181" s="843" t="str">
        <f t="shared" si="38"/>
        <v/>
      </c>
      <c r="AC181" s="843">
        <f t="shared" si="41"/>
        <v>2</v>
      </c>
      <c r="AD181" s="1214"/>
      <c r="AE181" s="1214"/>
      <c r="AF181" s="1215"/>
      <c r="AG181" s="1215"/>
      <c r="AH181" s="1215"/>
      <c r="AI181" s="1215"/>
      <c r="AJ181" s="1216"/>
      <c r="AK181" s="1216"/>
      <c r="AL181" s="1216"/>
      <c r="AM181" s="1216"/>
      <c r="AN181" s="1216"/>
      <c r="AO181" s="1216"/>
      <c r="AP181" s="1216"/>
      <c r="AQ181" s="1216"/>
      <c r="AR181" s="1216"/>
      <c r="AS181" s="1216"/>
      <c r="AT181" s="1216"/>
      <c r="AU181" s="1120" t="str" cm="1">
        <f t="array" ref="AU181">IF(H181="","",Slookup(MID(X181,1,3)*1,UomConversion!$D$8:$J$500,2,UomConversion!$I$8:$I$500,1,UomConversion!$J$8:$J$500,1))</f>
        <v/>
      </c>
      <c r="AV181" s="401" t="str">
        <f t="shared" si="42"/>
        <v/>
      </c>
      <c r="AW181" s="757" t="str">
        <f t="shared" si="43"/>
        <v/>
      </c>
      <c r="AX181" s="757" t="str">
        <f t="shared" si="44"/>
        <v/>
      </c>
      <c r="AY181" s="757" t="str">
        <f t="shared" si="45"/>
        <v/>
      </c>
      <c r="AZ181" s="1209" cm="1">
        <f t="array" ref="AZ181">IF(Y181="",1,Slookup(MID(X181,1,3)*1,UomConversion!$D$8:$J$500,5,UomConversion!$E$8:$E$500,MID(Y181,1,3)*1,UomConversion!$I$8:$I$500,1))</f>
        <v>1</v>
      </c>
      <c r="BA181" s="1209" cm="1">
        <f t="array" ref="BA181">IF(Z181="",1,Slookup(MID(X181,1,3)*1,UomConversion!$D$8:$J$500,5,UomConversion!$E$8:$E$500,MID(Z181,1,3)*1,UomConversion!$I$8:$I$500,1))</f>
        <v>1</v>
      </c>
      <c r="BB181" s="1217">
        <f t="shared" si="39"/>
        <v>0</v>
      </c>
      <c r="BC181" s="1217"/>
      <c r="BD181" s="1217"/>
    </row>
    <row r="182" spans="2:56" s="1120" customFormat="1" ht="24.95" customHeight="1">
      <c r="B182" s="445"/>
      <c r="C182" s="843"/>
      <c r="D182" s="843"/>
      <c r="E182" s="843"/>
      <c r="F182" s="1116"/>
      <c r="G182" s="1117"/>
      <c r="H182" s="868"/>
      <c r="I182" s="1118"/>
      <c r="J182" s="1138"/>
      <c r="K182" s="1138"/>
      <c r="L182" s="870"/>
      <c r="M182" s="868"/>
      <c r="N182" s="1118"/>
      <c r="O182" s="1119"/>
      <c r="P182" s="884"/>
      <c r="Q182" s="885"/>
      <c r="R182" s="843"/>
      <c r="S182" s="843"/>
      <c r="T182" s="843"/>
      <c r="U182" s="843"/>
      <c r="V182" s="843"/>
      <c r="W182" s="843"/>
      <c r="X182" s="870"/>
      <c r="Y182" s="843" t="str">
        <f>IF(OR(ISNA(MATCH(MID(X182,1,3)*1,UomConversion!$D$8:$D$500,0)),H182=""),"",IF(AV182="","",AV182))</f>
        <v/>
      </c>
      <c r="Z182" s="843" t="str">
        <f>IF(AND(AU182&gt;0,COUNTIFS(UomConversion!$D$8:$D$500,MID(X182,1,3)*1,UomConversion!$J$8:$J$500,1)&gt;1),TEXT(AU182,"000")&amp;"."&amp;VLOOKUP(AU182,uom_list,5,FALSE),"")</f>
        <v/>
      </c>
      <c r="AA182" s="843">
        <f t="shared" si="40"/>
        <v>0</v>
      </c>
      <c r="AB182" s="843" t="str">
        <f t="shared" si="38"/>
        <v/>
      </c>
      <c r="AC182" s="843">
        <f t="shared" si="41"/>
        <v>2</v>
      </c>
      <c r="AD182" s="1214"/>
      <c r="AE182" s="1214"/>
      <c r="AF182" s="1215"/>
      <c r="AG182" s="1215"/>
      <c r="AH182" s="1215"/>
      <c r="AI182" s="1215"/>
      <c r="AJ182" s="1216"/>
      <c r="AK182" s="1216"/>
      <c r="AL182" s="1216"/>
      <c r="AM182" s="1216"/>
      <c r="AN182" s="1216"/>
      <c r="AO182" s="1216"/>
      <c r="AP182" s="1216"/>
      <c r="AQ182" s="1216"/>
      <c r="AR182" s="1216"/>
      <c r="AS182" s="1216"/>
      <c r="AT182" s="1216"/>
      <c r="AU182" s="1120" t="str" cm="1">
        <f t="array" ref="AU182">IF(H182="","",Slookup(MID(X182,1,3)*1,UomConversion!$D$8:$J$500,2,UomConversion!$I$8:$I$500,1,UomConversion!$J$8:$J$500,1))</f>
        <v/>
      </c>
      <c r="AV182" s="401" t="str">
        <f t="shared" si="42"/>
        <v/>
      </c>
      <c r="AW182" s="757" t="str">
        <f t="shared" si="43"/>
        <v/>
      </c>
      <c r="AX182" s="757" t="str">
        <f t="shared" si="44"/>
        <v/>
      </c>
      <c r="AY182" s="757" t="str">
        <f t="shared" si="45"/>
        <v/>
      </c>
      <c r="AZ182" s="1209" cm="1">
        <f t="array" ref="AZ182">IF(Y182="",1,Slookup(MID(X182,1,3)*1,UomConversion!$D$8:$J$500,5,UomConversion!$E$8:$E$500,MID(Y182,1,3)*1,UomConversion!$I$8:$I$500,1))</f>
        <v>1</v>
      </c>
      <c r="BA182" s="1209" cm="1">
        <f t="array" ref="BA182">IF(Z182="",1,Slookup(MID(X182,1,3)*1,UomConversion!$D$8:$J$500,5,UomConversion!$E$8:$E$500,MID(Z182,1,3)*1,UomConversion!$I$8:$I$500,1))</f>
        <v>1</v>
      </c>
      <c r="BB182" s="1217">
        <f t="shared" si="39"/>
        <v>0</v>
      </c>
      <c r="BC182" s="1217"/>
      <c r="BD182" s="1217"/>
    </row>
    <row r="183" spans="2:56" s="1120" customFormat="1" ht="24.95" customHeight="1">
      <c r="B183" s="445"/>
      <c r="C183" s="843"/>
      <c r="D183" s="843"/>
      <c r="E183" s="843"/>
      <c r="F183" s="1116"/>
      <c r="G183" s="1117"/>
      <c r="H183" s="868"/>
      <c r="I183" s="1118"/>
      <c r="J183" s="1138"/>
      <c r="K183" s="1138"/>
      <c r="L183" s="870"/>
      <c r="M183" s="868"/>
      <c r="N183" s="1118"/>
      <c r="O183" s="1119"/>
      <c r="P183" s="884"/>
      <c r="Q183" s="885"/>
      <c r="R183" s="843"/>
      <c r="S183" s="843"/>
      <c r="T183" s="843"/>
      <c r="U183" s="843"/>
      <c r="V183" s="843"/>
      <c r="W183" s="843"/>
      <c r="X183" s="870"/>
      <c r="Y183" s="843" t="str">
        <f>IF(OR(ISNA(MATCH(MID(X183,1,3)*1,UomConversion!$D$8:$D$500,0)),H183=""),"",IF(AV183="","",AV183))</f>
        <v/>
      </c>
      <c r="Z183" s="843" t="str">
        <f>IF(AND(AU183&gt;0,COUNTIFS(UomConversion!$D$8:$D$500,MID(X183,1,3)*1,UomConversion!$J$8:$J$500,1)&gt;1),TEXT(AU183,"000")&amp;"."&amp;VLOOKUP(AU183,uom_list,5,FALSE),"")</f>
        <v/>
      </c>
      <c r="AA183" s="843">
        <f t="shared" si="40"/>
        <v>0</v>
      </c>
      <c r="AB183" s="843" t="str">
        <f t="shared" si="38"/>
        <v/>
      </c>
      <c r="AC183" s="843">
        <f t="shared" si="41"/>
        <v>2</v>
      </c>
      <c r="AD183" s="1214"/>
      <c r="AE183" s="1214"/>
      <c r="AF183" s="1215"/>
      <c r="AG183" s="1215"/>
      <c r="AH183" s="1215"/>
      <c r="AI183" s="1215"/>
      <c r="AJ183" s="1216"/>
      <c r="AK183" s="1216"/>
      <c r="AL183" s="1216"/>
      <c r="AM183" s="1216"/>
      <c r="AN183" s="1216"/>
      <c r="AO183" s="1216"/>
      <c r="AP183" s="1216"/>
      <c r="AQ183" s="1216"/>
      <c r="AR183" s="1216"/>
      <c r="AS183" s="1216"/>
      <c r="AT183" s="1216"/>
      <c r="AU183" s="1120" t="str" cm="1">
        <f t="array" ref="AU183">IF(H183="","",Slookup(MID(X183,1,3)*1,UomConversion!$D$8:$J$500,2,UomConversion!$I$8:$I$500,1,UomConversion!$J$8:$J$500,1))</f>
        <v/>
      </c>
      <c r="AV183" s="401" t="str">
        <f t="shared" si="42"/>
        <v/>
      </c>
      <c r="AW183" s="757" t="str">
        <f t="shared" si="43"/>
        <v/>
      </c>
      <c r="AX183" s="757" t="str">
        <f t="shared" si="44"/>
        <v/>
      </c>
      <c r="AY183" s="757" t="str">
        <f t="shared" si="45"/>
        <v/>
      </c>
      <c r="AZ183" s="1209" cm="1">
        <f t="array" ref="AZ183">IF(Y183="",1,Slookup(MID(X183,1,3)*1,UomConversion!$D$8:$J$500,5,UomConversion!$E$8:$E$500,MID(Y183,1,3)*1,UomConversion!$I$8:$I$500,1))</f>
        <v>1</v>
      </c>
      <c r="BA183" s="1209" cm="1">
        <f t="array" ref="BA183">IF(Z183="",1,Slookup(MID(X183,1,3)*1,UomConversion!$D$8:$J$500,5,UomConversion!$E$8:$E$500,MID(Z183,1,3)*1,UomConversion!$I$8:$I$500,1))</f>
        <v>1</v>
      </c>
      <c r="BB183" s="1217">
        <f t="shared" si="39"/>
        <v>0</v>
      </c>
      <c r="BC183" s="1217"/>
      <c r="BD183" s="1217"/>
    </row>
    <row r="184" spans="2:56" s="1120" customFormat="1" ht="24.95" customHeight="1">
      <c r="B184" s="445"/>
      <c r="C184" s="843"/>
      <c r="D184" s="843"/>
      <c r="E184" s="843"/>
      <c r="F184" s="1116"/>
      <c r="G184" s="1117"/>
      <c r="H184" s="868"/>
      <c r="I184" s="1118"/>
      <c r="J184" s="1138"/>
      <c r="K184" s="1138"/>
      <c r="L184" s="870"/>
      <c r="M184" s="868"/>
      <c r="N184" s="1118"/>
      <c r="O184" s="1119"/>
      <c r="P184" s="884"/>
      <c r="Q184" s="885"/>
      <c r="R184" s="843"/>
      <c r="S184" s="843"/>
      <c r="T184" s="843"/>
      <c r="U184" s="843"/>
      <c r="V184" s="843"/>
      <c r="W184" s="843"/>
      <c r="X184" s="870"/>
      <c r="Y184" s="843" t="str">
        <f>IF(OR(ISNA(MATCH(MID(X184,1,3)*1,UomConversion!$D$8:$D$500,0)),H184=""),"",IF(AV184="","",AV184))</f>
        <v/>
      </c>
      <c r="Z184" s="843" t="str">
        <f>IF(AND(AU184&gt;0,COUNTIFS(UomConversion!$D$8:$D$500,MID(X184,1,3)*1,UomConversion!$J$8:$J$500,1)&gt;1),TEXT(AU184,"000")&amp;"."&amp;VLOOKUP(AU184,uom_list,5,FALSE),"")</f>
        <v/>
      </c>
      <c r="AA184" s="843">
        <f t="shared" si="40"/>
        <v>0</v>
      </c>
      <c r="AB184" s="843" t="str">
        <f t="shared" si="38"/>
        <v/>
      </c>
      <c r="AC184" s="843">
        <f t="shared" si="41"/>
        <v>2</v>
      </c>
      <c r="AD184" s="1214"/>
      <c r="AE184" s="1214"/>
      <c r="AF184" s="1215"/>
      <c r="AG184" s="1215"/>
      <c r="AH184" s="1215"/>
      <c r="AI184" s="1215"/>
      <c r="AJ184" s="1216"/>
      <c r="AK184" s="1216"/>
      <c r="AL184" s="1216"/>
      <c r="AM184" s="1216"/>
      <c r="AN184" s="1216"/>
      <c r="AO184" s="1216"/>
      <c r="AP184" s="1216"/>
      <c r="AQ184" s="1216"/>
      <c r="AR184" s="1216"/>
      <c r="AS184" s="1216"/>
      <c r="AT184" s="1216"/>
      <c r="AU184" s="1120" t="str" cm="1">
        <f t="array" ref="AU184">IF(H184="","",Slookup(MID(X184,1,3)*1,UomConversion!$D$8:$J$500,2,UomConversion!$I$8:$I$500,1,UomConversion!$J$8:$J$500,1))</f>
        <v/>
      </c>
      <c r="AV184" s="401" t="str">
        <f t="shared" si="42"/>
        <v/>
      </c>
      <c r="AW184" s="757" t="str">
        <f t="shared" si="43"/>
        <v/>
      </c>
      <c r="AX184" s="757" t="str">
        <f t="shared" si="44"/>
        <v/>
      </c>
      <c r="AY184" s="757" t="str">
        <f t="shared" si="45"/>
        <v/>
      </c>
      <c r="AZ184" s="1209" cm="1">
        <f t="array" ref="AZ184">IF(Y184="",1,Slookup(MID(X184,1,3)*1,UomConversion!$D$8:$J$500,5,UomConversion!$E$8:$E$500,MID(Y184,1,3)*1,UomConversion!$I$8:$I$500,1))</f>
        <v>1</v>
      </c>
      <c r="BA184" s="1209" cm="1">
        <f t="array" ref="BA184">IF(Z184="",1,Slookup(MID(X184,1,3)*1,UomConversion!$D$8:$J$500,5,UomConversion!$E$8:$E$500,MID(Z184,1,3)*1,UomConversion!$I$8:$I$500,1))</f>
        <v>1</v>
      </c>
      <c r="BB184" s="1217">
        <f t="shared" si="39"/>
        <v>0</v>
      </c>
      <c r="BC184" s="1217"/>
      <c r="BD184" s="1217"/>
    </row>
    <row r="185" spans="2:56" s="1120" customFormat="1" ht="24.95" customHeight="1">
      <c r="B185" s="445"/>
      <c r="C185" s="843"/>
      <c r="D185" s="843"/>
      <c r="E185" s="843"/>
      <c r="F185" s="1116"/>
      <c r="G185" s="1117"/>
      <c r="H185" s="868"/>
      <c r="I185" s="1118"/>
      <c r="J185" s="1138"/>
      <c r="K185" s="1138"/>
      <c r="L185" s="870"/>
      <c r="M185" s="868"/>
      <c r="N185" s="1118"/>
      <c r="O185" s="1119"/>
      <c r="P185" s="884"/>
      <c r="Q185" s="885"/>
      <c r="R185" s="843"/>
      <c r="S185" s="843"/>
      <c r="T185" s="843"/>
      <c r="U185" s="843"/>
      <c r="V185" s="843"/>
      <c r="W185" s="843"/>
      <c r="X185" s="870"/>
      <c r="Y185" s="843" t="str">
        <f>IF(OR(ISNA(MATCH(MID(X185,1,3)*1,UomConversion!$D$8:$D$500,0)),H185=""),"",IF(AV185="","",AV185))</f>
        <v/>
      </c>
      <c r="Z185" s="843" t="str">
        <f>IF(AND(AU185&gt;0,COUNTIFS(UomConversion!$D$8:$D$500,MID(X185,1,3)*1,UomConversion!$J$8:$J$500,1)&gt;1),TEXT(AU185,"000")&amp;"."&amp;VLOOKUP(AU185,uom_list,5,FALSE),"")</f>
        <v/>
      </c>
      <c r="AA185" s="843">
        <f t="shared" si="40"/>
        <v>0</v>
      </c>
      <c r="AB185" s="843" t="str">
        <f t="shared" si="38"/>
        <v/>
      </c>
      <c r="AC185" s="843">
        <f t="shared" si="41"/>
        <v>2</v>
      </c>
      <c r="AD185" s="1214"/>
      <c r="AE185" s="1214"/>
      <c r="AF185" s="1215"/>
      <c r="AG185" s="1215"/>
      <c r="AH185" s="1215"/>
      <c r="AI185" s="1215"/>
      <c r="AJ185" s="1216"/>
      <c r="AK185" s="1216"/>
      <c r="AL185" s="1216"/>
      <c r="AM185" s="1216"/>
      <c r="AN185" s="1216"/>
      <c r="AO185" s="1216"/>
      <c r="AP185" s="1216"/>
      <c r="AQ185" s="1216"/>
      <c r="AR185" s="1216"/>
      <c r="AS185" s="1216"/>
      <c r="AT185" s="1216"/>
      <c r="AU185" s="1120" t="str" cm="1">
        <f t="array" ref="AU185">IF(H185="","",Slookup(MID(X185,1,3)*1,UomConversion!$D$8:$J$500,2,UomConversion!$I$8:$I$500,1,UomConversion!$J$8:$J$500,1))</f>
        <v/>
      </c>
      <c r="AV185" s="401" t="str">
        <f t="shared" si="42"/>
        <v/>
      </c>
      <c r="AW185" s="757" t="str">
        <f t="shared" si="43"/>
        <v/>
      </c>
      <c r="AX185" s="757" t="str">
        <f t="shared" si="44"/>
        <v/>
      </c>
      <c r="AY185" s="757" t="str">
        <f t="shared" si="45"/>
        <v/>
      </c>
      <c r="AZ185" s="1209" cm="1">
        <f t="array" ref="AZ185">IF(Y185="",1,Slookup(MID(X185,1,3)*1,UomConversion!$D$8:$J$500,5,UomConversion!$E$8:$E$500,MID(Y185,1,3)*1,UomConversion!$I$8:$I$500,1))</f>
        <v>1</v>
      </c>
      <c r="BA185" s="1209" cm="1">
        <f t="array" ref="BA185">IF(Z185="",1,Slookup(MID(X185,1,3)*1,UomConversion!$D$8:$J$500,5,UomConversion!$E$8:$E$500,MID(Z185,1,3)*1,UomConversion!$I$8:$I$500,1))</f>
        <v>1</v>
      </c>
      <c r="BB185" s="1217">
        <f t="shared" si="39"/>
        <v>0</v>
      </c>
      <c r="BC185" s="1217"/>
      <c r="BD185" s="1217"/>
    </row>
    <row r="186" spans="2:56" s="1120" customFormat="1" ht="24.95" customHeight="1">
      <c r="B186" s="445"/>
      <c r="C186" s="843"/>
      <c r="D186" s="843"/>
      <c r="E186" s="843"/>
      <c r="F186" s="1116"/>
      <c r="G186" s="1117"/>
      <c r="H186" s="868"/>
      <c r="I186" s="1118"/>
      <c r="J186" s="1138"/>
      <c r="K186" s="1138"/>
      <c r="L186" s="870"/>
      <c r="M186" s="868"/>
      <c r="N186" s="1118"/>
      <c r="O186" s="1119"/>
      <c r="P186" s="884"/>
      <c r="Q186" s="885"/>
      <c r="R186" s="843"/>
      <c r="S186" s="843"/>
      <c r="T186" s="843"/>
      <c r="U186" s="843"/>
      <c r="V186" s="843"/>
      <c r="W186" s="843"/>
      <c r="X186" s="870"/>
      <c r="Y186" s="843" t="str">
        <f>IF(OR(ISNA(MATCH(MID(X186,1,3)*1,UomConversion!$D$8:$D$500,0)),H186=""),"",IF(AV186="","",AV186))</f>
        <v/>
      </c>
      <c r="Z186" s="843" t="str">
        <f>IF(AND(AU186&gt;0,COUNTIFS(UomConversion!$D$8:$D$500,MID(X186,1,3)*1,UomConversion!$J$8:$J$500,1)&gt;1),TEXT(AU186,"000")&amp;"."&amp;VLOOKUP(AU186,uom_list,5,FALSE),"")</f>
        <v/>
      </c>
      <c r="AA186" s="843">
        <f t="shared" si="40"/>
        <v>0</v>
      </c>
      <c r="AB186" s="843" t="str">
        <f t="shared" si="38"/>
        <v/>
      </c>
      <c r="AC186" s="843">
        <f t="shared" si="41"/>
        <v>2</v>
      </c>
      <c r="AD186" s="1214"/>
      <c r="AE186" s="1214"/>
      <c r="AF186" s="1215"/>
      <c r="AG186" s="1215"/>
      <c r="AH186" s="1215"/>
      <c r="AI186" s="1215"/>
      <c r="AJ186" s="1216"/>
      <c r="AK186" s="1216"/>
      <c r="AL186" s="1216"/>
      <c r="AM186" s="1216"/>
      <c r="AN186" s="1216"/>
      <c r="AO186" s="1216"/>
      <c r="AP186" s="1216"/>
      <c r="AQ186" s="1216"/>
      <c r="AR186" s="1216"/>
      <c r="AS186" s="1216"/>
      <c r="AT186" s="1216"/>
      <c r="AU186" s="1120" t="str" cm="1">
        <f t="array" ref="AU186">IF(H186="","",Slookup(MID(X186,1,3)*1,UomConversion!$D$8:$J$500,2,UomConversion!$I$8:$I$500,1,UomConversion!$J$8:$J$500,1))</f>
        <v/>
      </c>
      <c r="AV186" s="401" t="str">
        <f t="shared" si="42"/>
        <v/>
      </c>
      <c r="AW186" s="757" t="str">
        <f t="shared" si="43"/>
        <v/>
      </c>
      <c r="AX186" s="757" t="str">
        <f t="shared" si="44"/>
        <v/>
      </c>
      <c r="AY186" s="757" t="str">
        <f t="shared" si="45"/>
        <v/>
      </c>
      <c r="AZ186" s="1209" cm="1">
        <f t="array" ref="AZ186">IF(Y186="",1,Slookup(MID(X186,1,3)*1,UomConversion!$D$8:$J$500,5,UomConversion!$E$8:$E$500,MID(Y186,1,3)*1,UomConversion!$I$8:$I$500,1))</f>
        <v>1</v>
      </c>
      <c r="BA186" s="1209" cm="1">
        <f t="array" ref="BA186">IF(Z186="",1,Slookup(MID(X186,1,3)*1,UomConversion!$D$8:$J$500,5,UomConversion!$E$8:$E$500,MID(Z186,1,3)*1,UomConversion!$I$8:$I$500,1))</f>
        <v>1</v>
      </c>
      <c r="BB186" s="1217">
        <f t="shared" si="39"/>
        <v>0</v>
      </c>
      <c r="BC186" s="1217"/>
      <c r="BD186" s="1217"/>
    </row>
    <row r="187" spans="2:56" s="1120" customFormat="1" ht="24.95" customHeight="1">
      <c r="B187" s="445"/>
      <c r="C187" s="843"/>
      <c r="D187" s="843"/>
      <c r="E187" s="843"/>
      <c r="F187" s="1116"/>
      <c r="G187" s="1117"/>
      <c r="H187" s="868"/>
      <c r="I187" s="1118"/>
      <c r="J187" s="1138"/>
      <c r="K187" s="1138"/>
      <c r="L187" s="870"/>
      <c r="M187" s="868"/>
      <c r="N187" s="1118"/>
      <c r="O187" s="1119"/>
      <c r="P187" s="884"/>
      <c r="Q187" s="885"/>
      <c r="R187" s="843"/>
      <c r="S187" s="843"/>
      <c r="T187" s="843"/>
      <c r="U187" s="843"/>
      <c r="V187" s="843"/>
      <c r="W187" s="843"/>
      <c r="X187" s="870"/>
      <c r="Y187" s="843" t="str">
        <f>IF(OR(ISNA(MATCH(MID(X187,1,3)*1,UomConversion!$D$8:$D$500,0)),H187=""),"",IF(AV187="","",AV187))</f>
        <v/>
      </c>
      <c r="Z187" s="843" t="str">
        <f>IF(AND(AU187&gt;0,COUNTIFS(UomConversion!$D$8:$D$500,MID(X187,1,3)*1,UomConversion!$J$8:$J$500,1)&gt;1),TEXT(AU187,"000")&amp;"."&amp;VLOOKUP(AU187,uom_list,5,FALSE),"")</f>
        <v/>
      </c>
      <c r="AA187" s="843">
        <f t="shared" si="40"/>
        <v>0</v>
      </c>
      <c r="AB187" s="843" t="str">
        <f t="shared" si="38"/>
        <v/>
      </c>
      <c r="AC187" s="843">
        <f t="shared" si="41"/>
        <v>2</v>
      </c>
      <c r="AD187" s="1214"/>
      <c r="AE187" s="1214"/>
      <c r="AF187" s="1215"/>
      <c r="AG187" s="1215"/>
      <c r="AH187" s="1215"/>
      <c r="AI187" s="1215"/>
      <c r="AJ187" s="1216"/>
      <c r="AK187" s="1216"/>
      <c r="AL187" s="1216"/>
      <c r="AM187" s="1216"/>
      <c r="AN187" s="1216"/>
      <c r="AO187" s="1216"/>
      <c r="AP187" s="1216"/>
      <c r="AQ187" s="1216"/>
      <c r="AR187" s="1216"/>
      <c r="AS187" s="1216"/>
      <c r="AT187" s="1216"/>
      <c r="AU187" s="1120" t="str" cm="1">
        <f t="array" ref="AU187">IF(H187="","",Slookup(MID(X187,1,3)*1,UomConversion!$D$8:$J$500,2,UomConversion!$I$8:$I$500,1,UomConversion!$J$8:$J$500,1))</f>
        <v/>
      </c>
      <c r="AV187" s="401" t="str">
        <f t="shared" si="42"/>
        <v/>
      </c>
      <c r="AW187" s="757" t="str">
        <f t="shared" si="43"/>
        <v/>
      </c>
      <c r="AX187" s="757" t="str">
        <f t="shared" si="44"/>
        <v/>
      </c>
      <c r="AY187" s="757" t="str">
        <f t="shared" si="45"/>
        <v/>
      </c>
      <c r="AZ187" s="1209" cm="1">
        <f t="array" ref="AZ187">IF(Y187="",1,Slookup(MID(X187,1,3)*1,UomConversion!$D$8:$J$500,5,UomConversion!$E$8:$E$500,MID(Y187,1,3)*1,UomConversion!$I$8:$I$500,1))</f>
        <v>1</v>
      </c>
      <c r="BA187" s="1209" cm="1">
        <f t="array" ref="BA187">IF(Z187="",1,Slookup(MID(X187,1,3)*1,UomConversion!$D$8:$J$500,5,UomConversion!$E$8:$E$500,MID(Z187,1,3)*1,UomConversion!$I$8:$I$500,1))</f>
        <v>1</v>
      </c>
      <c r="BB187" s="1217">
        <f t="shared" si="39"/>
        <v>0</v>
      </c>
      <c r="BC187" s="1217"/>
      <c r="BD187" s="1217"/>
    </row>
    <row r="188" spans="2:56" s="1120" customFormat="1" ht="24.95" customHeight="1">
      <c r="B188" s="445"/>
      <c r="C188" s="843"/>
      <c r="D188" s="843"/>
      <c r="E188" s="843"/>
      <c r="F188" s="1116"/>
      <c r="G188" s="1117"/>
      <c r="H188" s="868"/>
      <c r="I188" s="1118"/>
      <c r="J188" s="1138"/>
      <c r="K188" s="1138"/>
      <c r="L188" s="870"/>
      <c r="M188" s="868"/>
      <c r="N188" s="1118"/>
      <c r="O188" s="1119"/>
      <c r="P188" s="884"/>
      <c r="Q188" s="885"/>
      <c r="R188" s="843"/>
      <c r="S188" s="843"/>
      <c r="T188" s="843"/>
      <c r="U188" s="843"/>
      <c r="V188" s="843"/>
      <c r="W188" s="843"/>
      <c r="X188" s="870"/>
      <c r="Y188" s="843" t="str">
        <f>IF(OR(ISNA(MATCH(MID(X188,1,3)*1,UomConversion!$D$8:$D$500,0)),H188=""),"",IF(AV188="","",AV188))</f>
        <v/>
      </c>
      <c r="Z188" s="843" t="str">
        <f>IF(AND(AU188&gt;0,COUNTIFS(UomConversion!$D$8:$D$500,MID(X188,1,3)*1,UomConversion!$J$8:$J$500,1)&gt;1),TEXT(AU188,"000")&amp;"."&amp;VLOOKUP(AU188,uom_list,5,FALSE),"")</f>
        <v/>
      </c>
      <c r="AA188" s="843">
        <f t="shared" si="40"/>
        <v>0</v>
      </c>
      <c r="AB188" s="843" t="str">
        <f t="shared" si="38"/>
        <v/>
      </c>
      <c r="AC188" s="843">
        <f t="shared" si="41"/>
        <v>2</v>
      </c>
      <c r="AD188" s="1214"/>
      <c r="AE188" s="1214"/>
      <c r="AF188" s="1215"/>
      <c r="AG188" s="1215"/>
      <c r="AH188" s="1215"/>
      <c r="AI188" s="1215"/>
      <c r="AJ188" s="1216"/>
      <c r="AK188" s="1216"/>
      <c r="AL188" s="1216"/>
      <c r="AM188" s="1216"/>
      <c r="AN188" s="1216"/>
      <c r="AO188" s="1216"/>
      <c r="AP188" s="1216"/>
      <c r="AQ188" s="1216"/>
      <c r="AR188" s="1216"/>
      <c r="AS188" s="1216"/>
      <c r="AT188" s="1216"/>
      <c r="AU188" s="1120" t="str" cm="1">
        <f t="array" ref="AU188">IF(H188="","",Slookup(MID(X188,1,3)*1,UomConversion!$D$8:$J$500,2,UomConversion!$I$8:$I$500,1,UomConversion!$J$8:$J$500,1))</f>
        <v/>
      </c>
      <c r="AV188" s="401" t="str">
        <f t="shared" si="42"/>
        <v/>
      </c>
      <c r="AW188" s="757" t="str">
        <f t="shared" si="43"/>
        <v/>
      </c>
      <c r="AX188" s="757" t="str">
        <f t="shared" si="44"/>
        <v/>
      </c>
      <c r="AY188" s="757" t="str">
        <f t="shared" si="45"/>
        <v/>
      </c>
      <c r="AZ188" s="1209" cm="1">
        <f t="array" ref="AZ188">IF(Y188="",1,Slookup(MID(X188,1,3)*1,UomConversion!$D$8:$J$500,5,UomConversion!$E$8:$E$500,MID(Y188,1,3)*1,UomConversion!$I$8:$I$500,1))</f>
        <v>1</v>
      </c>
      <c r="BA188" s="1209" cm="1">
        <f t="array" ref="BA188">IF(Z188="",1,Slookup(MID(X188,1,3)*1,UomConversion!$D$8:$J$500,5,UomConversion!$E$8:$E$500,MID(Z188,1,3)*1,UomConversion!$I$8:$I$500,1))</f>
        <v>1</v>
      </c>
      <c r="BB188" s="1217">
        <f t="shared" si="39"/>
        <v>0</v>
      </c>
      <c r="BC188" s="1217"/>
      <c r="BD188" s="1217"/>
    </row>
    <row r="189" spans="2:56" s="1120" customFormat="1" ht="24.95" customHeight="1">
      <c r="B189" s="445"/>
      <c r="C189" s="843"/>
      <c r="D189" s="843"/>
      <c r="E189" s="843"/>
      <c r="F189" s="1116"/>
      <c r="G189" s="1117"/>
      <c r="H189" s="868"/>
      <c r="I189" s="1118"/>
      <c r="J189" s="1138"/>
      <c r="K189" s="1138"/>
      <c r="L189" s="870"/>
      <c r="M189" s="868"/>
      <c r="N189" s="1118"/>
      <c r="O189" s="1119"/>
      <c r="P189" s="884"/>
      <c r="Q189" s="885"/>
      <c r="R189" s="843"/>
      <c r="S189" s="843"/>
      <c r="T189" s="843"/>
      <c r="U189" s="843"/>
      <c r="V189" s="843"/>
      <c r="W189" s="843"/>
      <c r="X189" s="870"/>
      <c r="Y189" s="843" t="str">
        <f>IF(OR(ISNA(MATCH(MID(X189,1,3)*1,UomConversion!$D$8:$D$500,0)),H189=""),"",IF(AV189="","",AV189))</f>
        <v/>
      </c>
      <c r="Z189" s="843" t="str">
        <f>IF(AND(AU189&gt;0,COUNTIFS(UomConversion!$D$8:$D$500,MID(X189,1,3)*1,UomConversion!$J$8:$J$500,1)&gt;1),TEXT(AU189,"000")&amp;"."&amp;VLOOKUP(AU189,uom_list,5,FALSE),"")</f>
        <v/>
      </c>
      <c r="AA189" s="843">
        <f t="shared" si="40"/>
        <v>0</v>
      </c>
      <c r="AB189" s="843" t="str">
        <f t="shared" si="38"/>
        <v/>
      </c>
      <c r="AC189" s="843">
        <f t="shared" si="41"/>
        <v>2</v>
      </c>
      <c r="AD189" s="1214"/>
      <c r="AE189" s="1214"/>
      <c r="AF189" s="1215"/>
      <c r="AG189" s="1215"/>
      <c r="AH189" s="1215"/>
      <c r="AI189" s="1215"/>
      <c r="AJ189" s="1216"/>
      <c r="AK189" s="1216"/>
      <c r="AL189" s="1216"/>
      <c r="AM189" s="1216"/>
      <c r="AN189" s="1216"/>
      <c r="AO189" s="1216"/>
      <c r="AP189" s="1216"/>
      <c r="AQ189" s="1216"/>
      <c r="AR189" s="1216"/>
      <c r="AS189" s="1216"/>
      <c r="AT189" s="1216"/>
      <c r="AU189" s="1120" t="str" cm="1">
        <f t="array" ref="AU189">IF(H189="","",Slookup(MID(X189,1,3)*1,UomConversion!$D$8:$J$500,2,UomConversion!$I$8:$I$500,1,UomConversion!$J$8:$J$500,1))</f>
        <v/>
      </c>
      <c r="AV189" s="401" t="str">
        <f t="shared" si="42"/>
        <v/>
      </c>
      <c r="AW189" s="757" t="str">
        <f t="shared" si="43"/>
        <v/>
      </c>
      <c r="AX189" s="757" t="str">
        <f t="shared" si="44"/>
        <v/>
      </c>
      <c r="AY189" s="757" t="str">
        <f t="shared" si="45"/>
        <v/>
      </c>
      <c r="AZ189" s="1209" cm="1">
        <f t="array" ref="AZ189">IF(Y189="",1,Slookup(MID(X189,1,3)*1,UomConversion!$D$8:$J$500,5,UomConversion!$E$8:$E$500,MID(Y189,1,3)*1,UomConversion!$I$8:$I$500,1))</f>
        <v>1</v>
      </c>
      <c r="BA189" s="1209" cm="1">
        <f t="array" ref="BA189">IF(Z189="",1,Slookup(MID(X189,1,3)*1,UomConversion!$D$8:$J$500,5,UomConversion!$E$8:$E$500,MID(Z189,1,3)*1,UomConversion!$I$8:$I$500,1))</f>
        <v>1</v>
      </c>
      <c r="BB189" s="1217">
        <f t="shared" si="39"/>
        <v>0</v>
      </c>
      <c r="BC189" s="1217"/>
      <c r="BD189" s="1217"/>
    </row>
    <row r="190" spans="2:56" s="1120" customFormat="1" ht="24.95" customHeight="1">
      <c r="B190" s="445"/>
      <c r="C190" s="843"/>
      <c r="D190" s="843"/>
      <c r="E190" s="843"/>
      <c r="F190" s="1116"/>
      <c r="G190" s="1117"/>
      <c r="H190" s="868"/>
      <c r="I190" s="1118"/>
      <c r="J190" s="1138"/>
      <c r="K190" s="1138"/>
      <c r="L190" s="870"/>
      <c r="M190" s="868"/>
      <c r="N190" s="1118"/>
      <c r="O190" s="1119"/>
      <c r="P190" s="884"/>
      <c r="Q190" s="885"/>
      <c r="R190" s="843"/>
      <c r="S190" s="843"/>
      <c r="T190" s="843"/>
      <c r="U190" s="843"/>
      <c r="V190" s="843"/>
      <c r="W190" s="843"/>
      <c r="X190" s="870"/>
      <c r="Y190" s="843" t="str">
        <f>IF(OR(ISNA(MATCH(MID(X190,1,3)*1,UomConversion!$D$8:$D$500,0)),H190=""),"",IF(AV190="","",AV190))</f>
        <v/>
      </c>
      <c r="Z190" s="843" t="str">
        <f>IF(AND(AU190&gt;0,COUNTIFS(UomConversion!$D$8:$D$500,MID(X190,1,3)*1,UomConversion!$J$8:$J$500,1)&gt;1),TEXT(AU190,"000")&amp;"."&amp;VLOOKUP(AU190,uom_list,5,FALSE),"")</f>
        <v/>
      </c>
      <c r="AA190" s="843">
        <f t="shared" si="40"/>
        <v>0</v>
      </c>
      <c r="AB190" s="843" t="str">
        <f t="shared" si="38"/>
        <v/>
      </c>
      <c r="AC190" s="843">
        <f t="shared" si="41"/>
        <v>2</v>
      </c>
      <c r="AD190" s="1219"/>
      <c r="AE190" s="1219"/>
      <c r="AF190" s="1215"/>
      <c r="AG190" s="1215"/>
      <c r="AH190" s="1215"/>
      <c r="AI190" s="1215"/>
      <c r="AJ190" s="1216"/>
      <c r="AK190" s="1216"/>
      <c r="AL190" s="1216"/>
      <c r="AM190" s="1216"/>
      <c r="AN190" s="1216"/>
      <c r="AO190" s="1216"/>
      <c r="AP190" s="1216"/>
      <c r="AQ190" s="1216"/>
      <c r="AR190" s="1216"/>
      <c r="AS190" s="1216"/>
      <c r="AT190" s="1216"/>
      <c r="AU190" s="1120" t="str" cm="1">
        <f t="array" ref="AU190">IF(H190="","",Slookup(MID(X190,1,3)*1,UomConversion!$D$8:$J$500,2,UomConversion!$I$8:$I$500,1,UomConversion!$J$8:$J$500,1))</f>
        <v/>
      </c>
      <c r="AV190" s="401" t="str">
        <f t="shared" si="42"/>
        <v/>
      </c>
      <c r="AW190" s="757" t="str">
        <f t="shared" si="43"/>
        <v/>
      </c>
      <c r="AX190" s="757" t="str">
        <f t="shared" si="44"/>
        <v/>
      </c>
      <c r="AY190" s="757" t="str">
        <f t="shared" si="45"/>
        <v/>
      </c>
      <c r="AZ190" s="1209" cm="1">
        <f t="array" ref="AZ190">IF(Y190="",1,Slookup(MID(X190,1,3)*1,UomConversion!$D$8:$J$500,5,UomConversion!$E$8:$E$500,MID(Y190,1,3)*1,UomConversion!$I$8:$I$500,1))</f>
        <v>1</v>
      </c>
      <c r="BA190" s="1209" cm="1">
        <f t="array" ref="BA190">IF(Z190="",1,Slookup(MID(X190,1,3)*1,UomConversion!$D$8:$J$500,5,UomConversion!$E$8:$E$500,MID(Z190,1,3)*1,UomConversion!$I$8:$I$500,1))</f>
        <v>1</v>
      </c>
      <c r="BB190" s="1217">
        <f t="shared" si="39"/>
        <v>0</v>
      </c>
      <c r="BC190" s="1217"/>
      <c r="BD190" s="1217"/>
    </row>
    <row r="191" spans="2:56" s="1120" customFormat="1" ht="24.95" customHeight="1">
      <c r="B191" s="445"/>
      <c r="C191" s="843"/>
      <c r="D191" s="843"/>
      <c r="E191" s="843"/>
      <c r="F191" s="1116"/>
      <c r="G191" s="1117"/>
      <c r="H191" s="868"/>
      <c r="I191" s="1118"/>
      <c r="J191" s="1138"/>
      <c r="K191" s="1138"/>
      <c r="L191" s="870"/>
      <c r="M191" s="868"/>
      <c r="N191" s="1118"/>
      <c r="O191" s="1119"/>
      <c r="P191" s="884"/>
      <c r="Q191" s="885"/>
      <c r="R191" s="843"/>
      <c r="S191" s="843"/>
      <c r="T191" s="843"/>
      <c r="U191" s="843"/>
      <c r="V191" s="843"/>
      <c r="W191" s="843"/>
      <c r="X191" s="870"/>
      <c r="Y191" s="843" t="str">
        <f>IF(OR(ISNA(MATCH(MID(X191,1,3)*1,UomConversion!$D$8:$D$500,0)),H191=""),"",IF(AV191="","",AV191))</f>
        <v/>
      </c>
      <c r="Z191" s="843" t="str">
        <f>IF(AND(AU191&gt;0,COUNTIFS(UomConversion!$D$8:$D$500,MID(X191,1,3)*1,UomConversion!$J$8:$J$500,1)&gt;1),TEXT(AU191,"000")&amp;"."&amp;VLOOKUP(AU191,uom_list,5,FALSE),"")</f>
        <v/>
      </c>
      <c r="AA191" s="843">
        <f t="shared" si="40"/>
        <v>0</v>
      </c>
      <c r="AB191" s="843" t="str">
        <f t="shared" si="38"/>
        <v/>
      </c>
      <c r="AC191" s="843">
        <f t="shared" si="41"/>
        <v>2</v>
      </c>
      <c r="AD191" s="1219"/>
      <c r="AE191" s="1219"/>
      <c r="AF191" s="1215"/>
      <c r="AG191" s="1215"/>
      <c r="AH191" s="1215"/>
      <c r="AI191" s="1215"/>
      <c r="AJ191" s="1216"/>
      <c r="AK191" s="1216"/>
      <c r="AL191" s="1216"/>
      <c r="AM191" s="1216"/>
      <c r="AN191" s="1216"/>
      <c r="AO191" s="1216"/>
      <c r="AP191" s="1216"/>
      <c r="AQ191" s="1216"/>
      <c r="AR191" s="1216"/>
      <c r="AS191" s="1216"/>
      <c r="AT191" s="1216"/>
      <c r="AU191" s="1120" t="str" cm="1">
        <f t="array" ref="AU191">IF(H191="","",Slookup(MID(X191,1,3)*1,UomConversion!$D$8:$J$500,2,UomConversion!$I$8:$I$500,1,UomConversion!$J$8:$J$500,1))</f>
        <v/>
      </c>
      <c r="AV191" s="401" t="str">
        <f t="shared" si="42"/>
        <v/>
      </c>
      <c r="AW191" s="757" t="str">
        <f t="shared" si="43"/>
        <v/>
      </c>
      <c r="AX191" s="757" t="str">
        <f t="shared" si="44"/>
        <v/>
      </c>
      <c r="AY191" s="757" t="str">
        <f t="shared" si="45"/>
        <v/>
      </c>
      <c r="AZ191" s="1209" cm="1">
        <f t="array" ref="AZ191">IF(Y191="",1,Slookup(MID(X191,1,3)*1,UomConversion!$D$8:$J$500,5,UomConversion!$E$8:$E$500,MID(Y191,1,3)*1,UomConversion!$I$8:$I$500,1))</f>
        <v>1</v>
      </c>
      <c r="BA191" s="1209" cm="1">
        <f t="array" ref="BA191">IF(Z191="",1,Slookup(MID(X191,1,3)*1,UomConversion!$D$8:$J$500,5,UomConversion!$E$8:$E$500,MID(Z191,1,3)*1,UomConversion!$I$8:$I$500,1))</f>
        <v>1</v>
      </c>
      <c r="BB191" s="1217">
        <f t="shared" si="39"/>
        <v>0</v>
      </c>
      <c r="BC191" s="1217"/>
      <c r="BD191" s="1217"/>
    </row>
    <row r="192" spans="2:56" s="1120" customFormat="1" ht="24.95" customHeight="1">
      <c r="B192" s="445"/>
      <c r="C192" s="843"/>
      <c r="D192" s="843"/>
      <c r="E192" s="843"/>
      <c r="F192" s="1116"/>
      <c r="G192" s="1117"/>
      <c r="H192" s="868"/>
      <c r="I192" s="1118"/>
      <c r="J192" s="1138"/>
      <c r="K192" s="1138"/>
      <c r="L192" s="870"/>
      <c r="M192" s="868"/>
      <c r="N192" s="1118"/>
      <c r="O192" s="1119"/>
      <c r="P192" s="884"/>
      <c r="Q192" s="885"/>
      <c r="R192" s="843"/>
      <c r="S192" s="843"/>
      <c r="T192" s="843"/>
      <c r="U192" s="843"/>
      <c r="V192" s="843"/>
      <c r="W192" s="843"/>
      <c r="X192" s="870"/>
      <c r="Y192" s="843" t="str">
        <f>IF(OR(ISNA(MATCH(MID(X192,1,3)*1,UomConversion!$D$8:$D$500,0)),H192=""),"",IF(AV192="","",AV192))</f>
        <v/>
      </c>
      <c r="Z192" s="843" t="str">
        <f>IF(AND(AU192&gt;0,COUNTIFS(UomConversion!$D$8:$D$500,MID(X192,1,3)*1,UomConversion!$J$8:$J$500,1)&gt;1),TEXT(AU192,"000")&amp;"."&amp;VLOOKUP(AU192,uom_list,5,FALSE),"")</f>
        <v/>
      </c>
      <c r="AA192" s="843">
        <f t="shared" si="40"/>
        <v>0</v>
      </c>
      <c r="AB192" s="843" t="str">
        <f t="shared" si="38"/>
        <v/>
      </c>
      <c r="AC192" s="843">
        <f t="shared" si="41"/>
        <v>2</v>
      </c>
      <c r="AD192" s="1219"/>
      <c r="AE192" s="1219"/>
      <c r="AF192" s="1215"/>
      <c r="AG192" s="1215"/>
      <c r="AH192" s="1215"/>
      <c r="AI192" s="1215"/>
      <c r="AJ192" s="1216"/>
      <c r="AK192" s="1216"/>
      <c r="AL192" s="1216"/>
      <c r="AM192" s="1216"/>
      <c r="AN192" s="1216"/>
      <c r="AO192" s="1216"/>
      <c r="AP192" s="1216"/>
      <c r="AQ192" s="1216"/>
      <c r="AR192" s="1216"/>
      <c r="AS192" s="1216"/>
      <c r="AT192" s="1216"/>
      <c r="AU192" s="1120" t="str" cm="1">
        <f t="array" ref="AU192">IF(H192="","",Slookup(MID(X192,1,3)*1,UomConversion!$D$8:$J$500,2,UomConversion!$I$8:$I$500,1,UomConversion!$J$8:$J$500,1))</f>
        <v/>
      </c>
      <c r="AV192" s="401" t="str">
        <f t="shared" si="42"/>
        <v/>
      </c>
      <c r="AW192" s="757" t="str">
        <f t="shared" si="43"/>
        <v/>
      </c>
      <c r="AX192" s="757" t="str">
        <f t="shared" si="44"/>
        <v/>
      </c>
      <c r="AY192" s="757" t="str">
        <f t="shared" si="45"/>
        <v/>
      </c>
      <c r="AZ192" s="1209" cm="1">
        <f t="array" ref="AZ192">IF(Y192="",1,Slookup(MID(X192,1,3)*1,UomConversion!$D$8:$J$500,5,UomConversion!$E$8:$E$500,MID(Y192,1,3)*1,UomConversion!$I$8:$I$500,1))</f>
        <v>1</v>
      </c>
      <c r="BA192" s="1209" cm="1">
        <f t="array" ref="BA192">IF(Z192="",1,Slookup(MID(X192,1,3)*1,UomConversion!$D$8:$J$500,5,UomConversion!$E$8:$E$500,MID(Z192,1,3)*1,UomConversion!$I$8:$I$500,1))</f>
        <v>1</v>
      </c>
      <c r="BB192" s="1217">
        <f t="shared" si="39"/>
        <v>0</v>
      </c>
      <c r="BC192" s="1217"/>
      <c r="BD192" s="1217"/>
    </row>
    <row r="193" spans="2:56" s="1120" customFormat="1" ht="24.95" customHeight="1">
      <c r="B193" s="445"/>
      <c r="C193" s="843"/>
      <c r="D193" s="843"/>
      <c r="E193" s="843"/>
      <c r="F193" s="1116"/>
      <c r="G193" s="1117"/>
      <c r="H193" s="868"/>
      <c r="I193" s="1118"/>
      <c r="J193" s="1138"/>
      <c r="K193" s="1138"/>
      <c r="L193" s="870"/>
      <c r="M193" s="868"/>
      <c r="N193" s="1118"/>
      <c r="O193" s="1119"/>
      <c r="P193" s="884"/>
      <c r="Q193" s="885"/>
      <c r="R193" s="843"/>
      <c r="S193" s="843"/>
      <c r="T193" s="843"/>
      <c r="U193" s="843"/>
      <c r="V193" s="843"/>
      <c r="W193" s="843"/>
      <c r="X193" s="870"/>
      <c r="Y193" s="843" t="str">
        <f>IF(OR(ISNA(MATCH(MID(X193,1,3)*1,UomConversion!$D$8:$D$500,0)),H193=""),"",IF(AV193="","",AV193))</f>
        <v/>
      </c>
      <c r="Z193" s="843" t="str">
        <f>IF(AND(AU193&gt;0,COUNTIFS(UomConversion!$D$8:$D$500,MID(X193,1,3)*1,UomConversion!$J$8:$J$500,1)&gt;1),TEXT(AU193,"000")&amp;"."&amp;VLOOKUP(AU193,uom_list,5,FALSE),"")</f>
        <v/>
      </c>
      <c r="AA193" s="843">
        <f t="shared" si="40"/>
        <v>0</v>
      </c>
      <c r="AB193" s="843" t="str">
        <f t="shared" si="38"/>
        <v/>
      </c>
      <c r="AC193" s="843">
        <f t="shared" si="41"/>
        <v>2</v>
      </c>
      <c r="AD193" s="1219"/>
      <c r="AE193" s="1219"/>
      <c r="AF193" s="1215"/>
      <c r="AG193" s="1215"/>
      <c r="AH193" s="1215"/>
      <c r="AI193" s="1215"/>
      <c r="AJ193" s="1216"/>
      <c r="AK193" s="1216"/>
      <c r="AL193" s="1216"/>
      <c r="AM193" s="1216"/>
      <c r="AN193" s="1216"/>
      <c r="AO193" s="1216"/>
      <c r="AP193" s="1216"/>
      <c r="AQ193" s="1216"/>
      <c r="AR193" s="1216"/>
      <c r="AS193" s="1216"/>
      <c r="AT193" s="1216"/>
      <c r="AU193" s="1120" t="str" cm="1">
        <f t="array" ref="AU193">IF(H193="","",Slookup(MID(X193,1,3)*1,UomConversion!$D$8:$J$500,2,UomConversion!$I$8:$I$500,1,UomConversion!$J$8:$J$500,1))</f>
        <v/>
      </c>
      <c r="AV193" s="401" t="str">
        <f t="shared" si="42"/>
        <v/>
      </c>
      <c r="AW193" s="757" t="str">
        <f t="shared" si="43"/>
        <v/>
      </c>
      <c r="AX193" s="757" t="str">
        <f t="shared" si="44"/>
        <v/>
      </c>
      <c r="AY193" s="757" t="str">
        <f t="shared" si="45"/>
        <v/>
      </c>
      <c r="AZ193" s="1209" cm="1">
        <f t="array" ref="AZ193">IF(Y193="",1,Slookup(MID(X193,1,3)*1,UomConversion!$D$8:$J$500,5,UomConversion!$E$8:$E$500,MID(Y193,1,3)*1,UomConversion!$I$8:$I$500,1))</f>
        <v>1</v>
      </c>
      <c r="BA193" s="1209" cm="1">
        <f t="array" ref="BA193">IF(Z193="",1,Slookup(MID(X193,1,3)*1,UomConversion!$D$8:$J$500,5,UomConversion!$E$8:$E$500,MID(Z193,1,3)*1,UomConversion!$I$8:$I$500,1))</f>
        <v>1</v>
      </c>
      <c r="BB193" s="1217">
        <f t="shared" si="39"/>
        <v>0</v>
      </c>
      <c r="BC193" s="1217"/>
      <c r="BD193" s="1217"/>
    </row>
    <row r="194" spans="2:56" s="1120" customFormat="1" ht="24.95" customHeight="1">
      <c r="B194" s="445"/>
      <c r="C194" s="843"/>
      <c r="D194" s="843"/>
      <c r="E194" s="843"/>
      <c r="F194" s="1116"/>
      <c r="G194" s="1117"/>
      <c r="H194" s="868"/>
      <c r="I194" s="1118"/>
      <c r="J194" s="1138"/>
      <c r="K194" s="1138"/>
      <c r="L194" s="870"/>
      <c r="M194" s="868"/>
      <c r="N194" s="1118"/>
      <c r="O194" s="1119"/>
      <c r="P194" s="884"/>
      <c r="Q194" s="885"/>
      <c r="R194" s="843"/>
      <c r="S194" s="843"/>
      <c r="T194" s="843"/>
      <c r="U194" s="843"/>
      <c r="V194" s="843"/>
      <c r="W194" s="843"/>
      <c r="X194" s="870"/>
      <c r="Y194" s="843" t="str">
        <f>IF(OR(ISNA(MATCH(MID(X194,1,3)*1,UomConversion!$D$8:$D$500,0)),H194=""),"",IF(AV194="","",AV194))</f>
        <v/>
      </c>
      <c r="Z194" s="843" t="str">
        <f>IF(AND(AU194&gt;0,COUNTIFS(UomConversion!$D$8:$D$500,MID(X194,1,3)*1,UomConversion!$J$8:$J$500,1)&gt;1),TEXT(AU194,"000")&amp;"."&amp;VLOOKUP(AU194,uom_list,5,FALSE),"")</f>
        <v/>
      </c>
      <c r="AA194" s="843">
        <f t="shared" si="40"/>
        <v>0</v>
      </c>
      <c r="AB194" s="843" t="str">
        <f t="shared" si="38"/>
        <v/>
      </c>
      <c r="AC194" s="843">
        <f t="shared" si="41"/>
        <v>2</v>
      </c>
      <c r="AD194" s="1219"/>
      <c r="AE194" s="1219"/>
      <c r="AF194" s="1215"/>
      <c r="AG194" s="1215"/>
      <c r="AH194" s="1215"/>
      <c r="AI194" s="1215"/>
      <c r="AJ194" s="1216"/>
      <c r="AK194" s="1216"/>
      <c r="AL194" s="1216"/>
      <c r="AM194" s="1216"/>
      <c r="AN194" s="1216"/>
      <c r="AO194" s="1216"/>
      <c r="AP194" s="1216"/>
      <c r="AQ194" s="1216"/>
      <c r="AR194" s="1216"/>
      <c r="AS194" s="1216"/>
      <c r="AT194" s="1216"/>
      <c r="AU194" s="1120" t="str" cm="1">
        <f t="array" ref="AU194">IF(H194="","",Slookup(MID(X194,1,3)*1,UomConversion!$D$8:$J$500,2,UomConversion!$I$8:$I$500,1,UomConversion!$J$8:$J$500,1))</f>
        <v/>
      </c>
      <c r="AV194" s="401" t="str">
        <f t="shared" si="42"/>
        <v/>
      </c>
      <c r="AW194" s="757" t="str">
        <f t="shared" si="43"/>
        <v/>
      </c>
      <c r="AX194" s="757" t="str">
        <f t="shared" si="44"/>
        <v/>
      </c>
      <c r="AY194" s="757" t="str">
        <f t="shared" si="45"/>
        <v/>
      </c>
      <c r="AZ194" s="1209" cm="1">
        <f t="array" ref="AZ194">IF(Y194="",1,Slookup(MID(X194,1,3)*1,UomConversion!$D$8:$J$500,5,UomConversion!$E$8:$E$500,MID(Y194,1,3)*1,UomConversion!$I$8:$I$500,1))</f>
        <v>1</v>
      </c>
      <c r="BA194" s="1209" cm="1">
        <f t="array" ref="BA194">IF(Z194="",1,Slookup(MID(X194,1,3)*1,UomConversion!$D$8:$J$500,5,UomConversion!$E$8:$E$500,MID(Z194,1,3)*1,UomConversion!$I$8:$I$500,1))</f>
        <v>1</v>
      </c>
      <c r="BB194" s="1217">
        <f t="shared" si="39"/>
        <v>0</v>
      </c>
      <c r="BC194" s="1217"/>
      <c r="BD194" s="1217"/>
    </row>
    <row r="195" spans="2:56" s="1120" customFormat="1" ht="24.95" customHeight="1">
      <c r="B195" s="445"/>
      <c r="C195" s="843"/>
      <c r="D195" s="843"/>
      <c r="E195" s="843"/>
      <c r="F195" s="1116"/>
      <c r="G195" s="1117"/>
      <c r="H195" s="868"/>
      <c r="I195" s="1118"/>
      <c r="J195" s="1138"/>
      <c r="K195" s="1138"/>
      <c r="L195" s="870"/>
      <c r="M195" s="868"/>
      <c r="N195" s="1118"/>
      <c r="O195" s="1119"/>
      <c r="P195" s="884"/>
      <c r="Q195" s="885"/>
      <c r="R195" s="843"/>
      <c r="S195" s="843"/>
      <c r="T195" s="843"/>
      <c r="U195" s="843"/>
      <c r="V195" s="843"/>
      <c r="W195" s="843"/>
      <c r="X195" s="870"/>
      <c r="Y195" s="843" t="str">
        <f>IF(OR(ISNA(MATCH(MID(X195,1,3)*1,UomConversion!$D$8:$D$500,0)),H195=""),"",IF(AV195="","",AV195))</f>
        <v/>
      </c>
      <c r="Z195" s="843" t="str">
        <f>IF(AND(AU195&gt;0,COUNTIFS(UomConversion!$D$8:$D$500,MID(X195,1,3)*1,UomConversion!$J$8:$J$500,1)&gt;1),TEXT(AU195,"000")&amp;"."&amp;VLOOKUP(AU195,uom_list,5,FALSE),"")</f>
        <v/>
      </c>
      <c r="AA195" s="843">
        <f t="shared" si="40"/>
        <v>0</v>
      </c>
      <c r="AB195" s="843" t="str">
        <f t="shared" si="38"/>
        <v/>
      </c>
      <c r="AC195" s="843">
        <f t="shared" si="41"/>
        <v>2</v>
      </c>
      <c r="AD195" s="1219"/>
      <c r="AE195" s="1219"/>
      <c r="AF195" s="1215"/>
      <c r="AG195" s="1215" t="e">
        <f>AF195/R195</f>
        <v>#DIV/0!</v>
      </c>
      <c r="AH195" s="1215"/>
      <c r="AI195" s="1215"/>
      <c r="AJ195" s="1216"/>
      <c r="AK195" s="1216"/>
      <c r="AL195" s="1216"/>
      <c r="AM195" s="1216"/>
      <c r="AN195" s="1216"/>
      <c r="AO195" s="1216"/>
      <c r="AP195" s="1216"/>
      <c r="AQ195" s="1216"/>
      <c r="AR195" s="1216"/>
      <c r="AS195" s="1216"/>
      <c r="AT195" s="1216"/>
      <c r="AU195" s="1120" t="str" cm="1">
        <f t="array" ref="AU195">IF(H195="","",Slookup(MID(X195,1,3)*1,UomConversion!$D$8:$J$500,2,UomConversion!$I$8:$I$500,1,UomConversion!$J$8:$J$500,1))</f>
        <v/>
      </c>
      <c r="AV195" s="401" t="str">
        <f t="shared" si="42"/>
        <v/>
      </c>
      <c r="AW195" s="757" t="str">
        <f t="shared" si="43"/>
        <v/>
      </c>
      <c r="AX195" s="757" t="str">
        <f t="shared" si="44"/>
        <v/>
      </c>
      <c r="AY195" s="757" t="str">
        <f t="shared" si="45"/>
        <v/>
      </c>
      <c r="AZ195" s="1209" cm="1">
        <f t="array" ref="AZ195">IF(Y195="",1,Slookup(MID(X195,1,3)*1,UomConversion!$D$8:$J$500,5,UomConversion!$E$8:$E$500,MID(Y195,1,3)*1,UomConversion!$I$8:$I$500,1))</f>
        <v>1</v>
      </c>
      <c r="BA195" s="1209" cm="1">
        <f t="array" ref="BA195">IF(Z195="",1,Slookup(MID(X195,1,3)*1,UomConversion!$D$8:$J$500,5,UomConversion!$E$8:$E$500,MID(Z195,1,3)*1,UomConversion!$I$8:$I$500,1))</f>
        <v>1</v>
      </c>
      <c r="BB195" s="1217">
        <f t="shared" si="39"/>
        <v>0</v>
      </c>
      <c r="BC195" s="1217"/>
      <c r="BD195" s="1217"/>
    </row>
    <row r="196" spans="2:56" s="1120" customFormat="1" ht="24.95" customHeight="1">
      <c r="B196" s="445"/>
      <c r="C196" s="843"/>
      <c r="D196" s="843"/>
      <c r="E196" s="843"/>
      <c r="F196" s="1116"/>
      <c r="G196" s="1117"/>
      <c r="H196" s="868"/>
      <c r="I196" s="1118"/>
      <c r="J196" s="1138"/>
      <c r="K196" s="1138"/>
      <c r="L196" s="870"/>
      <c r="M196" s="868"/>
      <c r="N196" s="1118"/>
      <c r="O196" s="1119"/>
      <c r="P196" s="884"/>
      <c r="Q196" s="885"/>
      <c r="R196" s="843"/>
      <c r="S196" s="843"/>
      <c r="T196" s="843"/>
      <c r="U196" s="843"/>
      <c r="V196" s="843"/>
      <c r="W196" s="843"/>
      <c r="X196" s="870"/>
      <c r="Y196" s="843" t="str">
        <f>IF(OR(ISNA(MATCH(MID(X196,1,3)*1,UomConversion!$D$8:$D$500,0)),H196=""),"",IF(AV196="","",AV196))</f>
        <v/>
      </c>
      <c r="Z196" s="843" t="str">
        <f>IF(AND(AU196&gt;0,COUNTIFS(UomConversion!$D$8:$D$500,MID(X196,1,3)*1,UomConversion!$J$8:$J$500,1)&gt;1),TEXT(AU196,"000")&amp;"."&amp;VLOOKUP(AU196,uom_list,5,FALSE),"")</f>
        <v/>
      </c>
      <c r="AA196" s="843">
        <f t="shared" si="40"/>
        <v>0</v>
      </c>
      <c r="AB196" s="843" t="str">
        <f t="shared" si="38"/>
        <v/>
      </c>
      <c r="AC196" s="843">
        <f t="shared" si="41"/>
        <v>2</v>
      </c>
      <c r="AD196" s="1219"/>
      <c r="AE196" s="1219"/>
      <c r="AF196" s="1215"/>
      <c r="AG196" s="1215" t="e">
        <f t="shared" ref="AG196:AG198" si="46">AF196/R196</f>
        <v>#DIV/0!</v>
      </c>
      <c r="AH196" s="1215"/>
      <c r="AI196" s="1215"/>
      <c r="AJ196" s="1216"/>
      <c r="AK196" s="1216"/>
      <c r="AL196" s="1216"/>
      <c r="AM196" s="1216"/>
      <c r="AN196" s="1216"/>
      <c r="AO196" s="1216"/>
      <c r="AP196" s="1216"/>
      <c r="AQ196" s="1216"/>
      <c r="AR196" s="1216"/>
      <c r="AS196" s="1216"/>
      <c r="AT196" s="1216"/>
      <c r="AU196" s="1120" t="str" cm="1">
        <f t="array" ref="AU196">IF(H196="","",Slookup(MID(X196,1,3)*1,UomConversion!$D$8:$J$500,2,UomConversion!$I$8:$I$500,1,UomConversion!$J$8:$J$500,1))</f>
        <v/>
      </c>
      <c r="AV196" s="401" t="str">
        <f t="shared" si="42"/>
        <v/>
      </c>
      <c r="AW196" s="757" t="str">
        <f t="shared" si="43"/>
        <v/>
      </c>
      <c r="AX196" s="757" t="str">
        <f t="shared" si="44"/>
        <v/>
      </c>
      <c r="AY196" s="757" t="str">
        <f t="shared" si="45"/>
        <v/>
      </c>
      <c r="AZ196" s="1209" cm="1">
        <f t="array" ref="AZ196">IF(Y196="",1,Slookup(MID(X196,1,3)*1,UomConversion!$D$8:$J$500,5,UomConversion!$E$8:$E$500,MID(Y196,1,3)*1,UomConversion!$I$8:$I$500,1))</f>
        <v>1</v>
      </c>
      <c r="BA196" s="1209" cm="1">
        <f t="array" ref="BA196">IF(Z196="",1,Slookup(MID(X196,1,3)*1,UomConversion!$D$8:$J$500,5,UomConversion!$E$8:$E$500,MID(Z196,1,3)*1,UomConversion!$I$8:$I$500,1))</f>
        <v>1</v>
      </c>
      <c r="BB196" s="1217">
        <f t="shared" si="39"/>
        <v>0</v>
      </c>
      <c r="BC196" s="1217"/>
      <c r="BD196" s="1217"/>
    </row>
    <row r="197" spans="2:56" s="1120" customFormat="1" ht="24.95" customHeight="1">
      <c r="B197" s="445"/>
      <c r="C197" s="843"/>
      <c r="D197" s="843"/>
      <c r="E197" s="843"/>
      <c r="F197" s="1116"/>
      <c r="G197" s="1117"/>
      <c r="H197" s="868"/>
      <c r="I197" s="1118"/>
      <c r="J197" s="1138"/>
      <c r="K197" s="1138"/>
      <c r="L197" s="870"/>
      <c r="M197" s="868"/>
      <c r="N197" s="1118"/>
      <c r="O197" s="1119"/>
      <c r="P197" s="884"/>
      <c r="Q197" s="885"/>
      <c r="R197" s="843"/>
      <c r="S197" s="843"/>
      <c r="T197" s="843"/>
      <c r="U197" s="843"/>
      <c r="V197" s="843"/>
      <c r="W197" s="843"/>
      <c r="X197" s="870"/>
      <c r="Y197" s="843" t="str">
        <f>IF(OR(ISNA(MATCH(MID(X197,1,3)*1,UomConversion!$D$8:$D$500,0)),H197=""),"",IF(AV197="","",AV197))</f>
        <v/>
      </c>
      <c r="Z197" s="843" t="str">
        <f>IF(AND(AU197&gt;0,COUNTIFS(UomConversion!$D$8:$D$500,MID(X197,1,3)*1,UomConversion!$J$8:$J$500,1)&gt;1),TEXT(AU197,"000")&amp;"."&amp;VLOOKUP(AU197,uom_list,5,FALSE),"")</f>
        <v/>
      </c>
      <c r="AA197" s="843">
        <f t="shared" si="40"/>
        <v>0</v>
      </c>
      <c r="AB197" s="843" t="str">
        <f t="shared" si="38"/>
        <v/>
      </c>
      <c r="AC197" s="843">
        <f t="shared" si="41"/>
        <v>2</v>
      </c>
      <c r="AD197" s="1219"/>
      <c r="AE197" s="1219"/>
      <c r="AF197" s="1215"/>
      <c r="AG197" s="1215" t="e">
        <f t="shared" si="46"/>
        <v>#DIV/0!</v>
      </c>
      <c r="AH197" s="1215"/>
      <c r="AI197" s="1215"/>
      <c r="AJ197" s="1216"/>
      <c r="AK197" s="1216"/>
      <c r="AL197" s="1216"/>
      <c r="AM197" s="1216"/>
      <c r="AN197" s="1216"/>
      <c r="AO197" s="1216"/>
      <c r="AP197" s="1216"/>
      <c r="AQ197" s="1216"/>
      <c r="AR197" s="1216"/>
      <c r="AS197" s="1216"/>
      <c r="AT197" s="1216"/>
      <c r="AU197" s="1120" t="str" cm="1">
        <f t="array" ref="AU197">IF(H197="","",Slookup(MID(X197,1,3)*1,UomConversion!$D$8:$J$500,2,UomConversion!$I$8:$I$500,1,UomConversion!$J$8:$J$500,1))</f>
        <v/>
      </c>
      <c r="AV197" s="401" t="str">
        <f t="shared" si="42"/>
        <v/>
      </c>
      <c r="AW197" s="757" t="str">
        <f t="shared" si="43"/>
        <v/>
      </c>
      <c r="AX197" s="757" t="str">
        <f t="shared" si="44"/>
        <v/>
      </c>
      <c r="AY197" s="757" t="str">
        <f t="shared" si="45"/>
        <v/>
      </c>
      <c r="AZ197" s="1209" cm="1">
        <f t="array" ref="AZ197">IF(Y197="",1,Slookup(MID(X197,1,3)*1,UomConversion!$D$8:$J$500,5,UomConversion!$E$8:$E$500,MID(Y197,1,3)*1,UomConversion!$I$8:$I$500,1))</f>
        <v>1</v>
      </c>
      <c r="BA197" s="1209" cm="1">
        <f t="array" ref="BA197">IF(Z197="",1,Slookup(MID(X197,1,3)*1,UomConversion!$D$8:$J$500,5,UomConversion!$E$8:$E$500,MID(Z197,1,3)*1,UomConversion!$I$8:$I$500,1))</f>
        <v>1</v>
      </c>
      <c r="BB197" s="1217">
        <f t="shared" si="39"/>
        <v>0</v>
      </c>
      <c r="BC197" s="1217"/>
      <c r="BD197" s="1217"/>
    </row>
    <row r="198" spans="2:56" s="1120" customFormat="1" ht="24.95" customHeight="1">
      <c r="B198" s="445"/>
      <c r="C198" s="843"/>
      <c r="D198" s="843"/>
      <c r="E198" s="843"/>
      <c r="F198" s="1116"/>
      <c r="G198" s="1117"/>
      <c r="H198" s="868"/>
      <c r="I198" s="1118"/>
      <c r="J198" s="1138"/>
      <c r="K198" s="1138"/>
      <c r="L198" s="870"/>
      <c r="M198" s="868"/>
      <c r="N198" s="1118"/>
      <c r="O198" s="1119"/>
      <c r="P198" s="884"/>
      <c r="Q198" s="885"/>
      <c r="R198" s="843"/>
      <c r="S198" s="843"/>
      <c r="T198" s="843"/>
      <c r="U198" s="843"/>
      <c r="V198" s="843"/>
      <c r="W198" s="843"/>
      <c r="X198" s="870"/>
      <c r="Y198" s="843" t="str">
        <f>IF(OR(ISNA(MATCH(MID(X198,1,3)*1,UomConversion!$D$8:$D$500,0)),H198=""),"",IF(AV198="","",AV198))</f>
        <v/>
      </c>
      <c r="Z198" s="843" t="str">
        <f>IF(AND(AU198&gt;0,COUNTIFS(UomConversion!$D$8:$D$500,MID(X198,1,3)*1,UomConversion!$J$8:$J$500,1)&gt;1),TEXT(AU198,"000")&amp;"."&amp;VLOOKUP(AU198,uom_list,5,FALSE),"")</f>
        <v/>
      </c>
      <c r="AA198" s="843">
        <f t="shared" si="40"/>
        <v>0</v>
      </c>
      <c r="AB198" s="843" t="str">
        <f t="shared" si="38"/>
        <v/>
      </c>
      <c r="AC198" s="843">
        <f t="shared" si="41"/>
        <v>2</v>
      </c>
      <c r="AD198" s="1219"/>
      <c r="AE198" s="1219"/>
      <c r="AF198" s="1215"/>
      <c r="AG198" s="1215" t="e">
        <f t="shared" si="46"/>
        <v>#DIV/0!</v>
      </c>
      <c r="AH198" s="1215"/>
      <c r="AI198" s="1215"/>
      <c r="AJ198" s="1216"/>
      <c r="AK198" s="1216"/>
      <c r="AL198" s="1216"/>
      <c r="AM198" s="1216"/>
      <c r="AN198" s="1216"/>
      <c r="AO198" s="1216"/>
      <c r="AP198" s="1216"/>
      <c r="AQ198" s="1216"/>
      <c r="AR198" s="1216"/>
      <c r="AS198" s="1216"/>
      <c r="AT198" s="1216"/>
      <c r="AU198" s="1120" t="str" cm="1">
        <f t="array" ref="AU198">IF(H198="","",Slookup(MID(X198,1,3)*1,UomConversion!$D$8:$J$500,2,UomConversion!$I$8:$I$500,1,UomConversion!$J$8:$J$500,1))</f>
        <v/>
      </c>
      <c r="AV198" s="401" t="str">
        <f t="shared" si="42"/>
        <v/>
      </c>
      <c r="AW198" s="757" t="str">
        <f t="shared" si="43"/>
        <v/>
      </c>
      <c r="AX198" s="757" t="str">
        <f t="shared" si="44"/>
        <v/>
      </c>
      <c r="AY198" s="757" t="str">
        <f t="shared" si="45"/>
        <v/>
      </c>
      <c r="AZ198" s="1209" cm="1">
        <f t="array" ref="AZ198">IF(Y198="",1,Slookup(MID(X198,1,3)*1,UomConversion!$D$8:$J$500,5,UomConversion!$E$8:$E$500,MID(Y198,1,3)*1,UomConversion!$I$8:$I$500,1))</f>
        <v>1</v>
      </c>
      <c r="BA198" s="1209" cm="1">
        <f t="array" ref="BA198">IF(Z198="",1,Slookup(MID(X198,1,3)*1,UomConversion!$D$8:$J$500,5,UomConversion!$E$8:$E$500,MID(Z198,1,3)*1,UomConversion!$I$8:$I$500,1))</f>
        <v>1</v>
      </c>
      <c r="BB198" s="1217">
        <f t="shared" si="39"/>
        <v>0</v>
      </c>
      <c r="BC198" s="1217"/>
      <c r="BD198" s="1217"/>
    </row>
    <row r="199" spans="2:56" s="1120" customFormat="1" ht="24.95" customHeight="1">
      <c r="B199" s="445"/>
      <c r="C199" s="843"/>
      <c r="D199" s="843"/>
      <c r="E199" s="843"/>
      <c r="F199" s="1116"/>
      <c r="G199" s="1117"/>
      <c r="H199" s="868"/>
      <c r="I199" s="1118"/>
      <c r="J199" s="1138"/>
      <c r="K199" s="1138"/>
      <c r="L199" s="870"/>
      <c r="M199" s="868"/>
      <c r="N199" s="1118"/>
      <c r="O199" s="1119"/>
      <c r="P199" s="884"/>
      <c r="Q199" s="885"/>
      <c r="R199" s="843"/>
      <c r="S199" s="843"/>
      <c r="T199" s="843"/>
      <c r="U199" s="843"/>
      <c r="V199" s="843"/>
      <c r="W199" s="843"/>
      <c r="X199" s="870"/>
      <c r="Y199" s="843" t="str">
        <f>IF(OR(ISNA(MATCH(MID(X199,1,3)*1,UomConversion!$D$8:$D$500,0)),H199=""),"",IF(AV199="","",AV199))</f>
        <v/>
      </c>
      <c r="Z199" s="843" t="str">
        <f>IF(AND(AU199&gt;0,COUNTIFS(UomConversion!$D$8:$D$500,MID(X199,1,3)*1,UomConversion!$J$8:$J$500,1)&gt;1),TEXT(AU199,"000")&amp;"."&amp;VLOOKUP(AU199,uom_list,5,FALSE),"")</f>
        <v/>
      </c>
      <c r="AA199" s="843">
        <f t="shared" si="40"/>
        <v>0</v>
      </c>
      <c r="AB199" s="843" t="str">
        <f t="shared" si="38"/>
        <v/>
      </c>
      <c r="AC199" s="843">
        <f t="shared" si="41"/>
        <v>2</v>
      </c>
      <c r="AD199" s="1219"/>
      <c r="AE199" s="1219"/>
      <c r="AF199" s="1215"/>
      <c r="AG199" s="1215"/>
      <c r="AH199" s="1215"/>
      <c r="AI199" s="1215"/>
      <c r="AJ199" s="1216"/>
      <c r="AK199" s="1216"/>
      <c r="AL199" s="1216"/>
      <c r="AM199" s="1216"/>
      <c r="AN199" s="1216"/>
      <c r="AO199" s="1216"/>
      <c r="AP199" s="1216"/>
      <c r="AQ199" s="1216"/>
      <c r="AR199" s="1216"/>
      <c r="AS199" s="1216"/>
      <c r="AT199" s="1216"/>
      <c r="AU199" s="1120" t="str" cm="1">
        <f t="array" ref="AU199">IF(H199="","",Slookup(MID(X199,1,3)*1,UomConversion!$D$8:$J$500,2,UomConversion!$I$8:$I$500,1,UomConversion!$J$8:$J$500,1))</f>
        <v/>
      </c>
      <c r="AV199" s="401" t="str">
        <f t="shared" si="42"/>
        <v/>
      </c>
      <c r="AW199" s="757" t="str">
        <f t="shared" si="43"/>
        <v/>
      </c>
      <c r="AX199" s="757" t="str">
        <f t="shared" si="44"/>
        <v/>
      </c>
      <c r="AY199" s="757" t="str">
        <f t="shared" si="45"/>
        <v/>
      </c>
      <c r="AZ199" s="1209" cm="1">
        <f t="array" ref="AZ199">IF(Y199="",1,Slookup(MID(X199,1,3)*1,UomConversion!$D$8:$J$500,5,UomConversion!$E$8:$E$500,MID(Y199,1,3)*1,UomConversion!$I$8:$I$500,1))</f>
        <v>1</v>
      </c>
      <c r="BA199" s="1209" cm="1">
        <f t="array" ref="BA199">IF(Z199="",1,Slookup(MID(X199,1,3)*1,UomConversion!$D$8:$J$500,5,UomConversion!$E$8:$E$500,MID(Z199,1,3)*1,UomConversion!$I$8:$I$500,1))</f>
        <v>1</v>
      </c>
      <c r="BB199" s="1217">
        <f t="shared" si="39"/>
        <v>0</v>
      </c>
      <c r="BC199" s="1217"/>
      <c r="BD199" s="1217"/>
    </row>
    <row r="200" spans="2:56" s="1120" customFormat="1" ht="24.95" customHeight="1">
      <c r="B200" s="445"/>
      <c r="C200" s="843"/>
      <c r="D200" s="843"/>
      <c r="E200" s="843"/>
      <c r="F200" s="1116"/>
      <c r="G200" s="1117"/>
      <c r="H200" s="868"/>
      <c r="I200" s="1118"/>
      <c r="J200" s="1138"/>
      <c r="K200" s="1138"/>
      <c r="L200" s="870"/>
      <c r="M200" s="868"/>
      <c r="N200" s="1118"/>
      <c r="O200" s="1119"/>
      <c r="P200" s="884"/>
      <c r="Q200" s="885"/>
      <c r="R200" s="843"/>
      <c r="S200" s="843"/>
      <c r="T200" s="843"/>
      <c r="U200" s="843"/>
      <c r="V200" s="843"/>
      <c r="W200" s="843"/>
      <c r="X200" s="870"/>
      <c r="Y200" s="843" t="str">
        <f>IF(OR(ISNA(MATCH(MID(X200,1,3)*1,UomConversion!$D$8:$D$500,0)),H200=""),"",IF(AV200="","",AV200))</f>
        <v/>
      </c>
      <c r="Z200" s="843" t="str">
        <f>IF(AND(AU200&gt;0,COUNTIFS(UomConversion!$D$8:$D$500,MID(X200,1,3)*1,UomConversion!$J$8:$J$500,1)&gt;1),TEXT(AU200,"000")&amp;"."&amp;VLOOKUP(AU200,uom_list,5,FALSE),"")</f>
        <v/>
      </c>
      <c r="AA200" s="843">
        <f t="shared" si="40"/>
        <v>0</v>
      </c>
      <c r="AB200" s="843" t="str">
        <f t="shared" si="38"/>
        <v/>
      </c>
      <c r="AC200" s="843">
        <f t="shared" si="41"/>
        <v>2</v>
      </c>
      <c r="AD200" s="1219"/>
      <c r="AE200" s="1219"/>
      <c r="AF200" s="1215"/>
      <c r="AG200" s="1215"/>
      <c r="AH200" s="1215"/>
      <c r="AI200" s="1215"/>
      <c r="AJ200" s="1216"/>
      <c r="AK200" s="1216"/>
      <c r="AL200" s="1216"/>
      <c r="AM200" s="1216"/>
      <c r="AN200" s="1216"/>
      <c r="AO200" s="1216"/>
      <c r="AP200" s="1216"/>
      <c r="AQ200" s="1216"/>
      <c r="AR200" s="1216"/>
      <c r="AS200" s="1216"/>
      <c r="AT200" s="1216"/>
      <c r="AU200" s="1120" t="str" cm="1">
        <f t="array" ref="AU200">IF(H200="","",Slookup(MID(X200,1,3)*1,UomConversion!$D$8:$J$500,2,UomConversion!$I$8:$I$500,1,UomConversion!$J$8:$J$500,1))</f>
        <v/>
      </c>
      <c r="AV200" s="401" t="str">
        <f t="shared" si="42"/>
        <v/>
      </c>
      <c r="AW200" s="757" t="str">
        <f t="shared" si="43"/>
        <v/>
      </c>
      <c r="AX200" s="757" t="str">
        <f t="shared" si="44"/>
        <v/>
      </c>
      <c r="AY200" s="757" t="str">
        <f t="shared" si="45"/>
        <v/>
      </c>
      <c r="AZ200" s="1209" cm="1">
        <f t="array" ref="AZ200">IF(Y200="",1,Slookup(MID(X200,1,3)*1,UomConversion!$D$8:$J$500,5,UomConversion!$E$8:$E$500,MID(Y200,1,3)*1,UomConversion!$I$8:$I$500,1))</f>
        <v>1</v>
      </c>
      <c r="BA200" s="1209" cm="1">
        <f t="array" ref="BA200">IF(Z200="",1,Slookup(MID(X200,1,3)*1,UomConversion!$D$8:$J$500,5,UomConversion!$E$8:$E$500,MID(Z200,1,3)*1,UomConversion!$I$8:$I$500,1))</f>
        <v>1</v>
      </c>
      <c r="BB200" s="1217">
        <f t="shared" si="39"/>
        <v>0</v>
      </c>
      <c r="BC200" s="1217"/>
      <c r="BD200" s="1217"/>
    </row>
    <row r="201" spans="2:56" s="1120" customFormat="1" ht="24.95" customHeight="1">
      <c r="B201" s="445"/>
      <c r="C201" s="843"/>
      <c r="D201" s="843"/>
      <c r="E201" s="843"/>
      <c r="F201" s="1116"/>
      <c r="G201" s="1117"/>
      <c r="H201" s="868"/>
      <c r="I201" s="1118"/>
      <c r="J201" s="1138"/>
      <c r="K201" s="1138"/>
      <c r="L201" s="870"/>
      <c r="M201" s="868"/>
      <c r="N201" s="1118"/>
      <c r="O201" s="1119"/>
      <c r="P201" s="884"/>
      <c r="Q201" s="885"/>
      <c r="R201" s="843"/>
      <c r="S201" s="843"/>
      <c r="T201" s="843"/>
      <c r="U201" s="843"/>
      <c r="V201" s="843"/>
      <c r="W201" s="843"/>
      <c r="X201" s="870"/>
      <c r="Y201" s="843" t="str">
        <f>IF(OR(ISNA(MATCH(MID(X201,1,3)*1,UomConversion!$D$8:$D$500,0)),H201=""),"",IF(AV201="","",AV201))</f>
        <v/>
      </c>
      <c r="Z201" s="843" t="str">
        <f>IF(AND(AU201&gt;0,COUNTIFS(UomConversion!$D$8:$D$500,MID(X201,1,3)*1,UomConversion!$J$8:$J$500,1)&gt;1),TEXT(AU201,"000")&amp;"."&amp;VLOOKUP(AU201,uom_list,5,FALSE),"")</f>
        <v/>
      </c>
      <c r="AA201" s="843">
        <f t="shared" si="40"/>
        <v>0</v>
      </c>
      <c r="AB201" s="843" t="str">
        <f t="shared" si="38"/>
        <v/>
      </c>
      <c r="AC201" s="843">
        <f t="shared" si="41"/>
        <v>2</v>
      </c>
      <c r="AD201" s="1219"/>
      <c r="AE201" s="1219"/>
      <c r="AF201" s="1215"/>
      <c r="AG201" s="1215"/>
      <c r="AH201" s="1215"/>
      <c r="AI201" s="1215"/>
      <c r="AJ201" s="1216"/>
      <c r="AK201" s="1216"/>
      <c r="AL201" s="1216"/>
      <c r="AM201" s="1216"/>
      <c r="AN201" s="1216"/>
      <c r="AO201" s="1216"/>
      <c r="AP201" s="1216"/>
      <c r="AQ201" s="1216"/>
      <c r="AR201" s="1216"/>
      <c r="AS201" s="1216"/>
      <c r="AT201" s="1216"/>
      <c r="AU201" s="1120" t="str" cm="1">
        <f t="array" ref="AU201">IF(H201="","",Slookup(MID(X201,1,3)*1,UomConversion!$D$8:$J$500,2,UomConversion!$I$8:$I$500,1,UomConversion!$J$8:$J$500,1))</f>
        <v/>
      </c>
      <c r="AV201" s="401" t="str">
        <f t="shared" si="42"/>
        <v/>
      </c>
      <c r="AW201" s="757" t="str">
        <f t="shared" si="43"/>
        <v/>
      </c>
      <c r="AX201" s="757" t="str">
        <f t="shared" si="44"/>
        <v/>
      </c>
      <c r="AY201" s="757" t="str">
        <f t="shared" si="45"/>
        <v/>
      </c>
      <c r="AZ201" s="1209" cm="1">
        <f t="array" ref="AZ201">IF(Y201="",1,Slookup(MID(X201,1,3)*1,UomConversion!$D$8:$J$500,5,UomConversion!$E$8:$E$500,MID(Y201,1,3)*1,UomConversion!$I$8:$I$500,1))</f>
        <v>1</v>
      </c>
      <c r="BA201" s="1209" cm="1">
        <f t="array" ref="BA201">IF(Z201="",1,Slookup(MID(X201,1,3)*1,UomConversion!$D$8:$J$500,5,UomConversion!$E$8:$E$500,MID(Z201,1,3)*1,UomConversion!$I$8:$I$500,1))</f>
        <v>1</v>
      </c>
      <c r="BB201" s="1217">
        <f t="shared" si="39"/>
        <v>0</v>
      </c>
      <c r="BC201" s="1217"/>
      <c r="BD201" s="1217"/>
    </row>
    <row r="202" spans="2:56" s="1120" customFormat="1" ht="24.95" customHeight="1">
      <c r="B202" s="445"/>
      <c r="C202" s="843"/>
      <c r="D202" s="843"/>
      <c r="E202" s="843"/>
      <c r="F202" s="1116"/>
      <c r="G202" s="1117"/>
      <c r="H202" s="868"/>
      <c r="I202" s="1118"/>
      <c r="J202" s="1138"/>
      <c r="K202" s="1138"/>
      <c r="L202" s="870"/>
      <c r="M202" s="868"/>
      <c r="N202" s="1118"/>
      <c r="O202" s="1119"/>
      <c r="P202" s="884"/>
      <c r="Q202" s="885"/>
      <c r="R202" s="843"/>
      <c r="S202" s="843"/>
      <c r="T202" s="843"/>
      <c r="U202" s="843"/>
      <c r="V202" s="843"/>
      <c r="W202" s="843"/>
      <c r="X202" s="870"/>
      <c r="Y202" s="843" t="str">
        <f>IF(OR(ISNA(MATCH(MID(X202,1,3)*1,UomConversion!$D$8:$D$500,0)),H202=""),"",IF(AV202="","",AV202))</f>
        <v/>
      </c>
      <c r="Z202" s="843" t="str">
        <f>IF(AND(AU202&gt;0,COUNTIFS(UomConversion!$D$8:$D$500,MID(X202,1,3)*1,UomConversion!$J$8:$J$500,1)&gt;1),TEXT(AU202,"000")&amp;"."&amp;VLOOKUP(AU202,uom_list,5,FALSE),"")</f>
        <v/>
      </c>
      <c r="AA202" s="843">
        <f t="shared" si="40"/>
        <v>0</v>
      </c>
      <c r="AB202" s="843" t="str">
        <f t="shared" si="38"/>
        <v/>
      </c>
      <c r="AC202" s="843">
        <f t="shared" si="41"/>
        <v>2</v>
      </c>
      <c r="AD202" s="1219"/>
      <c r="AE202" s="1219"/>
      <c r="AF202" s="1215"/>
      <c r="AG202" s="1215"/>
      <c r="AH202" s="1215"/>
      <c r="AI202" s="1215"/>
      <c r="AJ202" s="1216"/>
      <c r="AK202" s="1216"/>
      <c r="AL202" s="1216"/>
      <c r="AM202" s="1216"/>
      <c r="AN202" s="1216"/>
      <c r="AO202" s="1216"/>
      <c r="AP202" s="1216"/>
      <c r="AQ202" s="1216"/>
      <c r="AR202" s="1216"/>
      <c r="AS202" s="1216"/>
      <c r="AT202" s="1216"/>
      <c r="AU202" s="1120" t="str" cm="1">
        <f t="array" ref="AU202">IF(H202="","",Slookup(MID(X202,1,3)*1,UomConversion!$D$8:$J$500,2,UomConversion!$I$8:$I$500,1,UomConversion!$J$8:$J$500,1))</f>
        <v/>
      </c>
      <c r="AV202" s="401" t="str">
        <f t="shared" si="42"/>
        <v/>
      </c>
      <c r="AW202" s="757" t="str">
        <f t="shared" si="43"/>
        <v/>
      </c>
      <c r="AX202" s="757" t="str">
        <f t="shared" si="44"/>
        <v/>
      </c>
      <c r="AY202" s="757" t="str">
        <f t="shared" si="45"/>
        <v/>
      </c>
      <c r="AZ202" s="1209" cm="1">
        <f t="array" ref="AZ202">IF(Y202="",1,Slookup(MID(X202,1,3)*1,UomConversion!$D$8:$J$500,5,UomConversion!$E$8:$E$500,MID(Y202,1,3)*1,UomConversion!$I$8:$I$500,1))</f>
        <v>1</v>
      </c>
      <c r="BA202" s="1209" cm="1">
        <f t="array" ref="BA202">IF(Z202="",1,Slookup(MID(X202,1,3)*1,UomConversion!$D$8:$J$500,5,UomConversion!$E$8:$E$500,MID(Z202,1,3)*1,UomConversion!$I$8:$I$500,1))</f>
        <v>1</v>
      </c>
      <c r="BB202" s="1217">
        <f t="shared" si="39"/>
        <v>0</v>
      </c>
      <c r="BC202" s="1217"/>
      <c r="BD202" s="1217"/>
    </row>
    <row r="203" spans="2:56" s="1120" customFormat="1" ht="24.95" customHeight="1">
      <c r="B203" s="445"/>
      <c r="C203" s="843"/>
      <c r="D203" s="843"/>
      <c r="E203" s="843"/>
      <c r="F203" s="1116"/>
      <c r="G203" s="1117"/>
      <c r="H203" s="868"/>
      <c r="I203" s="1118"/>
      <c r="J203" s="1138"/>
      <c r="K203" s="1138"/>
      <c r="L203" s="870"/>
      <c r="M203" s="868"/>
      <c r="N203" s="1118"/>
      <c r="O203" s="1119"/>
      <c r="P203" s="884"/>
      <c r="Q203" s="885"/>
      <c r="R203" s="843"/>
      <c r="S203" s="843"/>
      <c r="T203" s="843"/>
      <c r="U203" s="843"/>
      <c r="V203" s="843"/>
      <c r="W203" s="843"/>
      <c r="X203" s="870"/>
      <c r="Y203" s="843" t="str">
        <f>IF(OR(ISNA(MATCH(MID(X203,1,3)*1,UomConversion!$D$8:$D$500,0)),H203=""),"",IF(AV203="","",AV203))</f>
        <v/>
      </c>
      <c r="Z203" s="843" t="str">
        <f>IF(AND(AU203&gt;0,COUNTIFS(UomConversion!$D$8:$D$500,MID(X203,1,3)*1,UomConversion!$J$8:$J$500,1)&gt;1),TEXT(AU203,"000")&amp;"."&amp;VLOOKUP(AU203,uom_list,5,FALSE),"")</f>
        <v/>
      </c>
      <c r="AA203" s="843">
        <f t="shared" si="40"/>
        <v>0</v>
      </c>
      <c r="AB203" s="843" t="str">
        <f t="shared" si="38"/>
        <v/>
      </c>
      <c r="AC203" s="843">
        <f t="shared" si="41"/>
        <v>2</v>
      </c>
      <c r="AD203" s="1219"/>
      <c r="AE203" s="1219"/>
      <c r="AF203" s="1215"/>
      <c r="AG203" s="1215"/>
      <c r="AH203" s="1215"/>
      <c r="AI203" s="1215"/>
      <c r="AJ203" s="1216"/>
      <c r="AK203" s="1216"/>
      <c r="AL203" s="1216"/>
      <c r="AM203" s="1216"/>
      <c r="AN203" s="1216"/>
      <c r="AO203" s="1216"/>
      <c r="AP203" s="1216"/>
      <c r="AQ203" s="1216"/>
      <c r="AR203" s="1216"/>
      <c r="AS203" s="1216"/>
      <c r="AT203" s="1216"/>
      <c r="AU203" s="1120" t="str" cm="1">
        <f t="array" ref="AU203">IF(H203="","",Slookup(MID(X203,1,3)*1,UomConversion!$D$8:$J$500,2,UomConversion!$I$8:$I$500,1,UomConversion!$J$8:$J$500,1))</f>
        <v/>
      </c>
      <c r="AV203" s="401" t="str">
        <f t="shared" si="42"/>
        <v/>
      </c>
      <c r="AW203" s="757" t="str">
        <f t="shared" si="43"/>
        <v/>
      </c>
      <c r="AX203" s="757" t="str">
        <f t="shared" si="44"/>
        <v/>
      </c>
      <c r="AY203" s="757" t="str">
        <f t="shared" si="45"/>
        <v/>
      </c>
      <c r="AZ203" s="1209" cm="1">
        <f t="array" ref="AZ203">IF(Y203="",1,Slookup(MID(X203,1,3)*1,UomConversion!$D$8:$J$500,5,UomConversion!$E$8:$E$500,MID(Y203,1,3)*1,UomConversion!$I$8:$I$500,1))</f>
        <v>1</v>
      </c>
      <c r="BA203" s="1209" cm="1">
        <f t="array" ref="BA203">IF(Z203="",1,Slookup(MID(X203,1,3)*1,UomConversion!$D$8:$J$500,5,UomConversion!$E$8:$E$500,MID(Z203,1,3)*1,UomConversion!$I$8:$I$500,1))</f>
        <v>1</v>
      </c>
      <c r="BB203" s="1217">
        <f t="shared" si="39"/>
        <v>0</v>
      </c>
      <c r="BC203" s="1217"/>
      <c r="BD203" s="1217"/>
    </row>
    <row r="204" spans="2:56" s="1120" customFormat="1" ht="24.95" customHeight="1">
      <c r="B204" s="445"/>
      <c r="C204" s="843"/>
      <c r="D204" s="843"/>
      <c r="E204" s="843"/>
      <c r="F204" s="1116"/>
      <c r="G204" s="1117"/>
      <c r="H204" s="868"/>
      <c r="I204" s="1118"/>
      <c r="J204" s="1138"/>
      <c r="K204" s="1138"/>
      <c r="L204" s="870"/>
      <c r="M204" s="868"/>
      <c r="N204" s="1118"/>
      <c r="O204" s="1119"/>
      <c r="P204" s="884"/>
      <c r="Q204" s="885"/>
      <c r="R204" s="843"/>
      <c r="S204" s="843"/>
      <c r="T204" s="843"/>
      <c r="U204" s="843"/>
      <c r="V204" s="843"/>
      <c r="W204" s="843"/>
      <c r="X204" s="870"/>
      <c r="Y204" s="843" t="str">
        <f>IF(OR(ISNA(MATCH(MID(X204,1,3)*1,UomConversion!$D$8:$D$500,0)),H204=""),"",IF(AV204="","",AV204))</f>
        <v/>
      </c>
      <c r="Z204" s="843" t="str">
        <f>IF(AND(AU204&gt;0,COUNTIFS(UomConversion!$D$8:$D$500,MID(X204,1,3)*1,UomConversion!$J$8:$J$500,1)&gt;1),TEXT(AU204,"000")&amp;"."&amp;VLOOKUP(AU204,uom_list,5,FALSE),"")</f>
        <v/>
      </c>
      <c r="AA204" s="843">
        <f t="shared" si="40"/>
        <v>0</v>
      </c>
      <c r="AB204" s="843" t="str">
        <f t="shared" si="38"/>
        <v/>
      </c>
      <c r="AC204" s="843">
        <f t="shared" si="41"/>
        <v>2</v>
      </c>
      <c r="AD204" s="1219"/>
      <c r="AE204" s="1219"/>
      <c r="AF204" s="1215"/>
      <c r="AG204" s="1215"/>
      <c r="AH204" s="1215"/>
      <c r="AI204" s="1215"/>
      <c r="AJ204" s="1216"/>
      <c r="AK204" s="1216"/>
      <c r="AL204" s="1216"/>
      <c r="AM204" s="1216"/>
      <c r="AN204" s="1216"/>
      <c r="AO204" s="1216"/>
      <c r="AP204" s="1216"/>
      <c r="AQ204" s="1216"/>
      <c r="AR204" s="1216"/>
      <c r="AS204" s="1216"/>
      <c r="AT204" s="1216"/>
      <c r="AU204" s="1120" t="str" cm="1">
        <f t="array" ref="AU204">IF(H204="","",Slookup(MID(X204,1,3)*1,UomConversion!$D$8:$J$500,2,UomConversion!$I$8:$I$500,1,UomConversion!$J$8:$J$500,1))</f>
        <v/>
      </c>
      <c r="AV204" s="401" t="str">
        <f t="shared" si="42"/>
        <v/>
      </c>
      <c r="AW204" s="757" t="str">
        <f t="shared" si="43"/>
        <v/>
      </c>
      <c r="AX204" s="757" t="str">
        <f t="shared" si="44"/>
        <v/>
      </c>
      <c r="AY204" s="757" t="str">
        <f t="shared" si="45"/>
        <v/>
      </c>
      <c r="AZ204" s="1209" cm="1">
        <f t="array" ref="AZ204">IF(Y204="",1,Slookup(MID(X204,1,3)*1,UomConversion!$D$8:$J$500,5,UomConversion!$E$8:$E$500,MID(Y204,1,3)*1,UomConversion!$I$8:$I$500,1))</f>
        <v>1</v>
      </c>
      <c r="BA204" s="1209" cm="1">
        <f t="array" ref="BA204">IF(Z204="",1,Slookup(MID(X204,1,3)*1,UomConversion!$D$8:$J$500,5,UomConversion!$E$8:$E$500,MID(Z204,1,3)*1,UomConversion!$I$8:$I$500,1))</f>
        <v>1</v>
      </c>
      <c r="BB204" s="1217">
        <f t="shared" si="39"/>
        <v>0</v>
      </c>
      <c r="BC204" s="1217"/>
      <c r="BD204" s="1217"/>
    </row>
    <row r="205" spans="2:56" s="1120" customFormat="1" ht="24.95" customHeight="1">
      <c r="B205" s="445"/>
      <c r="C205" s="843"/>
      <c r="D205" s="843"/>
      <c r="E205" s="843"/>
      <c r="F205" s="1116"/>
      <c r="G205" s="1117"/>
      <c r="H205" s="868"/>
      <c r="I205" s="1118"/>
      <c r="J205" s="1138"/>
      <c r="K205" s="1138"/>
      <c r="L205" s="870"/>
      <c r="M205" s="868"/>
      <c r="N205" s="1118"/>
      <c r="O205" s="1119"/>
      <c r="P205" s="884"/>
      <c r="Q205" s="885"/>
      <c r="R205" s="843"/>
      <c r="S205" s="843"/>
      <c r="T205" s="843"/>
      <c r="U205" s="843"/>
      <c r="V205" s="843"/>
      <c r="W205" s="843"/>
      <c r="X205" s="870"/>
      <c r="Y205" s="843" t="str">
        <f>IF(OR(ISNA(MATCH(MID(X205,1,3)*1,UomConversion!$D$8:$D$500,0)),H205=""),"",IF(AV205="","",AV205))</f>
        <v/>
      </c>
      <c r="Z205" s="843" t="str">
        <f>IF(AND(AU205&gt;0,COUNTIFS(UomConversion!$D$8:$D$500,MID(X205,1,3)*1,UomConversion!$J$8:$J$500,1)&gt;1),TEXT(AU205,"000")&amp;"."&amp;VLOOKUP(AU205,uom_list,5,FALSE),"")</f>
        <v/>
      </c>
      <c r="AA205" s="843">
        <f t="shared" si="40"/>
        <v>0</v>
      </c>
      <c r="AB205" s="843" t="str">
        <f t="shared" si="38"/>
        <v/>
      </c>
      <c r="AC205" s="843">
        <f t="shared" si="41"/>
        <v>2</v>
      </c>
      <c r="AD205" s="1219"/>
      <c r="AE205" s="1219"/>
      <c r="AF205" s="1215"/>
      <c r="AG205" s="1215"/>
      <c r="AH205" s="1215"/>
      <c r="AI205" s="1215"/>
      <c r="AJ205" s="1216"/>
      <c r="AK205" s="1216"/>
      <c r="AL205" s="1216"/>
      <c r="AM205" s="1216"/>
      <c r="AN205" s="1216"/>
      <c r="AO205" s="1216"/>
      <c r="AP205" s="1216"/>
      <c r="AQ205" s="1216"/>
      <c r="AR205" s="1216"/>
      <c r="AS205" s="1216"/>
      <c r="AT205" s="1216"/>
      <c r="AU205" s="1120" t="str" cm="1">
        <f t="array" ref="AU205">IF(H205="","",Slookup(MID(X205,1,3)*1,UomConversion!$D$8:$J$500,2,UomConversion!$I$8:$I$500,1,UomConversion!$J$8:$J$500,1))</f>
        <v/>
      </c>
      <c r="AV205" s="401" t="str">
        <f t="shared" si="42"/>
        <v/>
      </c>
      <c r="AW205" s="757" t="str">
        <f t="shared" si="43"/>
        <v/>
      </c>
      <c r="AX205" s="757" t="str">
        <f t="shared" si="44"/>
        <v/>
      </c>
      <c r="AY205" s="757" t="str">
        <f t="shared" si="45"/>
        <v/>
      </c>
      <c r="AZ205" s="1209" cm="1">
        <f t="array" ref="AZ205">IF(Y205="",1,Slookup(MID(X205,1,3)*1,UomConversion!$D$8:$J$500,5,UomConversion!$E$8:$E$500,MID(Y205,1,3)*1,UomConversion!$I$8:$I$500,1))</f>
        <v>1</v>
      </c>
      <c r="BA205" s="1209" cm="1">
        <f t="array" ref="BA205">IF(Z205="",1,Slookup(MID(X205,1,3)*1,UomConversion!$D$8:$J$500,5,UomConversion!$E$8:$E$500,MID(Z205,1,3)*1,UomConversion!$I$8:$I$500,1))</f>
        <v>1</v>
      </c>
      <c r="BB205" s="1217">
        <f t="shared" si="39"/>
        <v>0</v>
      </c>
      <c r="BC205" s="1217"/>
      <c r="BD205" s="1217"/>
    </row>
    <row r="206" spans="2:56" s="1120" customFormat="1" ht="24.95" customHeight="1">
      <c r="B206" s="445"/>
      <c r="C206" s="843"/>
      <c r="D206" s="843"/>
      <c r="E206" s="843"/>
      <c r="F206" s="1116"/>
      <c r="G206" s="1117"/>
      <c r="H206" s="868"/>
      <c r="I206" s="1118"/>
      <c r="J206" s="1138"/>
      <c r="K206" s="1138"/>
      <c r="L206" s="870"/>
      <c r="M206" s="868"/>
      <c r="N206" s="1118"/>
      <c r="O206" s="1119"/>
      <c r="P206" s="884"/>
      <c r="Q206" s="885"/>
      <c r="R206" s="843"/>
      <c r="S206" s="843"/>
      <c r="T206" s="843"/>
      <c r="U206" s="843"/>
      <c r="V206" s="843"/>
      <c r="W206" s="843"/>
      <c r="X206" s="870"/>
      <c r="Y206" s="843" t="str">
        <f>IF(OR(ISNA(MATCH(MID(X206,1,3)*1,UomConversion!$D$8:$D$500,0)),H206=""),"",IF(AV206="","",AV206))</f>
        <v/>
      </c>
      <c r="Z206" s="843" t="str">
        <f>IF(AND(AU206&gt;0,COUNTIFS(UomConversion!$D$8:$D$500,MID(X206,1,3)*1,UomConversion!$J$8:$J$500,1)&gt;1),TEXT(AU206,"000")&amp;"."&amp;VLOOKUP(AU206,uom_list,5,FALSE),"")</f>
        <v/>
      </c>
      <c r="AA206" s="843">
        <f t="shared" si="40"/>
        <v>0</v>
      </c>
      <c r="AB206" s="843" t="str">
        <f t="shared" si="38"/>
        <v/>
      </c>
      <c r="AC206" s="843">
        <f t="shared" si="41"/>
        <v>2</v>
      </c>
      <c r="AD206" s="1219"/>
      <c r="AE206" s="1219"/>
      <c r="AF206" s="1215"/>
      <c r="AG206" s="1215"/>
      <c r="AH206" s="1215"/>
      <c r="AI206" s="1215"/>
      <c r="AJ206" s="1216"/>
      <c r="AK206" s="1216"/>
      <c r="AL206" s="1216"/>
      <c r="AM206" s="1216"/>
      <c r="AN206" s="1216"/>
      <c r="AO206" s="1216"/>
      <c r="AP206" s="1216"/>
      <c r="AQ206" s="1216"/>
      <c r="AR206" s="1216"/>
      <c r="AS206" s="1216"/>
      <c r="AT206" s="1216"/>
      <c r="AU206" s="1120" t="str" cm="1">
        <f t="array" ref="AU206">IF(H206="","",Slookup(MID(X206,1,3)*1,UomConversion!$D$8:$J$500,2,UomConversion!$I$8:$I$500,1,UomConversion!$J$8:$J$500,1))</f>
        <v/>
      </c>
      <c r="AV206" s="401" t="str">
        <f t="shared" si="42"/>
        <v/>
      </c>
      <c r="AW206" s="757" t="str">
        <f t="shared" si="43"/>
        <v/>
      </c>
      <c r="AX206" s="757" t="str">
        <f t="shared" si="44"/>
        <v/>
      </c>
      <c r="AY206" s="757" t="str">
        <f t="shared" si="45"/>
        <v/>
      </c>
      <c r="AZ206" s="1209" cm="1">
        <f t="array" ref="AZ206">IF(Y206="",1,Slookup(MID(X206,1,3)*1,UomConversion!$D$8:$J$500,5,UomConversion!$E$8:$E$500,MID(Y206,1,3)*1,UomConversion!$I$8:$I$500,1))</f>
        <v>1</v>
      </c>
      <c r="BA206" s="1209" cm="1">
        <f t="array" ref="BA206">IF(Z206="",1,Slookup(MID(X206,1,3)*1,UomConversion!$D$8:$J$500,5,UomConversion!$E$8:$E$500,MID(Z206,1,3)*1,UomConversion!$I$8:$I$500,1))</f>
        <v>1</v>
      </c>
      <c r="BB206" s="1217">
        <f t="shared" si="39"/>
        <v>0</v>
      </c>
      <c r="BC206" s="1217"/>
      <c r="BD206" s="1217"/>
    </row>
    <row r="207" spans="2:56" s="1120" customFormat="1" ht="24.95" customHeight="1">
      <c r="B207" s="445"/>
      <c r="C207" s="843"/>
      <c r="D207" s="843"/>
      <c r="E207" s="843"/>
      <c r="F207" s="1116"/>
      <c r="G207" s="1117"/>
      <c r="H207" s="868"/>
      <c r="I207" s="1118"/>
      <c r="J207" s="1138"/>
      <c r="K207" s="1138"/>
      <c r="L207" s="870"/>
      <c r="M207" s="868"/>
      <c r="N207" s="1118"/>
      <c r="O207" s="1119"/>
      <c r="P207" s="884"/>
      <c r="Q207" s="885"/>
      <c r="R207" s="843"/>
      <c r="S207" s="843"/>
      <c r="T207" s="843"/>
      <c r="U207" s="843"/>
      <c r="V207" s="843"/>
      <c r="W207" s="843"/>
      <c r="X207" s="870"/>
      <c r="Y207" s="843" t="str">
        <f>IF(OR(ISNA(MATCH(MID(X207,1,3)*1,UomConversion!$D$8:$D$500,0)),H207=""),"",IF(AV207="","",AV207))</f>
        <v/>
      </c>
      <c r="Z207" s="843" t="str">
        <f>IF(AND(AU207&gt;0,COUNTIFS(UomConversion!$D$8:$D$500,MID(X207,1,3)*1,UomConversion!$J$8:$J$500,1)&gt;1),TEXT(AU207,"000")&amp;"."&amp;VLOOKUP(AU207,uom_list,5,FALSE),"")</f>
        <v/>
      </c>
      <c r="AA207" s="843">
        <f t="shared" si="40"/>
        <v>0</v>
      </c>
      <c r="AB207" s="843" t="str">
        <f t="shared" si="38"/>
        <v/>
      </c>
      <c r="AC207" s="843">
        <f t="shared" si="41"/>
        <v>2</v>
      </c>
      <c r="AD207" s="1219"/>
      <c r="AE207" s="1219"/>
      <c r="AF207" s="1215"/>
      <c r="AG207" s="1215"/>
      <c r="AH207" s="1215"/>
      <c r="AI207" s="1215"/>
      <c r="AJ207" s="1216"/>
      <c r="AK207" s="1216"/>
      <c r="AL207" s="1216"/>
      <c r="AM207" s="1216"/>
      <c r="AN207" s="1216"/>
      <c r="AO207" s="1216"/>
      <c r="AP207" s="1216"/>
      <c r="AQ207" s="1216"/>
      <c r="AR207" s="1216"/>
      <c r="AS207" s="1216"/>
      <c r="AT207" s="1216"/>
      <c r="AU207" s="1120" t="str" cm="1">
        <f t="array" ref="AU207">IF(H207="","",Slookup(MID(X207,1,3)*1,UomConversion!$D$8:$J$500,2,UomConversion!$I$8:$I$500,1,UomConversion!$J$8:$J$500,1))</f>
        <v/>
      </c>
      <c r="AV207" s="401" t="str">
        <f t="shared" si="42"/>
        <v/>
      </c>
      <c r="AW207" s="757" t="str">
        <f t="shared" si="43"/>
        <v/>
      </c>
      <c r="AX207" s="757" t="str">
        <f t="shared" si="44"/>
        <v/>
      </c>
      <c r="AY207" s="757" t="str">
        <f t="shared" si="45"/>
        <v/>
      </c>
      <c r="AZ207" s="1209" cm="1">
        <f t="array" ref="AZ207">IF(Y207="",1,Slookup(MID(X207,1,3)*1,UomConversion!$D$8:$J$500,5,UomConversion!$E$8:$E$500,MID(Y207,1,3)*1,UomConversion!$I$8:$I$500,1))</f>
        <v>1</v>
      </c>
      <c r="BA207" s="1209" cm="1">
        <f t="array" ref="BA207">IF(Z207="",1,Slookup(MID(X207,1,3)*1,UomConversion!$D$8:$J$500,5,UomConversion!$E$8:$E$500,MID(Z207,1,3)*1,UomConversion!$I$8:$I$500,1))</f>
        <v>1</v>
      </c>
      <c r="BB207" s="1217">
        <f t="shared" si="39"/>
        <v>0</v>
      </c>
      <c r="BC207" s="1217"/>
      <c r="BD207" s="1217"/>
    </row>
    <row r="208" spans="2:56" s="1120" customFormat="1" ht="24.95" customHeight="1">
      <c r="B208" s="445"/>
      <c r="C208" s="843"/>
      <c r="D208" s="843"/>
      <c r="E208" s="843"/>
      <c r="F208" s="1116"/>
      <c r="G208" s="1117"/>
      <c r="H208" s="868"/>
      <c r="I208" s="1118"/>
      <c r="J208" s="1138"/>
      <c r="K208" s="1138"/>
      <c r="L208" s="870"/>
      <c r="M208" s="868"/>
      <c r="N208" s="1118"/>
      <c r="O208" s="1119"/>
      <c r="P208" s="884"/>
      <c r="Q208" s="885"/>
      <c r="R208" s="843"/>
      <c r="S208" s="843"/>
      <c r="T208" s="843"/>
      <c r="U208" s="843"/>
      <c r="V208" s="843"/>
      <c r="W208" s="843"/>
      <c r="X208" s="870"/>
      <c r="Y208" s="843" t="str">
        <f>IF(OR(ISNA(MATCH(MID(X208,1,3)*1,UomConversion!$D$8:$D$500,0)),H208=""),"",IF(AV208="","",AV208))</f>
        <v/>
      </c>
      <c r="Z208" s="843" t="str">
        <f>IF(AND(AU208&gt;0,COUNTIFS(UomConversion!$D$8:$D$500,MID(X208,1,3)*1,UomConversion!$J$8:$J$500,1)&gt;1),TEXT(AU208,"000")&amp;"."&amp;VLOOKUP(AU208,uom_list,5,FALSE),"")</f>
        <v/>
      </c>
      <c r="AA208" s="843">
        <f t="shared" si="40"/>
        <v>0</v>
      </c>
      <c r="AB208" s="843" t="str">
        <f t="shared" si="38"/>
        <v/>
      </c>
      <c r="AC208" s="843">
        <f t="shared" si="41"/>
        <v>2</v>
      </c>
      <c r="AD208" s="1219"/>
      <c r="AE208" s="1219"/>
      <c r="AF208" s="1215"/>
      <c r="AG208" s="1215"/>
      <c r="AH208" s="1215"/>
      <c r="AI208" s="1215"/>
      <c r="AJ208" s="1216"/>
      <c r="AK208" s="1216"/>
      <c r="AL208" s="1216"/>
      <c r="AM208" s="1216"/>
      <c r="AN208" s="1216"/>
      <c r="AO208" s="1216"/>
      <c r="AP208" s="1216"/>
      <c r="AQ208" s="1216"/>
      <c r="AR208" s="1216"/>
      <c r="AS208" s="1216"/>
      <c r="AT208" s="1216"/>
      <c r="AU208" s="1120" t="str" cm="1">
        <f t="array" ref="AU208">IF(H208="","",Slookup(MID(X208,1,3)*1,UomConversion!$D$8:$J$500,2,UomConversion!$I$8:$I$500,1,UomConversion!$J$8:$J$500,1))</f>
        <v/>
      </c>
      <c r="AV208" s="401" t="str">
        <f t="shared" si="42"/>
        <v/>
      </c>
      <c r="AW208" s="757" t="str">
        <f t="shared" si="43"/>
        <v/>
      </c>
      <c r="AX208" s="757" t="str">
        <f t="shared" si="44"/>
        <v/>
      </c>
      <c r="AY208" s="757" t="str">
        <f t="shared" si="45"/>
        <v/>
      </c>
      <c r="AZ208" s="1209" cm="1">
        <f t="array" ref="AZ208">IF(Y208="",1,Slookup(MID(X208,1,3)*1,UomConversion!$D$8:$J$500,5,UomConversion!$E$8:$E$500,MID(Y208,1,3)*1,UomConversion!$I$8:$I$500,1))</f>
        <v>1</v>
      </c>
      <c r="BA208" s="1209" cm="1">
        <f t="array" ref="BA208">IF(Z208="",1,Slookup(MID(X208,1,3)*1,UomConversion!$D$8:$J$500,5,UomConversion!$E$8:$E$500,MID(Z208,1,3)*1,UomConversion!$I$8:$I$500,1))</f>
        <v>1</v>
      </c>
      <c r="BB208" s="1217">
        <f t="shared" si="39"/>
        <v>0</v>
      </c>
      <c r="BC208" s="1217"/>
      <c r="BD208" s="1217"/>
    </row>
    <row r="209" spans="2:56" s="1120" customFormat="1" ht="24.95" customHeight="1">
      <c r="B209" s="445"/>
      <c r="C209" s="843"/>
      <c r="D209" s="843"/>
      <c r="E209" s="843"/>
      <c r="F209" s="1116"/>
      <c r="G209" s="1117"/>
      <c r="H209" s="868"/>
      <c r="I209" s="1118"/>
      <c r="J209" s="1138"/>
      <c r="K209" s="1138"/>
      <c r="L209" s="870"/>
      <c r="M209" s="868"/>
      <c r="N209" s="1118"/>
      <c r="O209" s="1119"/>
      <c r="P209" s="884"/>
      <c r="Q209" s="885"/>
      <c r="R209" s="843"/>
      <c r="S209" s="843"/>
      <c r="T209" s="843"/>
      <c r="U209" s="843"/>
      <c r="V209" s="843"/>
      <c r="W209" s="843"/>
      <c r="X209" s="870"/>
      <c r="Y209" s="843" t="str">
        <f>IF(OR(ISNA(MATCH(MID(X209,1,3)*1,UomConversion!$D$8:$D$500,0)),H209=""),"",IF(AV209="","",AV209))</f>
        <v/>
      </c>
      <c r="Z209" s="843" t="str">
        <f>IF(AND(AU209&gt;0,COUNTIFS(UomConversion!$D$8:$D$500,MID(X209,1,3)*1,UomConversion!$J$8:$J$500,1)&gt;1),TEXT(AU209,"000")&amp;"."&amp;VLOOKUP(AU209,uom_list,5,FALSE),"")</f>
        <v/>
      </c>
      <c r="AA209" s="843">
        <f t="shared" si="40"/>
        <v>0</v>
      </c>
      <c r="AB209" s="843" t="str">
        <f t="shared" si="38"/>
        <v/>
      </c>
      <c r="AC209" s="843">
        <f t="shared" si="41"/>
        <v>2</v>
      </c>
      <c r="AD209" s="1219"/>
      <c r="AE209" s="1219"/>
      <c r="AF209" s="1215"/>
      <c r="AG209" s="1215"/>
      <c r="AH209" s="1215"/>
      <c r="AI209" s="1215"/>
      <c r="AJ209" s="1216"/>
      <c r="AK209" s="1216"/>
      <c r="AL209" s="1216"/>
      <c r="AM209" s="1216"/>
      <c r="AN209" s="1216"/>
      <c r="AO209" s="1216"/>
      <c r="AP209" s="1216"/>
      <c r="AQ209" s="1216"/>
      <c r="AR209" s="1216"/>
      <c r="AS209" s="1216"/>
      <c r="AT209" s="1216"/>
      <c r="AU209" s="1120" t="str" cm="1">
        <f t="array" ref="AU209">IF(H209="","",Slookup(MID(X209,1,3)*1,UomConversion!$D$8:$J$500,2,UomConversion!$I$8:$I$500,1,UomConversion!$J$8:$J$500,1))</f>
        <v/>
      </c>
      <c r="AV209" s="401" t="str">
        <f t="shared" si="42"/>
        <v/>
      </c>
      <c r="AW209" s="757" t="str">
        <f t="shared" si="43"/>
        <v/>
      </c>
      <c r="AX209" s="757" t="str">
        <f t="shared" si="44"/>
        <v/>
      </c>
      <c r="AY209" s="757" t="str">
        <f t="shared" si="45"/>
        <v/>
      </c>
      <c r="AZ209" s="1209" cm="1">
        <f t="array" ref="AZ209">IF(Y209="",1,Slookup(MID(X209,1,3)*1,UomConversion!$D$8:$J$500,5,UomConversion!$E$8:$E$500,MID(Y209,1,3)*1,UomConversion!$I$8:$I$500,1))</f>
        <v>1</v>
      </c>
      <c r="BA209" s="1209" cm="1">
        <f t="array" ref="BA209">IF(Z209="",1,Slookup(MID(X209,1,3)*1,UomConversion!$D$8:$J$500,5,UomConversion!$E$8:$E$500,MID(Z209,1,3)*1,UomConversion!$I$8:$I$500,1))</f>
        <v>1</v>
      </c>
      <c r="BB209" s="1217">
        <f t="shared" si="39"/>
        <v>0</v>
      </c>
      <c r="BC209" s="1217"/>
      <c r="BD209" s="1217"/>
    </row>
    <row r="210" spans="2:56" s="1120" customFormat="1" ht="24.95" customHeight="1">
      <c r="B210" s="445"/>
      <c r="C210" s="843"/>
      <c r="D210" s="843"/>
      <c r="E210" s="843"/>
      <c r="F210" s="1116"/>
      <c r="G210" s="1117"/>
      <c r="H210" s="868"/>
      <c r="I210" s="1118"/>
      <c r="J210" s="1138"/>
      <c r="K210" s="1138"/>
      <c r="L210" s="870"/>
      <c r="M210" s="868"/>
      <c r="N210" s="1118"/>
      <c r="O210" s="1119"/>
      <c r="P210" s="884"/>
      <c r="Q210" s="885"/>
      <c r="R210" s="843"/>
      <c r="S210" s="843"/>
      <c r="T210" s="843"/>
      <c r="U210" s="843"/>
      <c r="V210" s="843"/>
      <c r="W210" s="843"/>
      <c r="X210" s="870"/>
      <c r="Y210" s="843" t="str">
        <f>IF(OR(ISNA(MATCH(MID(X210,1,3)*1,UomConversion!$D$8:$D$500,0)),H210=""),"",IF(AV210="","",AV210))</f>
        <v/>
      </c>
      <c r="Z210" s="843" t="str">
        <f>IF(AND(AU210&gt;0,COUNTIFS(UomConversion!$D$8:$D$500,MID(X210,1,3)*1,UomConversion!$J$8:$J$500,1)&gt;1),TEXT(AU210,"000")&amp;"."&amp;VLOOKUP(AU210,uom_list,5,FALSE),"")</f>
        <v/>
      </c>
      <c r="AA210" s="843">
        <f t="shared" si="40"/>
        <v>0</v>
      </c>
      <c r="AB210" s="843" t="str">
        <f t="shared" si="38"/>
        <v/>
      </c>
      <c r="AC210" s="843">
        <f t="shared" si="41"/>
        <v>2</v>
      </c>
      <c r="AD210" s="1219"/>
      <c r="AE210" s="1219"/>
      <c r="AF210" s="1215"/>
      <c r="AG210" s="1215"/>
      <c r="AH210" s="1215"/>
      <c r="AI210" s="1215"/>
      <c r="AJ210" s="1216"/>
      <c r="AK210" s="1216"/>
      <c r="AL210" s="1216"/>
      <c r="AM210" s="1216"/>
      <c r="AN210" s="1216"/>
      <c r="AO210" s="1216"/>
      <c r="AP210" s="1216"/>
      <c r="AQ210" s="1216"/>
      <c r="AR210" s="1216"/>
      <c r="AS210" s="1216"/>
      <c r="AT210" s="1216"/>
      <c r="AU210" s="1120" t="str" cm="1">
        <f t="array" ref="AU210">IF(H210="","",Slookup(MID(X210,1,3)*1,UomConversion!$D$8:$J$500,2,UomConversion!$I$8:$I$500,1,UomConversion!$J$8:$J$500,1))</f>
        <v/>
      </c>
      <c r="AV210" s="401" t="str">
        <f t="shared" si="42"/>
        <v/>
      </c>
      <c r="AW210" s="757" t="str">
        <f t="shared" si="43"/>
        <v/>
      </c>
      <c r="AX210" s="757" t="str">
        <f t="shared" si="44"/>
        <v/>
      </c>
      <c r="AY210" s="757" t="str">
        <f t="shared" si="45"/>
        <v/>
      </c>
      <c r="AZ210" s="1209" cm="1">
        <f t="array" ref="AZ210">IF(Y210="",1,Slookup(MID(X210,1,3)*1,UomConversion!$D$8:$J$500,5,UomConversion!$E$8:$E$500,MID(Y210,1,3)*1,UomConversion!$I$8:$I$500,1))</f>
        <v>1</v>
      </c>
      <c r="BA210" s="1209" cm="1">
        <f t="array" ref="BA210">IF(Z210="",1,Slookup(MID(X210,1,3)*1,UomConversion!$D$8:$J$500,5,UomConversion!$E$8:$E$500,MID(Z210,1,3)*1,UomConversion!$I$8:$I$500,1))</f>
        <v>1</v>
      </c>
      <c r="BB210" s="1217">
        <f t="shared" si="39"/>
        <v>0</v>
      </c>
      <c r="BC210" s="1217"/>
      <c r="BD210" s="1217"/>
    </row>
    <row r="211" spans="2:56" s="1120" customFormat="1" ht="24.95" customHeight="1">
      <c r="B211" s="445"/>
      <c r="C211" s="843"/>
      <c r="D211" s="843"/>
      <c r="E211" s="843"/>
      <c r="F211" s="1116"/>
      <c r="G211" s="1117"/>
      <c r="H211" s="868"/>
      <c r="I211" s="1118"/>
      <c r="J211" s="1138"/>
      <c r="K211" s="1138"/>
      <c r="L211" s="870"/>
      <c r="M211" s="868"/>
      <c r="N211" s="1118"/>
      <c r="O211" s="1119"/>
      <c r="P211" s="884"/>
      <c r="Q211" s="885"/>
      <c r="R211" s="843"/>
      <c r="S211" s="843"/>
      <c r="T211" s="843"/>
      <c r="U211" s="843"/>
      <c r="V211" s="843"/>
      <c r="W211" s="843"/>
      <c r="X211" s="870"/>
      <c r="Y211" s="843" t="str">
        <f>IF(OR(ISNA(MATCH(MID(X211,1,3)*1,UomConversion!$D$8:$D$500,0)),H211=""),"",IF(AV211="","",AV211))</f>
        <v/>
      </c>
      <c r="Z211" s="843" t="str">
        <f>IF(AND(AU211&gt;0,COUNTIFS(UomConversion!$D$8:$D$500,MID(X211,1,3)*1,UomConversion!$J$8:$J$500,1)&gt;1),TEXT(AU211,"000")&amp;"."&amp;VLOOKUP(AU211,uom_list,5,FALSE),"")</f>
        <v/>
      </c>
      <c r="AA211" s="843">
        <f t="shared" si="40"/>
        <v>0</v>
      </c>
      <c r="AB211" s="843" t="str">
        <f t="shared" si="38"/>
        <v/>
      </c>
      <c r="AC211" s="843">
        <f t="shared" si="41"/>
        <v>2</v>
      </c>
      <c r="AD211" s="1219"/>
      <c r="AE211" s="1219"/>
      <c r="AF211" s="1215"/>
      <c r="AG211" s="1215"/>
      <c r="AH211" s="1215"/>
      <c r="AI211" s="1215"/>
      <c r="AJ211" s="1216"/>
      <c r="AK211" s="1216"/>
      <c r="AL211" s="1216"/>
      <c r="AM211" s="1216"/>
      <c r="AN211" s="1216"/>
      <c r="AO211" s="1216"/>
      <c r="AP211" s="1216"/>
      <c r="AQ211" s="1216"/>
      <c r="AR211" s="1216"/>
      <c r="AS211" s="1216"/>
      <c r="AT211" s="1216"/>
      <c r="AU211" s="1120" t="str" cm="1">
        <f t="array" ref="AU211">IF(H211="","",Slookup(MID(X211,1,3)*1,UomConversion!$D$8:$J$500,2,UomConversion!$I$8:$I$500,1,UomConversion!$J$8:$J$500,1))</f>
        <v/>
      </c>
      <c r="AV211" s="401" t="str">
        <f t="shared" si="42"/>
        <v/>
      </c>
      <c r="AW211" s="757" t="str">
        <f t="shared" si="43"/>
        <v/>
      </c>
      <c r="AX211" s="757" t="str">
        <f t="shared" si="44"/>
        <v/>
      </c>
      <c r="AY211" s="757" t="str">
        <f t="shared" si="45"/>
        <v/>
      </c>
      <c r="AZ211" s="1209" cm="1">
        <f t="array" ref="AZ211">IF(Y211="",1,Slookup(MID(X211,1,3)*1,UomConversion!$D$8:$J$500,5,UomConversion!$E$8:$E$500,MID(Y211,1,3)*1,UomConversion!$I$8:$I$500,1))</f>
        <v>1</v>
      </c>
      <c r="BA211" s="1209" cm="1">
        <f t="array" ref="BA211">IF(Z211="",1,Slookup(MID(X211,1,3)*1,UomConversion!$D$8:$J$500,5,UomConversion!$E$8:$E$500,MID(Z211,1,3)*1,UomConversion!$I$8:$I$500,1))</f>
        <v>1</v>
      </c>
      <c r="BB211" s="1217">
        <f t="shared" si="39"/>
        <v>0</v>
      </c>
      <c r="BC211" s="1217"/>
      <c r="BD211" s="1217"/>
    </row>
    <row r="212" spans="2:56" s="1120" customFormat="1" ht="24.95" customHeight="1">
      <c r="B212" s="445"/>
      <c r="C212" s="843"/>
      <c r="D212" s="843"/>
      <c r="E212" s="843"/>
      <c r="F212" s="1116"/>
      <c r="G212" s="1117"/>
      <c r="H212" s="868"/>
      <c r="I212" s="1118"/>
      <c r="J212" s="1138"/>
      <c r="K212" s="1138"/>
      <c r="L212" s="870"/>
      <c r="M212" s="868"/>
      <c r="N212" s="1118"/>
      <c r="O212" s="1119"/>
      <c r="P212" s="884"/>
      <c r="Q212" s="885"/>
      <c r="R212" s="843"/>
      <c r="S212" s="843"/>
      <c r="T212" s="843"/>
      <c r="U212" s="843"/>
      <c r="V212" s="843"/>
      <c r="W212" s="843"/>
      <c r="X212" s="870"/>
      <c r="Y212" s="843" t="str">
        <f>IF(OR(ISNA(MATCH(MID(X212,1,3)*1,UomConversion!$D$8:$D$500,0)),H212=""),"",IF(AV212="","",AV212))</f>
        <v/>
      </c>
      <c r="Z212" s="843" t="str">
        <f>IF(AND(AU212&gt;0,COUNTIFS(UomConversion!$D$8:$D$500,MID(X212,1,3)*1,UomConversion!$J$8:$J$500,1)&gt;1),TEXT(AU212,"000")&amp;"."&amp;VLOOKUP(AU212,uom_list,5,FALSE),"")</f>
        <v/>
      </c>
      <c r="AA212" s="843">
        <f t="shared" ref="AA212:AA219" si="47">COUNT(AW212:AY212)</f>
        <v>0</v>
      </c>
      <c r="AB212" s="843" t="str">
        <f t="shared" si="38"/>
        <v/>
      </c>
      <c r="AC212" s="843">
        <f t="shared" ref="AC212:AC219" si="48">import_pro_number_of_price_type</f>
        <v>2</v>
      </c>
      <c r="AD212" s="1219"/>
      <c r="AE212" s="1219"/>
      <c r="AF212" s="1215"/>
      <c r="AG212" s="1215"/>
      <c r="AH212" s="1215"/>
      <c r="AI212" s="1215"/>
      <c r="AJ212" s="1216"/>
      <c r="AK212" s="1216"/>
      <c r="AL212" s="1216"/>
      <c r="AM212" s="1216"/>
      <c r="AN212" s="1216"/>
      <c r="AO212" s="1216"/>
      <c r="AP212" s="1216"/>
      <c r="AQ212" s="1216"/>
      <c r="AR212" s="1216"/>
      <c r="AS212" s="1216"/>
      <c r="AT212" s="1216"/>
      <c r="AU212" s="1120" t="str" cm="1">
        <f t="array" ref="AU212">IF(H212="","",Slookup(MID(X212,1,3)*1,UomConversion!$D$8:$J$500,2,UomConversion!$I$8:$I$500,1,UomConversion!$J$8:$J$500,1))</f>
        <v/>
      </c>
      <c r="AV212" s="401" t="str">
        <f t="shared" ref="AV212:AV219" si="49">IF(OR(ISNA(VLOOKUP(MID(X212,1,3)*1,uom_converion_list,2,FALSE)),H212=""),"",TEXT(VLOOKUP(MID(X212,1,3)*1,uom_converion_list,2,FALSE),"000")&amp;"."&amp;VLOOKUP(VLOOKUP(MID(X212,1,3)*1,uom_converion_list,2,FALSE),uom_list,5,FALSE))</f>
        <v/>
      </c>
      <c r="AW212" s="757" t="str">
        <f t="shared" ref="AW212:AW219" si="50">IF(X212="","",MID(X212,1,3)*1)</f>
        <v/>
      </c>
      <c r="AX212" s="757" t="str">
        <f t="shared" ref="AX212:AX219" si="51">IF(Y212="","",MID(Y212,1,3)*1)</f>
        <v/>
      </c>
      <c r="AY212" s="757" t="str">
        <f t="shared" ref="AY212:AY219" si="52">IF(Z212="","",MID(Z212,1,3)*1)</f>
        <v/>
      </c>
      <c r="AZ212" s="1209" cm="1">
        <f t="array" ref="AZ212">IF(Y212="",1,Slookup(MID(X212,1,3)*1,UomConversion!$D$8:$J$500,5,UomConversion!$E$8:$E$500,MID(Y212,1,3)*1,UomConversion!$I$8:$I$500,1))</f>
        <v>1</v>
      </c>
      <c r="BA212" s="1209" cm="1">
        <f t="array" ref="BA212">IF(Z212="",1,Slookup(MID(X212,1,3)*1,UomConversion!$D$8:$J$500,5,UomConversion!$E$8:$E$500,MID(Z212,1,3)*1,UomConversion!$I$8:$I$500,1))</f>
        <v>1</v>
      </c>
      <c r="BB212" s="1217">
        <f t="shared" si="39"/>
        <v>0</v>
      </c>
      <c r="BC212" s="1217"/>
      <c r="BD212" s="1217"/>
    </row>
    <row r="213" spans="2:56" s="1120" customFormat="1" ht="24.95" customHeight="1">
      <c r="B213" s="445"/>
      <c r="C213" s="843"/>
      <c r="D213" s="843"/>
      <c r="E213" s="843"/>
      <c r="F213" s="1116"/>
      <c r="G213" s="1117"/>
      <c r="H213" s="868"/>
      <c r="I213" s="1118"/>
      <c r="J213" s="1138"/>
      <c r="K213" s="1138"/>
      <c r="L213" s="870"/>
      <c r="M213" s="868"/>
      <c r="N213" s="1118"/>
      <c r="O213" s="1119"/>
      <c r="P213" s="884"/>
      <c r="Q213" s="885"/>
      <c r="R213" s="843"/>
      <c r="S213" s="843"/>
      <c r="T213" s="843"/>
      <c r="U213" s="843"/>
      <c r="V213" s="843"/>
      <c r="W213" s="843"/>
      <c r="X213" s="870"/>
      <c r="Y213" s="843" t="str">
        <f>IF(OR(ISNA(MATCH(MID(X213,1,3)*1,UomConversion!$D$8:$D$500,0)),H213=""),"",IF(AV213="","",AV213))</f>
        <v/>
      </c>
      <c r="Z213" s="843" t="str">
        <f>IF(AND(AU213&gt;0,COUNTIFS(UomConversion!$D$8:$D$500,MID(X213,1,3)*1,UomConversion!$J$8:$J$500,1)&gt;1),TEXT(AU213,"000")&amp;"."&amp;VLOOKUP(AU213,uom_list,5,FALSE),"")</f>
        <v/>
      </c>
      <c r="AA213" s="843">
        <f t="shared" si="47"/>
        <v>0</v>
      </c>
      <c r="AB213" s="843" t="str">
        <f t="shared" ref="AB213:AB219" si="53">_xlfn.TEXTJOIN(",",TRUE,AW213:AY213)</f>
        <v/>
      </c>
      <c r="AC213" s="843">
        <f t="shared" si="48"/>
        <v>2</v>
      </c>
      <c r="AD213" s="1219"/>
      <c r="AE213" s="1219"/>
      <c r="AF213" s="1215"/>
      <c r="AG213" s="1215"/>
      <c r="AH213" s="1215"/>
      <c r="AI213" s="1215"/>
      <c r="AJ213" s="1216"/>
      <c r="AK213" s="1216"/>
      <c r="AL213" s="1216"/>
      <c r="AM213" s="1216"/>
      <c r="AN213" s="1216"/>
      <c r="AO213" s="1216"/>
      <c r="AP213" s="1216"/>
      <c r="AQ213" s="1216"/>
      <c r="AR213" s="1216"/>
      <c r="AS213" s="1216"/>
      <c r="AT213" s="1216"/>
      <c r="AU213" s="1120" t="str" cm="1">
        <f t="array" ref="AU213">IF(H213="","",Slookup(MID(X213,1,3)*1,UomConversion!$D$8:$J$500,2,UomConversion!$I$8:$I$500,1,UomConversion!$J$8:$J$500,1))</f>
        <v/>
      </c>
      <c r="AV213" s="401" t="str">
        <f t="shared" si="49"/>
        <v/>
      </c>
      <c r="AW213" s="757" t="str">
        <f t="shared" si="50"/>
        <v/>
      </c>
      <c r="AX213" s="757" t="str">
        <f t="shared" si="51"/>
        <v/>
      </c>
      <c r="AY213" s="757" t="str">
        <f t="shared" si="52"/>
        <v/>
      </c>
      <c r="AZ213" s="1209" cm="1">
        <f t="array" ref="AZ213">IF(Y213="",1,Slookup(MID(X213,1,3)*1,UomConversion!$D$8:$J$500,5,UomConversion!$E$8:$E$500,MID(Y213,1,3)*1,UomConversion!$I$8:$I$500,1))</f>
        <v>1</v>
      </c>
      <c r="BA213" s="1209" cm="1">
        <f t="array" ref="BA213">IF(Z213="",1,Slookup(MID(X213,1,3)*1,UomConversion!$D$8:$J$500,5,UomConversion!$E$8:$E$500,MID(Z213,1,3)*1,UomConversion!$I$8:$I$500,1))</f>
        <v>1</v>
      </c>
      <c r="BB213" s="1217">
        <f t="shared" ref="BB213:BB219" si="54">IF(AA213=1,AE213,IF(AA213=2,AE213*R213,IF(AA213=3,AE213*BA213,0)))</f>
        <v>0</v>
      </c>
      <c r="BC213" s="1217"/>
      <c r="BD213" s="1217"/>
    </row>
    <row r="214" spans="2:56" s="1120" customFormat="1" ht="24.95" customHeight="1">
      <c r="B214" s="445"/>
      <c r="C214" s="843"/>
      <c r="D214" s="843"/>
      <c r="E214" s="843"/>
      <c r="F214" s="1116"/>
      <c r="G214" s="1117"/>
      <c r="H214" s="868"/>
      <c r="I214" s="1118"/>
      <c r="J214" s="1138"/>
      <c r="K214" s="1138"/>
      <c r="L214" s="870"/>
      <c r="M214" s="868"/>
      <c r="N214" s="1118"/>
      <c r="O214" s="1119"/>
      <c r="P214" s="884"/>
      <c r="Q214" s="885"/>
      <c r="R214" s="843"/>
      <c r="S214" s="843"/>
      <c r="T214" s="843"/>
      <c r="U214" s="843"/>
      <c r="V214" s="843"/>
      <c r="W214" s="843"/>
      <c r="X214" s="870"/>
      <c r="Y214" s="843" t="str">
        <f>IF(OR(ISNA(MATCH(MID(X214,1,3)*1,UomConversion!$D$8:$D$500,0)),H214=""),"",IF(AV214="","",AV214))</f>
        <v/>
      </c>
      <c r="Z214" s="843" t="str">
        <f>IF(AND(AU214&gt;0,COUNTIFS(UomConversion!$D$8:$D$500,MID(X214,1,3)*1,UomConversion!$J$8:$J$500,1)&gt;1),TEXT(AU214,"000")&amp;"."&amp;VLOOKUP(AU214,uom_list,5,FALSE),"")</f>
        <v/>
      </c>
      <c r="AA214" s="843">
        <f t="shared" si="47"/>
        <v>0</v>
      </c>
      <c r="AB214" s="843" t="str">
        <f t="shared" si="53"/>
        <v/>
      </c>
      <c r="AC214" s="843">
        <f t="shared" si="48"/>
        <v>2</v>
      </c>
      <c r="AD214" s="1219"/>
      <c r="AE214" s="1219"/>
      <c r="AF214" s="1215"/>
      <c r="AG214" s="1215"/>
      <c r="AH214" s="1215"/>
      <c r="AI214" s="1215"/>
      <c r="AJ214" s="1216"/>
      <c r="AK214" s="1216"/>
      <c r="AL214" s="1216"/>
      <c r="AM214" s="1216"/>
      <c r="AN214" s="1216"/>
      <c r="AO214" s="1216"/>
      <c r="AP214" s="1216"/>
      <c r="AQ214" s="1216"/>
      <c r="AR214" s="1216"/>
      <c r="AS214" s="1216"/>
      <c r="AT214" s="1216"/>
      <c r="AU214" s="1120" t="str" cm="1">
        <f t="array" ref="AU214">IF(H214="","",Slookup(MID(X214,1,3)*1,UomConversion!$D$8:$J$500,2,UomConversion!$I$8:$I$500,1,UomConversion!$J$8:$J$500,1))</f>
        <v/>
      </c>
      <c r="AV214" s="401" t="str">
        <f t="shared" si="49"/>
        <v/>
      </c>
      <c r="AW214" s="757" t="str">
        <f t="shared" si="50"/>
        <v/>
      </c>
      <c r="AX214" s="757" t="str">
        <f t="shared" si="51"/>
        <v/>
      </c>
      <c r="AY214" s="757" t="str">
        <f t="shared" si="52"/>
        <v/>
      </c>
      <c r="AZ214" s="1209" cm="1">
        <f t="array" ref="AZ214">IF(Y214="",1,Slookup(MID(X214,1,3)*1,UomConversion!$D$8:$J$500,5,UomConversion!$E$8:$E$500,MID(Y214,1,3)*1,UomConversion!$I$8:$I$500,1))</f>
        <v>1</v>
      </c>
      <c r="BA214" s="1209" cm="1">
        <f t="array" ref="BA214">IF(Z214="",1,Slookup(MID(X214,1,3)*1,UomConversion!$D$8:$J$500,5,UomConversion!$E$8:$E$500,MID(Z214,1,3)*1,UomConversion!$I$8:$I$500,1))</f>
        <v>1</v>
      </c>
      <c r="BB214" s="1217">
        <f t="shared" si="54"/>
        <v>0</v>
      </c>
      <c r="BC214" s="1217"/>
      <c r="BD214" s="1217"/>
    </row>
    <row r="215" spans="2:56" s="1120" customFormat="1" ht="24.95" customHeight="1">
      <c r="B215" s="445"/>
      <c r="C215" s="843"/>
      <c r="D215" s="843"/>
      <c r="E215" s="843"/>
      <c r="F215" s="1116"/>
      <c r="G215" s="1117"/>
      <c r="H215" s="868"/>
      <c r="I215" s="1118"/>
      <c r="J215" s="1138"/>
      <c r="K215" s="1138"/>
      <c r="L215" s="870"/>
      <c r="M215" s="868"/>
      <c r="N215" s="1118"/>
      <c r="O215" s="1119"/>
      <c r="P215" s="884"/>
      <c r="Q215" s="885"/>
      <c r="R215" s="843"/>
      <c r="S215" s="843"/>
      <c r="T215" s="843"/>
      <c r="U215" s="843"/>
      <c r="V215" s="843"/>
      <c r="W215" s="843"/>
      <c r="X215" s="870"/>
      <c r="Y215" s="843" t="str">
        <f>IF(OR(ISNA(MATCH(MID(X215,1,3)*1,UomConversion!$D$8:$D$500,0)),H215=""),"",IF(AV215="","",AV215))</f>
        <v/>
      </c>
      <c r="Z215" s="843" t="str">
        <f>IF(AND(AU215&gt;0,COUNTIFS(UomConversion!$D$8:$D$500,MID(X215,1,3)*1,UomConversion!$J$8:$J$500,1)&gt;1),TEXT(AU215,"000")&amp;"."&amp;VLOOKUP(AU215,uom_list,5,FALSE),"")</f>
        <v/>
      </c>
      <c r="AA215" s="843">
        <f t="shared" si="47"/>
        <v>0</v>
      </c>
      <c r="AB215" s="843" t="str">
        <f t="shared" si="53"/>
        <v/>
      </c>
      <c r="AC215" s="843">
        <f t="shared" si="48"/>
        <v>2</v>
      </c>
      <c r="AD215" s="1219"/>
      <c r="AE215" s="1219"/>
      <c r="AF215" s="1215"/>
      <c r="AG215" s="1215"/>
      <c r="AH215" s="1215"/>
      <c r="AI215" s="1215"/>
      <c r="AJ215" s="1216"/>
      <c r="AK215" s="1216"/>
      <c r="AL215" s="1216"/>
      <c r="AM215" s="1216"/>
      <c r="AN215" s="1216"/>
      <c r="AO215" s="1216"/>
      <c r="AP215" s="1216"/>
      <c r="AQ215" s="1216"/>
      <c r="AR215" s="1216"/>
      <c r="AS215" s="1216"/>
      <c r="AT215" s="1216"/>
      <c r="AU215" s="1120" t="str" cm="1">
        <f t="array" ref="AU215">IF(H215="","",Slookup(MID(X215,1,3)*1,UomConversion!$D$8:$J$500,2,UomConversion!$I$8:$I$500,1,UomConversion!$J$8:$J$500,1))</f>
        <v/>
      </c>
      <c r="AV215" s="401" t="str">
        <f t="shared" si="49"/>
        <v/>
      </c>
      <c r="AW215" s="757" t="str">
        <f t="shared" si="50"/>
        <v/>
      </c>
      <c r="AX215" s="757" t="str">
        <f t="shared" si="51"/>
        <v/>
      </c>
      <c r="AY215" s="757" t="str">
        <f t="shared" si="52"/>
        <v/>
      </c>
      <c r="AZ215" s="1209" cm="1">
        <f t="array" ref="AZ215">IF(Y215="",1,Slookup(MID(X215,1,3)*1,UomConversion!$D$8:$J$500,5,UomConversion!$E$8:$E$500,MID(Y215,1,3)*1,UomConversion!$I$8:$I$500,1))</f>
        <v>1</v>
      </c>
      <c r="BA215" s="1209" cm="1">
        <f t="array" ref="BA215">IF(Z215="",1,Slookup(MID(X215,1,3)*1,UomConversion!$D$8:$J$500,5,UomConversion!$E$8:$E$500,MID(Z215,1,3)*1,UomConversion!$I$8:$I$500,1))</f>
        <v>1</v>
      </c>
      <c r="BB215" s="1217">
        <f t="shared" si="54"/>
        <v>0</v>
      </c>
      <c r="BC215" s="1217"/>
      <c r="BD215" s="1217"/>
    </row>
    <row r="216" spans="2:56" s="1120" customFormat="1" ht="24.95" customHeight="1">
      <c r="B216" s="445"/>
      <c r="C216" s="843"/>
      <c r="D216" s="843"/>
      <c r="E216" s="843"/>
      <c r="F216" s="1116"/>
      <c r="G216" s="1117"/>
      <c r="H216" s="868"/>
      <c r="I216" s="1118"/>
      <c r="J216" s="1138"/>
      <c r="K216" s="1138"/>
      <c r="L216" s="870"/>
      <c r="M216" s="868"/>
      <c r="N216" s="1118"/>
      <c r="O216" s="1119"/>
      <c r="P216" s="884"/>
      <c r="Q216" s="885"/>
      <c r="R216" s="843"/>
      <c r="S216" s="843"/>
      <c r="T216" s="843"/>
      <c r="U216" s="843"/>
      <c r="V216" s="843"/>
      <c r="W216" s="843"/>
      <c r="X216" s="870"/>
      <c r="Y216" s="843" t="str">
        <f>IF(OR(ISNA(MATCH(MID(X216,1,3)*1,UomConversion!$D$8:$D$500,0)),H216=""),"",IF(AV216="","",AV216))</f>
        <v/>
      </c>
      <c r="Z216" s="843" t="str">
        <f>IF(AND(AU216&gt;0,COUNTIFS(UomConversion!$D$8:$D$500,MID(X216,1,3)*1,UomConversion!$J$8:$J$500,1)&gt;1),TEXT(AU216,"000")&amp;"."&amp;VLOOKUP(AU216,uom_list,5,FALSE),"")</f>
        <v/>
      </c>
      <c r="AA216" s="843">
        <f t="shared" si="47"/>
        <v>0</v>
      </c>
      <c r="AB216" s="843" t="str">
        <f t="shared" si="53"/>
        <v/>
      </c>
      <c r="AC216" s="843">
        <f t="shared" si="48"/>
        <v>2</v>
      </c>
      <c r="AD216" s="1219"/>
      <c r="AE216" s="1219"/>
      <c r="AF216" s="1215"/>
      <c r="AG216" s="1215"/>
      <c r="AH216" s="1215"/>
      <c r="AI216" s="1215"/>
      <c r="AJ216" s="1216"/>
      <c r="AK216" s="1216"/>
      <c r="AL216" s="1216"/>
      <c r="AM216" s="1216"/>
      <c r="AN216" s="1216"/>
      <c r="AO216" s="1216"/>
      <c r="AP216" s="1216"/>
      <c r="AQ216" s="1216"/>
      <c r="AR216" s="1216"/>
      <c r="AS216" s="1216"/>
      <c r="AT216" s="1216"/>
      <c r="AU216" s="1120" t="str" cm="1">
        <f t="array" ref="AU216">IF(H216="","",Slookup(MID(X216,1,3)*1,UomConversion!$D$8:$J$500,2,UomConversion!$I$8:$I$500,1,UomConversion!$J$8:$J$500,1))</f>
        <v/>
      </c>
      <c r="AV216" s="401" t="str">
        <f t="shared" si="49"/>
        <v/>
      </c>
      <c r="AW216" s="757" t="str">
        <f t="shared" si="50"/>
        <v/>
      </c>
      <c r="AX216" s="757" t="str">
        <f t="shared" si="51"/>
        <v/>
      </c>
      <c r="AY216" s="757" t="str">
        <f t="shared" si="52"/>
        <v/>
      </c>
      <c r="AZ216" s="1209" cm="1">
        <f t="array" ref="AZ216">IF(Y216="",1,Slookup(MID(X216,1,3)*1,UomConversion!$D$8:$J$500,5,UomConversion!$E$8:$E$500,MID(Y216,1,3)*1,UomConversion!$I$8:$I$500,1))</f>
        <v>1</v>
      </c>
      <c r="BA216" s="1209" cm="1">
        <f t="array" ref="BA216">IF(Z216="",1,Slookup(MID(X216,1,3)*1,UomConversion!$D$8:$J$500,5,UomConversion!$E$8:$E$500,MID(Z216,1,3)*1,UomConversion!$I$8:$I$500,1))</f>
        <v>1</v>
      </c>
      <c r="BB216" s="1217">
        <f t="shared" si="54"/>
        <v>0</v>
      </c>
      <c r="BC216" s="1217"/>
      <c r="BD216" s="1217"/>
    </row>
    <row r="217" spans="2:56" s="1120" customFormat="1" ht="24.95" customHeight="1">
      <c r="B217" s="445"/>
      <c r="C217" s="843"/>
      <c r="D217" s="843"/>
      <c r="E217" s="843"/>
      <c r="F217" s="1116"/>
      <c r="G217" s="1117"/>
      <c r="H217" s="868"/>
      <c r="I217" s="1118"/>
      <c r="J217" s="1138"/>
      <c r="K217" s="1138"/>
      <c r="L217" s="870"/>
      <c r="M217" s="868"/>
      <c r="N217" s="1118"/>
      <c r="O217" s="1119"/>
      <c r="P217" s="884"/>
      <c r="Q217" s="885"/>
      <c r="R217" s="843"/>
      <c r="S217" s="843"/>
      <c r="T217" s="843"/>
      <c r="U217" s="843"/>
      <c r="V217" s="843"/>
      <c r="W217" s="843"/>
      <c r="X217" s="870"/>
      <c r="Y217" s="843" t="str">
        <f>IF(OR(ISNA(MATCH(MID(X217,1,3)*1,UomConversion!$D$8:$D$500,0)),H217=""),"",IF(AV217="","",AV217))</f>
        <v/>
      </c>
      <c r="Z217" s="843" t="str">
        <f>IF(AND(AU217&gt;0,COUNTIFS(UomConversion!$D$8:$D$500,MID(X217,1,3)*1,UomConversion!$J$8:$J$500,1)&gt;1),TEXT(AU217,"000")&amp;"."&amp;VLOOKUP(AU217,uom_list,5,FALSE),"")</f>
        <v/>
      </c>
      <c r="AA217" s="843">
        <f t="shared" si="47"/>
        <v>0</v>
      </c>
      <c r="AB217" s="843" t="str">
        <f t="shared" si="53"/>
        <v/>
      </c>
      <c r="AC217" s="843">
        <f t="shared" si="48"/>
        <v>2</v>
      </c>
      <c r="AD217" s="1219"/>
      <c r="AE217" s="1219"/>
      <c r="AF217" s="1215"/>
      <c r="AG217" s="1215"/>
      <c r="AH217" s="1215"/>
      <c r="AI217" s="1215"/>
      <c r="AJ217" s="1216"/>
      <c r="AK217" s="1216"/>
      <c r="AL217" s="1216"/>
      <c r="AM217" s="1216"/>
      <c r="AN217" s="1216"/>
      <c r="AO217" s="1216"/>
      <c r="AP217" s="1216"/>
      <c r="AQ217" s="1216"/>
      <c r="AR217" s="1216"/>
      <c r="AS217" s="1216"/>
      <c r="AT217" s="1216"/>
      <c r="AU217" s="1120" t="str" cm="1">
        <f t="array" ref="AU217">IF(H217="","",Slookup(MID(X217,1,3)*1,UomConversion!$D$8:$J$500,2,UomConversion!$I$8:$I$500,1,UomConversion!$J$8:$J$500,1))</f>
        <v/>
      </c>
      <c r="AV217" s="401" t="str">
        <f t="shared" si="49"/>
        <v/>
      </c>
      <c r="AW217" s="757" t="str">
        <f t="shared" si="50"/>
        <v/>
      </c>
      <c r="AX217" s="757" t="str">
        <f t="shared" si="51"/>
        <v/>
      </c>
      <c r="AY217" s="757" t="str">
        <f t="shared" si="52"/>
        <v/>
      </c>
      <c r="AZ217" s="1209" cm="1">
        <f t="array" ref="AZ217">IF(Y217="",1,Slookup(MID(X217,1,3)*1,UomConversion!$D$8:$J$500,5,UomConversion!$E$8:$E$500,MID(Y217,1,3)*1,UomConversion!$I$8:$I$500,1))</f>
        <v>1</v>
      </c>
      <c r="BA217" s="1209" cm="1">
        <f t="array" ref="BA217">IF(Z217="",1,Slookup(MID(X217,1,3)*1,UomConversion!$D$8:$J$500,5,UomConversion!$E$8:$E$500,MID(Z217,1,3)*1,UomConversion!$I$8:$I$500,1))</f>
        <v>1</v>
      </c>
      <c r="BB217" s="1217">
        <f t="shared" si="54"/>
        <v>0</v>
      </c>
      <c r="BC217" s="1217"/>
      <c r="BD217" s="1217"/>
    </row>
    <row r="218" spans="2:56" s="1120" customFormat="1" ht="24.95" customHeight="1">
      <c r="B218" s="445"/>
      <c r="C218" s="843"/>
      <c r="D218" s="843"/>
      <c r="E218" s="843"/>
      <c r="F218" s="1116"/>
      <c r="G218" s="1117"/>
      <c r="H218" s="868"/>
      <c r="I218" s="1118"/>
      <c r="J218" s="1138"/>
      <c r="K218" s="1138"/>
      <c r="L218" s="870"/>
      <c r="M218" s="868"/>
      <c r="N218" s="1118"/>
      <c r="O218" s="1119"/>
      <c r="P218" s="884"/>
      <c r="Q218" s="885"/>
      <c r="R218" s="843"/>
      <c r="S218" s="843"/>
      <c r="T218" s="843"/>
      <c r="U218" s="843"/>
      <c r="V218" s="843"/>
      <c r="W218" s="843"/>
      <c r="X218" s="870"/>
      <c r="Y218" s="843" t="str">
        <f>IF(OR(ISNA(MATCH(MID(X218,1,3)*1,UomConversion!$D$8:$D$500,0)),H218=""),"",IF(AV218="","",AV218))</f>
        <v/>
      </c>
      <c r="Z218" s="843" t="str">
        <f>IF(AND(AU218&gt;0,COUNTIFS(UomConversion!$D$8:$D$500,MID(X218,1,3)*1,UomConversion!$J$8:$J$500,1)&gt;1),TEXT(AU218,"000")&amp;"."&amp;VLOOKUP(AU218,uom_list,5,FALSE),"")</f>
        <v/>
      </c>
      <c r="AA218" s="843">
        <f t="shared" si="47"/>
        <v>0</v>
      </c>
      <c r="AB218" s="843" t="str">
        <f t="shared" si="53"/>
        <v/>
      </c>
      <c r="AC218" s="843">
        <f t="shared" si="48"/>
        <v>2</v>
      </c>
      <c r="AD218" s="1219"/>
      <c r="AE218" s="1219"/>
      <c r="AF218" s="1215"/>
      <c r="AG218" s="1215"/>
      <c r="AH218" s="1215"/>
      <c r="AI218" s="1215"/>
      <c r="AJ218" s="1216"/>
      <c r="AK218" s="1216"/>
      <c r="AL218" s="1216"/>
      <c r="AM218" s="1216"/>
      <c r="AN218" s="1216"/>
      <c r="AO218" s="1216"/>
      <c r="AP218" s="1216"/>
      <c r="AQ218" s="1216"/>
      <c r="AR218" s="1216"/>
      <c r="AS218" s="1216"/>
      <c r="AT218" s="1216"/>
      <c r="AU218" s="1120" t="str" cm="1">
        <f t="array" ref="AU218">IF(H218="","",Slookup(MID(X218,1,3)*1,UomConversion!$D$8:$J$500,2,UomConversion!$I$8:$I$500,1,UomConversion!$J$8:$J$500,1))</f>
        <v/>
      </c>
      <c r="AV218" s="401" t="str">
        <f t="shared" si="49"/>
        <v/>
      </c>
      <c r="AW218" s="757" t="str">
        <f t="shared" si="50"/>
        <v/>
      </c>
      <c r="AX218" s="757" t="str">
        <f t="shared" si="51"/>
        <v/>
      </c>
      <c r="AY218" s="757" t="str">
        <f t="shared" si="52"/>
        <v/>
      </c>
      <c r="AZ218" s="1209" cm="1">
        <f t="array" ref="AZ218">IF(Y218="",1,Slookup(MID(X218,1,3)*1,UomConversion!$D$8:$J$500,5,UomConversion!$E$8:$E$500,MID(Y218,1,3)*1,UomConversion!$I$8:$I$500,1))</f>
        <v>1</v>
      </c>
      <c r="BA218" s="1209" cm="1">
        <f t="array" ref="BA218">IF(Z218="",1,Slookup(MID(X218,1,3)*1,UomConversion!$D$8:$J$500,5,UomConversion!$E$8:$E$500,MID(Z218,1,3)*1,UomConversion!$I$8:$I$500,1))</f>
        <v>1</v>
      </c>
      <c r="BB218" s="1217">
        <f t="shared" si="54"/>
        <v>0</v>
      </c>
      <c r="BC218" s="1217"/>
      <c r="BD218" s="1217"/>
    </row>
    <row r="219" spans="2:56" s="1120" customFormat="1" ht="24.95" customHeight="1">
      <c r="B219" s="445"/>
      <c r="C219" s="843"/>
      <c r="D219" s="843"/>
      <c r="E219" s="843"/>
      <c r="F219" s="1116"/>
      <c r="G219" s="1117"/>
      <c r="H219" s="868"/>
      <c r="I219" s="1118"/>
      <c r="J219" s="1138"/>
      <c r="K219" s="1138"/>
      <c r="L219" s="870"/>
      <c r="M219" s="868"/>
      <c r="N219" s="1118"/>
      <c r="O219" s="1119"/>
      <c r="P219" s="884"/>
      <c r="Q219" s="885"/>
      <c r="R219" s="843"/>
      <c r="S219" s="843"/>
      <c r="T219" s="843"/>
      <c r="U219" s="843"/>
      <c r="V219" s="843"/>
      <c r="W219" s="843"/>
      <c r="X219" s="870"/>
      <c r="Y219" s="843" t="str">
        <f>IF(OR(ISNA(MATCH(MID(X219,1,3)*1,UomConversion!$D$8:$D$500,0)),H219=""),"",IF(AV219="","",AV219))</f>
        <v/>
      </c>
      <c r="Z219" s="843" t="str">
        <f>IF(AND(AU219&gt;0,COUNTIFS(UomConversion!$D$8:$D$500,MID(X219,1,3)*1,UomConversion!$J$8:$J$500,1)&gt;1),TEXT(AU219,"000")&amp;"."&amp;VLOOKUP(AU219,uom_list,5,FALSE),"")</f>
        <v/>
      </c>
      <c r="AA219" s="843">
        <f t="shared" si="47"/>
        <v>0</v>
      </c>
      <c r="AB219" s="843" t="str">
        <f t="shared" si="53"/>
        <v/>
      </c>
      <c r="AC219" s="843">
        <f t="shared" si="48"/>
        <v>2</v>
      </c>
      <c r="AD219" s="1219"/>
      <c r="AE219" s="1219"/>
      <c r="AF219" s="1215"/>
      <c r="AG219" s="1215"/>
      <c r="AH219" s="1215"/>
      <c r="AI219" s="1215"/>
      <c r="AJ219" s="1216"/>
      <c r="AK219" s="1216"/>
      <c r="AL219" s="1216"/>
      <c r="AM219" s="1216"/>
      <c r="AN219" s="1216"/>
      <c r="AO219" s="1216"/>
      <c r="AP219" s="1216"/>
      <c r="AQ219" s="1216"/>
      <c r="AR219" s="1216"/>
      <c r="AS219" s="1216"/>
      <c r="AT219" s="1216"/>
      <c r="AU219" s="1120" t="str" cm="1">
        <f t="array" ref="AU219">IF(H219="","",Slookup(MID(X219,1,3)*1,UomConversion!$D$8:$J$500,2,UomConversion!$I$8:$I$500,1,UomConversion!$J$8:$J$500,1))</f>
        <v/>
      </c>
      <c r="AV219" s="401" t="str">
        <f t="shared" si="49"/>
        <v/>
      </c>
      <c r="AW219" s="757" t="str">
        <f t="shared" si="50"/>
        <v/>
      </c>
      <c r="AX219" s="757" t="str">
        <f t="shared" si="51"/>
        <v/>
      </c>
      <c r="AY219" s="757" t="str">
        <f t="shared" si="52"/>
        <v/>
      </c>
      <c r="AZ219" s="1209" cm="1">
        <f t="array" ref="AZ219">IF(Y219="",1,Slookup(MID(X219,1,3)*1,UomConversion!$D$8:$J$500,5,UomConversion!$E$8:$E$500,MID(Y219,1,3)*1,UomConversion!$I$8:$I$500,1))</f>
        <v>1</v>
      </c>
      <c r="BA219" s="1209" cm="1">
        <f t="array" ref="BA219">IF(Z219="",1,Slookup(MID(X219,1,3)*1,UomConversion!$D$8:$J$500,5,UomConversion!$E$8:$E$500,MID(Z219,1,3)*1,UomConversion!$I$8:$I$500,1))</f>
        <v>1</v>
      </c>
      <c r="BB219" s="1217">
        <f t="shared" si="54"/>
        <v>0</v>
      </c>
      <c r="BC219" s="1217"/>
      <c r="BD219" s="1217"/>
    </row>
    <row r="220" spans="2:56" s="1120" customFormat="1" ht="24.95" customHeight="1">
      <c r="B220" s="445"/>
      <c r="C220" s="843"/>
      <c r="D220" s="843"/>
      <c r="E220" s="843"/>
      <c r="F220" s="1116"/>
      <c r="G220" s="1117"/>
      <c r="H220" s="868"/>
      <c r="I220" s="1118"/>
      <c r="J220" s="1138"/>
      <c r="K220" s="1138"/>
      <c r="L220" s="868"/>
      <c r="M220" s="868"/>
      <c r="N220" s="1118"/>
      <c r="O220" s="1119"/>
      <c r="P220" s="884"/>
      <c r="Q220" s="885"/>
      <c r="R220" s="843"/>
      <c r="S220" s="843"/>
      <c r="T220" s="843"/>
      <c r="U220" s="843"/>
      <c r="V220" s="843"/>
      <c r="W220" s="843"/>
      <c r="X220" s="870"/>
      <c r="Y220" s="843"/>
      <c r="Z220" s="843"/>
      <c r="AA220" s="843"/>
      <c r="AB220" s="204"/>
      <c r="AC220" s="204"/>
      <c r="AD220" s="1212"/>
      <c r="AE220" s="1212"/>
      <c r="AF220" s="1186"/>
      <c r="AG220" s="1186"/>
      <c r="AH220" s="1137"/>
      <c r="AI220" s="1137"/>
      <c r="AJ220" s="1137"/>
      <c r="AK220" s="1137"/>
      <c r="AL220" s="1137"/>
      <c r="AM220" s="1137"/>
      <c r="AN220" s="1137"/>
      <c r="AO220" s="1137"/>
      <c r="AP220" s="1137"/>
      <c r="AQ220" s="1137"/>
      <c r="AR220" s="1137"/>
      <c r="AS220" s="1137"/>
      <c r="AT220" s="1137"/>
      <c r="AV220" s="445"/>
      <c r="AW220" s="607"/>
      <c r="AX220" s="607"/>
      <c r="AY220" s="607"/>
      <c r="AZ220" s="1209"/>
      <c r="BA220" s="1209"/>
    </row>
    <row r="221" spans="2:56" s="256" customFormat="1" ht="24.95" customHeight="1">
      <c r="B221" s="445"/>
      <c r="C221" s="843"/>
      <c r="D221" s="843"/>
      <c r="E221" s="843"/>
      <c r="F221" s="1116"/>
      <c r="G221" s="1117"/>
      <c r="H221" s="868"/>
      <c r="I221" s="1118"/>
      <c r="J221" s="1138"/>
      <c r="K221" s="1138"/>
      <c r="L221" s="868"/>
      <c r="M221" s="868"/>
      <c r="N221" s="1118"/>
      <c r="O221" s="1119"/>
      <c r="P221" s="884"/>
      <c r="Q221" s="885"/>
      <c r="R221" s="843"/>
      <c r="S221" s="843"/>
      <c r="T221" s="843"/>
      <c r="U221" s="843"/>
      <c r="V221" s="843"/>
      <c r="W221" s="843"/>
      <c r="X221" s="870"/>
      <c r="Y221" s="843"/>
      <c r="Z221" s="843"/>
      <c r="AA221" s="843"/>
      <c r="AB221" s="204"/>
      <c r="AC221" s="204"/>
      <c r="AD221" s="1212"/>
      <c r="AE221" s="1212"/>
      <c r="AF221" s="1186"/>
      <c r="AG221" s="1186"/>
      <c r="AH221" s="1222"/>
      <c r="AI221" s="1222"/>
      <c r="AJ221" s="1222"/>
      <c r="AK221" s="1222"/>
      <c r="AL221" s="1222"/>
      <c r="AM221" s="1222"/>
      <c r="AN221" s="1222"/>
      <c r="AO221" s="1222"/>
      <c r="AP221" s="1222"/>
      <c r="AQ221" s="1222"/>
      <c r="AR221" s="1222"/>
      <c r="AS221" s="1222"/>
      <c r="AT221" s="1222"/>
      <c r="AU221" s="1120"/>
      <c r="AV221" s="445"/>
      <c r="AW221" s="607"/>
      <c r="AX221" s="607"/>
      <c r="AY221" s="607"/>
      <c r="AZ221" s="1209"/>
      <c r="BA221" s="1209"/>
    </row>
    <row r="222" spans="2:56" s="256" customFormat="1" ht="24.95" customHeight="1">
      <c r="B222" s="445"/>
      <c r="C222" s="843"/>
      <c r="D222" s="843"/>
      <c r="E222" s="843"/>
      <c r="F222" s="1116"/>
      <c r="G222" s="1117"/>
      <c r="H222" s="868"/>
      <c r="I222" s="1118"/>
      <c r="J222" s="1138"/>
      <c r="K222" s="1138"/>
      <c r="L222" s="868"/>
      <c r="M222" s="868"/>
      <c r="N222" s="1118"/>
      <c r="O222" s="1119"/>
      <c r="P222" s="884"/>
      <c r="Q222" s="885"/>
      <c r="R222" s="843"/>
      <c r="S222" s="843"/>
      <c r="T222" s="843"/>
      <c r="U222" s="843"/>
      <c r="V222" s="843"/>
      <c r="W222" s="843"/>
      <c r="X222" s="870"/>
      <c r="Y222" s="843"/>
      <c r="Z222" s="843"/>
      <c r="AA222" s="843"/>
      <c r="AB222" s="204"/>
      <c r="AC222" s="204"/>
      <c r="AD222" s="1212"/>
      <c r="AE222" s="1212"/>
      <c r="AF222" s="1186"/>
      <c r="AG222" s="1186"/>
      <c r="AH222" s="1222"/>
      <c r="AI222" s="1222"/>
      <c r="AJ222" s="1222"/>
      <c r="AK222" s="1222"/>
      <c r="AL222" s="1222"/>
      <c r="AM222" s="1222"/>
      <c r="AN222" s="1222"/>
      <c r="AO222" s="1222"/>
      <c r="AP222" s="1222"/>
      <c r="AQ222" s="1222"/>
      <c r="AR222" s="1222"/>
      <c r="AS222" s="1222"/>
      <c r="AT222" s="1222"/>
      <c r="AU222" s="1120"/>
      <c r="AV222" s="445"/>
      <c r="AW222" s="607"/>
      <c r="AX222" s="607"/>
      <c r="AY222" s="607"/>
      <c r="AZ222" s="1209"/>
      <c r="BA222" s="1209"/>
    </row>
    <row r="223" spans="2:56" s="256" customFormat="1" ht="24.95" customHeight="1">
      <c r="B223" s="445"/>
      <c r="C223" s="843"/>
      <c r="D223" s="843"/>
      <c r="E223" s="843"/>
      <c r="F223" s="1116"/>
      <c r="G223" s="1117"/>
      <c r="H223" s="868"/>
      <c r="I223" s="1118"/>
      <c r="J223" s="1138"/>
      <c r="K223" s="1138"/>
      <c r="L223" s="868"/>
      <c r="M223" s="868"/>
      <c r="N223" s="1118"/>
      <c r="O223" s="1119"/>
      <c r="P223" s="884"/>
      <c r="Q223" s="885"/>
      <c r="R223" s="843"/>
      <c r="S223" s="843"/>
      <c r="T223" s="843"/>
      <c r="U223" s="843"/>
      <c r="V223" s="843"/>
      <c r="W223" s="843"/>
      <c r="X223" s="870"/>
      <c r="Y223" s="843"/>
      <c r="Z223" s="843"/>
      <c r="AA223" s="843"/>
      <c r="AB223" s="204"/>
      <c r="AC223" s="204"/>
      <c r="AD223" s="1212"/>
      <c r="AE223" s="1212"/>
      <c r="AF223" s="1186"/>
      <c r="AG223" s="1186"/>
      <c r="AH223" s="1222"/>
      <c r="AI223" s="1222"/>
      <c r="AJ223" s="1222"/>
      <c r="AK223" s="1222"/>
      <c r="AL223" s="1222"/>
      <c r="AM223" s="1222"/>
      <c r="AN223" s="1222"/>
      <c r="AO223" s="1222"/>
      <c r="AP223" s="1222"/>
      <c r="AQ223" s="1222"/>
      <c r="AR223" s="1222"/>
      <c r="AS223" s="1222"/>
      <c r="AT223" s="1222"/>
      <c r="AU223" s="1120"/>
      <c r="AV223" s="445"/>
      <c r="AW223" s="607"/>
      <c r="AX223" s="607"/>
      <c r="AY223" s="607"/>
      <c r="AZ223" s="1209"/>
      <c r="BA223" s="1209"/>
    </row>
    <row r="224" spans="2:56" s="256" customFormat="1" ht="24.95" customHeight="1">
      <c r="B224" s="445"/>
      <c r="C224" s="843"/>
      <c r="D224" s="843"/>
      <c r="E224" s="843"/>
      <c r="F224" s="1116"/>
      <c r="G224" s="1117"/>
      <c r="H224" s="868"/>
      <c r="I224" s="1118"/>
      <c r="J224" s="1138"/>
      <c r="K224" s="1138"/>
      <c r="L224" s="868"/>
      <c r="M224" s="868"/>
      <c r="N224" s="1118"/>
      <c r="O224" s="1119"/>
      <c r="P224" s="884"/>
      <c r="Q224" s="885"/>
      <c r="R224" s="843"/>
      <c r="S224" s="843"/>
      <c r="T224" s="843"/>
      <c r="U224" s="843"/>
      <c r="V224" s="843"/>
      <c r="W224" s="843"/>
      <c r="X224" s="870"/>
      <c r="Y224" s="843"/>
      <c r="Z224" s="843"/>
      <c r="AA224" s="843"/>
      <c r="AB224" s="204"/>
      <c r="AC224" s="204"/>
      <c r="AD224" s="1212"/>
      <c r="AE224" s="1212"/>
      <c r="AF224" s="1186"/>
      <c r="AG224" s="1186"/>
      <c r="AH224" s="1222"/>
      <c r="AI224" s="1222"/>
      <c r="AJ224" s="1222"/>
      <c r="AK224" s="1222"/>
      <c r="AL224" s="1222"/>
      <c r="AM224" s="1222"/>
      <c r="AN224" s="1222"/>
      <c r="AO224" s="1222"/>
      <c r="AP224" s="1222"/>
      <c r="AQ224" s="1222"/>
      <c r="AR224" s="1222"/>
      <c r="AS224" s="1222"/>
      <c r="AT224" s="1222"/>
      <c r="AU224" s="1120"/>
      <c r="AV224" s="445"/>
      <c r="AW224" s="607"/>
      <c r="AX224" s="607"/>
      <c r="AY224" s="607"/>
      <c r="AZ224" s="1209"/>
      <c r="BA224" s="1209"/>
    </row>
    <row r="225" spans="2:53" s="256" customFormat="1" ht="24.95" customHeight="1">
      <c r="B225" s="445"/>
      <c r="C225" s="843"/>
      <c r="D225" s="843"/>
      <c r="E225" s="843"/>
      <c r="F225" s="1116"/>
      <c r="G225" s="1117"/>
      <c r="H225" s="868"/>
      <c r="I225" s="1118"/>
      <c r="J225" s="1138"/>
      <c r="K225" s="1138"/>
      <c r="L225" s="868"/>
      <c r="M225" s="868"/>
      <c r="N225" s="1118"/>
      <c r="O225" s="1119"/>
      <c r="P225" s="884"/>
      <c r="Q225" s="885"/>
      <c r="R225" s="843"/>
      <c r="S225" s="843"/>
      <c r="T225" s="843"/>
      <c r="U225" s="843"/>
      <c r="V225" s="843"/>
      <c r="W225" s="843"/>
      <c r="X225" s="870"/>
      <c r="Y225" s="843"/>
      <c r="Z225" s="843"/>
      <c r="AA225" s="843"/>
      <c r="AB225" s="204"/>
      <c r="AC225" s="204"/>
      <c r="AD225" s="1212"/>
      <c r="AE225" s="1212"/>
      <c r="AF225" s="1186"/>
      <c r="AG225" s="1186"/>
      <c r="AH225" s="1222"/>
      <c r="AI225" s="1222"/>
      <c r="AJ225" s="1222"/>
      <c r="AK225" s="1222"/>
      <c r="AL225" s="1222"/>
      <c r="AM225" s="1222"/>
      <c r="AN225" s="1222"/>
      <c r="AO225" s="1222"/>
      <c r="AP225" s="1222"/>
      <c r="AQ225" s="1222"/>
      <c r="AR225" s="1222"/>
      <c r="AS225" s="1222"/>
      <c r="AT225" s="1222"/>
      <c r="AU225" s="1120"/>
      <c r="AV225" s="445"/>
      <c r="AW225" s="607"/>
      <c r="AX225" s="607"/>
      <c r="AY225" s="607"/>
      <c r="AZ225" s="1209"/>
      <c r="BA225" s="1209"/>
    </row>
    <row r="226" spans="2:53" s="256" customFormat="1" ht="24.95" customHeight="1">
      <c r="B226" s="445"/>
      <c r="C226" s="843"/>
      <c r="D226" s="843"/>
      <c r="E226" s="843"/>
      <c r="F226" s="1116"/>
      <c r="G226" s="1117"/>
      <c r="H226" s="868"/>
      <c r="I226" s="1118"/>
      <c r="J226" s="1138"/>
      <c r="K226" s="1138"/>
      <c r="L226" s="868"/>
      <c r="M226" s="868"/>
      <c r="N226" s="1118"/>
      <c r="O226" s="1119"/>
      <c r="P226" s="884"/>
      <c r="Q226" s="885"/>
      <c r="R226" s="843"/>
      <c r="S226" s="843"/>
      <c r="T226" s="843"/>
      <c r="U226" s="843"/>
      <c r="V226" s="843"/>
      <c r="W226" s="843"/>
      <c r="X226" s="870"/>
      <c r="Y226" s="843"/>
      <c r="Z226" s="843"/>
      <c r="AA226" s="843"/>
      <c r="AB226" s="204"/>
      <c r="AC226" s="204"/>
      <c r="AD226" s="1212"/>
      <c r="AE226" s="1212"/>
      <c r="AF226" s="1186"/>
      <c r="AG226" s="1186"/>
      <c r="AH226" s="1222"/>
      <c r="AI226" s="1222"/>
      <c r="AJ226" s="1222"/>
      <c r="AK226" s="1222"/>
      <c r="AL226" s="1222"/>
      <c r="AM226" s="1222"/>
      <c r="AN226" s="1222"/>
      <c r="AO226" s="1222"/>
      <c r="AP226" s="1222"/>
      <c r="AQ226" s="1222"/>
      <c r="AR226" s="1222"/>
      <c r="AS226" s="1222"/>
      <c r="AT226" s="1222"/>
      <c r="AU226" s="1120"/>
      <c r="AV226" s="445"/>
      <c r="AW226" s="607"/>
      <c r="AX226" s="607"/>
      <c r="AY226" s="607"/>
      <c r="AZ226" s="1209"/>
      <c r="BA226" s="1209"/>
    </row>
    <row r="227" spans="2:53" s="256" customFormat="1" ht="24.95" customHeight="1">
      <c r="B227" s="445"/>
      <c r="C227" s="843"/>
      <c r="D227" s="843"/>
      <c r="E227" s="843"/>
      <c r="F227" s="1116"/>
      <c r="G227" s="1117"/>
      <c r="H227" s="868"/>
      <c r="I227" s="1118"/>
      <c r="J227" s="1138"/>
      <c r="K227" s="1138"/>
      <c r="L227" s="868"/>
      <c r="M227" s="868"/>
      <c r="N227" s="1118"/>
      <c r="O227" s="1119"/>
      <c r="P227" s="884"/>
      <c r="Q227" s="885"/>
      <c r="R227" s="843"/>
      <c r="S227" s="843"/>
      <c r="T227" s="843"/>
      <c r="U227" s="843"/>
      <c r="V227" s="843"/>
      <c r="W227" s="843"/>
      <c r="X227" s="870"/>
      <c r="Y227" s="843"/>
      <c r="Z227" s="843"/>
      <c r="AA227" s="843"/>
      <c r="AB227" s="204"/>
      <c r="AC227" s="204"/>
      <c r="AD227" s="1212"/>
      <c r="AE227" s="1212"/>
      <c r="AF227" s="1186"/>
      <c r="AG227" s="1186"/>
      <c r="AH227" s="1222"/>
      <c r="AI227" s="1222"/>
      <c r="AJ227" s="1222"/>
      <c r="AK227" s="1222"/>
      <c r="AL227" s="1222"/>
      <c r="AM227" s="1222"/>
      <c r="AN227" s="1222"/>
      <c r="AO227" s="1222"/>
      <c r="AP227" s="1222"/>
      <c r="AQ227" s="1222"/>
      <c r="AR227" s="1222"/>
      <c r="AS227" s="1222"/>
      <c r="AT227" s="1222"/>
      <c r="AU227" s="1120"/>
      <c r="AV227" s="445"/>
      <c r="AW227" s="607"/>
      <c r="AX227" s="607"/>
      <c r="AY227" s="607"/>
      <c r="AZ227" s="1209"/>
      <c r="BA227" s="1209"/>
    </row>
    <row r="228" spans="2:53" s="256" customFormat="1" ht="24.95" customHeight="1">
      <c r="B228" s="445"/>
      <c r="C228" s="843"/>
      <c r="D228" s="843"/>
      <c r="E228" s="843"/>
      <c r="F228" s="1116"/>
      <c r="G228" s="1117"/>
      <c r="H228" s="868"/>
      <c r="I228" s="1118"/>
      <c r="J228" s="1138"/>
      <c r="K228" s="1138"/>
      <c r="L228" s="868"/>
      <c r="M228" s="868"/>
      <c r="N228" s="1118"/>
      <c r="O228" s="1119"/>
      <c r="P228" s="884"/>
      <c r="Q228" s="885"/>
      <c r="R228" s="843"/>
      <c r="S228" s="843"/>
      <c r="T228" s="843"/>
      <c r="U228" s="843"/>
      <c r="V228" s="843"/>
      <c r="W228" s="843"/>
      <c r="X228" s="870"/>
      <c r="Y228" s="843"/>
      <c r="Z228" s="843"/>
      <c r="AA228" s="843"/>
      <c r="AB228" s="204"/>
      <c r="AC228" s="204"/>
      <c r="AD228" s="1212"/>
      <c r="AE228" s="1212"/>
      <c r="AF228" s="1186"/>
      <c r="AG228" s="1186"/>
      <c r="AH228" s="1222"/>
      <c r="AI228" s="1222"/>
      <c r="AJ228" s="1222"/>
      <c r="AK228" s="1222"/>
      <c r="AL228" s="1222"/>
      <c r="AM228" s="1222"/>
      <c r="AN228" s="1222"/>
      <c r="AO228" s="1222"/>
      <c r="AP228" s="1222"/>
      <c r="AQ228" s="1222"/>
      <c r="AR228" s="1222"/>
      <c r="AS228" s="1222"/>
      <c r="AT228" s="1222"/>
      <c r="AU228" s="1120"/>
      <c r="AV228" s="445"/>
      <c r="AW228" s="607"/>
      <c r="AX228" s="607"/>
      <c r="AY228" s="607"/>
      <c r="AZ228" s="1209"/>
      <c r="BA228" s="1209"/>
    </row>
    <row r="229" spans="2:53" s="256" customFormat="1" ht="24.95" customHeight="1">
      <c r="B229" s="445"/>
      <c r="C229" s="843"/>
      <c r="D229" s="843"/>
      <c r="E229" s="843"/>
      <c r="F229" s="1116"/>
      <c r="G229" s="1117"/>
      <c r="H229" s="868"/>
      <c r="I229" s="1118"/>
      <c r="J229" s="1138"/>
      <c r="K229" s="1138"/>
      <c r="L229" s="868"/>
      <c r="M229" s="868"/>
      <c r="N229" s="1118"/>
      <c r="O229" s="1119"/>
      <c r="P229" s="884"/>
      <c r="Q229" s="885"/>
      <c r="R229" s="843"/>
      <c r="S229" s="843"/>
      <c r="T229" s="843"/>
      <c r="U229" s="843"/>
      <c r="V229" s="843"/>
      <c r="W229" s="843"/>
      <c r="X229" s="870"/>
      <c r="Y229" s="843"/>
      <c r="Z229" s="843"/>
      <c r="AA229" s="843"/>
      <c r="AB229" s="204"/>
      <c r="AC229" s="204"/>
      <c r="AD229" s="1212"/>
      <c r="AE229" s="1212"/>
      <c r="AF229" s="1186"/>
      <c r="AG229" s="1186"/>
      <c r="AH229" s="1222"/>
      <c r="AI229" s="1222"/>
      <c r="AJ229" s="1222"/>
      <c r="AK229" s="1222"/>
      <c r="AL229" s="1222"/>
      <c r="AM229" s="1222"/>
      <c r="AN229" s="1222"/>
      <c r="AO229" s="1222"/>
      <c r="AP229" s="1222"/>
      <c r="AQ229" s="1222"/>
      <c r="AR229" s="1222"/>
      <c r="AS229" s="1222"/>
      <c r="AT229" s="1222"/>
      <c r="AU229" s="1120"/>
      <c r="AV229" s="445"/>
      <c r="AW229" s="607"/>
      <c r="AX229" s="607"/>
      <c r="AY229" s="607"/>
      <c r="AZ229" s="1209"/>
      <c r="BA229" s="1209"/>
    </row>
    <row r="230" spans="2:53" s="256" customFormat="1" ht="24.95" customHeight="1">
      <c r="B230" s="445"/>
      <c r="C230" s="843"/>
      <c r="D230" s="843"/>
      <c r="E230" s="843"/>
      <c r="F230" s="1116"/>
      <c r="G230" s="1117"/>
      <c r="H230" s="868"/>
      <c r="I230" s="1118"/>
      <c r="J230" s="1138"/>
      <c r="K230" s="1138"/>
      <c r="L230" s="868"/>
      <c r="M230" s="868"/>
      <c r="N230" s="1118"/>
      <c r="O230" s="1119"/>
      <c r="P230" s="884"/>
      <c r="Q230" s="885"/>
      <c r="R230" s="843"/>
      <c r="S230" s="843"/>
      <c r="T230" s="843"/>
      <c r="U230" s="843"/>
      <c r="V230" s="843"/>
      <c r="W230" s="843"/>
      <c r="X230" s="870"/>
      <c r="Y230" s="843"/>
      <c r="Z230" s="843"/>
      <c r="AA230" s="843"/>
      <c r="AB230" s="204"/>
      <c r="AC230" s="204"/>
      <c r="AD230" s="1212"/>
      <c r="AE230" s="1212"/>
      <c r="AF230" s="1186"/>
      <c r="AG230" s="1186"/>
      <c r="AH230" s="1222"/>
      <c r="AI230" s="1222"/>
      <c r="AJ230" s="1222"/>
      <c r="AK230" s="1222"/>
      <c r="AL230" s="1222"/>
      <c r="AM230" s="1222"/>
      <c r="AN230" s="1222"/>
      <c r="AO230" s="1222"/>
      <c r="AP230" s="1222"/>
      <c r="AQ230" s="1222"/>
      <c r="AR230" s="1222"/>
      <c r="AS230" s="1222"/>
      <c r="AT230" s="1222"/>
      <c r="AU230" s="1120"/>
      <c r="AV230" s="445"/>
      <c r="AW230" s="607"/>
      <c r="AX230" s="607"/>
      <c r="AY230" s="607"/>
      <c r="AZ230" s="1209"/>
      <c r="BA230" s="1209"/>
    </row>
    <row r="231" spans="2:53" s="256" customFormat="1" ht="24.95" customHeight="1">
      <c r="B231" s="445"/>
      <c r="C231" s="843"/>
      <c r="D231" s="843"/>
      <c r="E231" s="843"/>
      <c r="F231" s="1116"/>
      <c r="G231" s="1117"/>
      <c r="H231" s="868"/>
      <c r="I231" s="1118"/>
      <c r="J231" s="1138"/>
      <c r="K231" s="1138"/>
      <c r="L231" s="868"/>
      <c r="M231" s="868"/>
      <c r="N231" s="1118"/>
      <c r="O231" s="1119"/>
      <c r="P231" s="884"/>
      <c r="Q231" s="885"/>
      <c r="R231" s="843"/>
      <c r="S231" s="843"/>
      <c r="T231" s="843"/>
      <c r="U231" s="843"/>
      <c r="V231" s="843"/>
      <c r="W231" s="843"/>
      <c r="X231" s="870"/>
      <c r="Y231" s="843"/>
      <c r="Z231" s="843"/>
      <c r="AA231" s="843"/>
      <c r="AB231" s="204"/>
      <c r="AC231" s="204"/>
      <c r="AD231" s="1212"/>
      <c r="AE231" s="1212"/>
      <c r="AF231" s="1186"/>
      <c r="AG231" s="1186"/>
      <c r="AH231" s="1222"/>
      <c r="AI231" s="1222"/>
      <c r="AJ231" s="1222"/>
      <c r="AK231" s="1222"/>
      <c r="AL231" s="1222"/>
      <c r="AM231" s="1222"/>
      <c r="AN231" s="1222"/>
      <c r="AO231" s="1222"/>
      <c r="AP231" s="1222"/>
      <c r="AQ231" s="1222"/>
      <c r="AR231" s="1222"/>
      <c r="AS231" s="1222"/>
      <c r="AT231" s="1222"/>
      <c r="AU231" s="1120"/>
      <c r="AV231" s="445"/>
      <c r="AW231" s="607"/>
      <c r="AX231" s="607"/>
      <c r="AY231" s="607"/>
      <c r="AZ231" s="1209"/>
      <c r="BA231" s="1209"/>
    </row>
    <row r="232" spans="2:53" s="256" customFormat="1" ht="24.95" customHeight="1">
      <c r="B232" s="445"/>
      <c r="C232" s="843"/>
      <c r="D232" s="843"/>
      <c r="E232" s="843"/>
      <c r="F232" s="1116"/>
      <c r="G232" s="1117"/>
      <c r="H232" s="868"/>
      <c r="I232" s="1118"/>
      <c r="J232" s="1138"/>
      <c r="K232" s="1138"/>
      <c r="L232" s="868"/>
      <c r="M232" s="868"/>
      <c r="N232" s="1118"/>
      <c r="O232" s="1119"/>
      <c r="P232" s="884"/>
      <c r="Q232" s="885"/>
      <c r="R232" s="843"/>
      <c r="S232" s="843"/>
      <c r="T232" s="843"/>
      <c r="U232" s="843"/>
      <c r="V232" s="843"/>
      <c r="W232" s="843"/>
      <c r="X232" s="870"/>
      <c r="Y232" s="843"/>
      <c r="Z232" s="843"/>
      <c r="AA232" s="843"/>
      <c r="AB232" s="204"/>
      <c r="AC232" s="204"/>
      <c r="AD232" s="1212"/>
      <c r="AE232" s="1212"/>
      <c r="AF232" s="1186"/>
      <c r="AG232" s="1186"/>
      <c r="AH232" s="1222"/>
      <c r="AI232" s="1222"/>
      <c r="AJ232" s="1222"/>
      <c r="AK232" s="1222"/>
      <c r="AL232" s="1222"/>
      <c r="AM232" s="1222"/>
      <c r="AN232" s="1222"/>
      <c r="AO232" s="1222"/>
      <c r="AP232" s="1222"/>
      <c r="AQ232" s="1222"/>
      <c r="AR232" s="1222"/>
      <c r="AS232" s="1222"/>
      <c r="AT232" s="1222"/>
      <c r="AU232" s="1120"/>
      <c r="AV232" s="445"/>
      <c r="AW232" s="607"/>
      <c r="AX232" s="607"/>
      <c r="AY232" s="607"/>
      <c r="AZ232" s="1209"/>
      <c r="BA232" s="1209"/>
    </row>
    <row r="233" spans="2:53" s="256" customFormat="1" ht="24.95" customHeight="1">
      <c r="B233" s="445"/>
      <c r="C233" s="843"/>
      <c r="D233" s="843"/>
      <c r="E233" s="843"/>
      <c r="F233" s="1116"/>
      <c r="G233" s="1117"/>
      <c r="H233" s="868"/>
      <c r="I233" s="1118"/>
      <c r="J233" s="1138"/>
      <c r="K233" s="1138"/>
      <c r="L233" s="868"/>
      <c r="M233" s="868"/>
      <c r="N233" s="1118"/>
      <c r="O233" s="1119"/>
      <c r="P233" s="884"/>
      <c r="Q233" s="885"/>
      <c r="R233" s="843"/>
      <c r="S233" s="843"/>
      <c r="T233" s="843"/>
      <c r="U233" s="843"/>
      <c r="V233" s="843"/>
      <c r="W233" s="843"/>
      <c r="X233" s="870"/>
      <c r="Y233" s="843"/>
      <c r="Z233" s="843"/>
      <c r="AA233" s="843"/>
      <c r="AB233" s="204"/>
      <c r="AC233" s="204"/>
      <c r="AD233" s="1212"/>
      <c r="AE233" s="1212"/>
      <c r="AF233" s="1186"/>
      <c r="AG233" s="1186"/>
      <c r="AH233" s="1222"/>
      <c r="AI233" s="1222"/>
      <c r="AJ233" s="1222"/>
      <c r="AK233" s="1222"/>
      <c r="AL233" s="1222"/>
      <c r="AM233" s="1222"/>
      <c r="AN233" s="1222"/>
      <c r="AO233" s="1222"/>
      <c r="AP233" s="1222"/>
      <c r="AQ233" s="1222"/>
      <c r="AR233" s="1222"/>
      <c r="AS233" s="1222"/>
      <c r="AT233" s="1222"/>
      <c r="AU233" s="1120"/>
      <c r="AV233" s="445"/>
      <c r="AW233" s="607"/>
      <c r="AX233" s="607"/>
      <c r="AY233" s="607"/>
      <c r="AZ233" s="1209"/>
      <c r="BA233" s="1209"/>
    </row>
    <row r="234" spans="2:53" s="256" customFormat="1" ht="24.95" customHeight="1">
      <c r="B234" s="445"/>
      <c r="C234" s="843"/>
      <c r="D234" s="843"/>
      <c r="E234" s="843"/>
      <c r="F234" s="1116"/>
      <c r="G234" s="1117"/>
      <c r="H234" s="868"/>
      <c r="I234" s="1118"/>
      <c r="J234" s="1138"/>
      <c r="K234" s="1138"/>
      <c r="L234" s="868"/>
      <c r="M234" s="868"/>
      <c r="N234" s="1118"/>
      <c r="O234" s="1119"/>
      <c r="P234" s="884"/>
      <c r="Q234" s="885"/>
      <c r="R234" s="843"/>
      <c r="S234" s="843"/>
      <c r="T234" s="843"/>
      <c r="U234" s="843"/>
      <c r="V234" s="843"/>
      <c r="W234" s="843"/>
      <c r="X234" s="870"/>
      <c r="Y234" s="843"/>
      <c r="Z234" s="843"/>
      <c r="AA234" s="843"/>
      <c r="AB234" s="204"/>
      <c r="AC234" s="204"/>
      <c r="AD234" s="1212"/>
      <c r="AE234" s="1212"/>
      <c r="AF234" s="1186"/>
      <c r="AG234" s="1186"/>
      <c r="AH234" s="1222"/>
      <c r="AI234" s="1222"/>
      <c r="AJ234" s="1222"/>
      <c r="AK234" s="1222"/>
      <c r="AL234" s="1222"/>
      <c r="AM234" s="1222"/>
      <c r="AN234" s="1222"/>
      <c r="AO234" s="1222"/>
      <c r="AP234" s="1222"/>
      <c r="AQ234" s="1222"/>
      <c r="AR234" s="1222"/>
      <c r="AS234" s="1222"/>
      <c r="AT234" s="1222"/>
      <c r="AU234" s="1120"/>
      <c r="AV234" s="445"/>
      <c r="AW234" s="607"/>
      <c r="AX234" s="607"/>
      <c r="AY234" s="607"/>
      <c r="AZ234" s="1209"/>
      <c r="BA234" s="1209"/>
    </row>
    <row r="235" spans="2:53" s="256" customFormat="1" ht="24.95" customHeight="1">
      <c r="B235" s="445"/>
      <c r="C235" s="843"/>
      <c r="D235" s="843"/>
      <c r="E235" s="843"/>
      <c r="F235" s="1116"/>
      <c r="G235" s="1117"/>
      <c r="H235" s="868"/>
      <c r="I235" s="1118"/>
      <c r="J235" s="1138"/>
      <c r="K235" s="1138"/>
      <c r="L235" s="868"/>
      <c r="M235" s="868"/>
      <c r="N235" s="1118"/>
      <c r="O235" s="1119"/>
      <c r="P235" s="884"/>
      <c r="Q235" s="885"/>
      <c r="R235" s="843"/>
      <c r="S235" s="843"/>
      <c r="T235" s="843"/>
      <c r="U235" s="843"/>
      <c r="V235" s="843"/>
      <c r="W235" s="843"/>
      <c r="X235" s="870"/>
      <c r="Y235" s="843"/>
      <c r="Z235" s="843"/>
      <c r="AA235" s="843"/>
      <c r="AB235" s="204"/>
      <c r="AC235" s="204"/>
      <c r="AD235" s="1212"/>
      <c r="AE235" s="1212"/>
      <c r="AF235" s="1186"/>
      <c r="AG235" s="1186"/>
      <c r="AH235" s="1222"/>
      <c r="AI235" s="1222"/>
      <c r="AJ235" s="1222"/>
      <c r="AK235" s="1222"/>
      <c r="AL235" s="1222"/>
      <c r="AM235" s="1222"/>
      <c r="AN235" s="1222"/>
      <c r="AO235" s="1222"/>
      <c r="AP235" s="1222"/>
      <c r="AQ235" s="1222"/>
      <c r="AR235" s="1222"/>
      <c r="AS235" s="1222"/>
      <c r="AT235" s="1222"/>
      <c r="AU235" s="1120"/>
      <c r="AV235" s="445"/>
      <c r="AW235" s="607"/>
      <c r="AX235" s="607"/>
      <c r="AY235" s="607"/>
      <c r="AZ235" s="1209"/>
      <c r="BA235" s="1209"/>
    </row>
    <row r="236" spans="2:53" s="256" customFormat="1" ht="24.95" customHeight="1">
      <c r="B236" s="445"/>
      <c r="C236" s="843"/>
      <c r="D236" s="843"/>
      <c r="E236" s="843"/>
      <c r="F236" s="1116"/>
      <c r="G236" s="1117"/>
      <c r="H236" s="868"/>
      <c r="I236" s="1118"/>
      <c r="J236" s="1138"/>
      <c r="K236" s="1138"/>
      <c r="L236" s="868"/>
      <c r="M236" s="868"/>
      <c r="N236" s="1118"/>
      <c r="O236" s="1119"/>
      <c r="P236" s="884"/>
      <c r="Q236" s="885"/>
      <c r="R236" s="843"/>
      <c r="S236" s="843"/>
      <c r="T236" s="843"/>
      <c r="U236" s="843"/>
      <c r="V236" s="843"/>
      <c r="W236" s="843"/>
      <c r="X236" s="870"/>
      <c r="Y236" s="843"/>
      <c r="Z236" s="843"/>
      <c r="AA236" s="843"/>
      <c r="AB236" s="204"/>
      <c r="AC236" s="204"/>
      <c r="AD236" s="1212"/>
      <c r="AE236" s="1212"/>
      <c r="AF236" s="1186"/>
      <c r="AG236" s="1186"/>
      <c r="AH236" s="1222"/>
      <c r="AI236" s="1222"/>
      <c r="AJ236" s="1222"/>
      <c r="AK236" s="1222"/>
      <c r="AL236" s="1222"/>
      <c r="AM236" s="1222"/>
      <c r="AN236" s="1222"/>
      <c r="AO236" s="1222"/>
      <c r="AP236" s="1222"/>
      <c r="AQ236" s="1222"/>
      <c r="AR236" s="1222"/>
      <c r="AS236" s="1222"/>
      <c r="AT236" s="1222"/>
      <c r="AU236" s="1120"/>
      <c r="AV236" s="445"/>
      <c r="AW236" s="607"/>
      <c r="AX236" s="607"/>
      <c r="AY236" s="607"/>
      <c r="AZ236" s="1209"/>
      <c r="BA236" s="1209"/>
    </row>
    <row r="237" spans="2:53" s="256" customFormat="1" ht="24.95" customHeight="1">
      <c r="B237" s="445"/>
      <c r="C237" s="843"/>
      <c r="D237" s="843"/>
      <c r="E237" s="843"/>
      <c r="F237" s="1116"/>
      <c r="G237" s="1117"/>
      <c r="H237" s="868"/>
      <c r="I237" s="1118"/>
      <c r="J237" s="1138"/>
      <c r="K237" s="1138"/>
      <c r="L237" s="868"/>
      <c r="M237" s="868"/>
      <c r="N237" s="1118"/>
      <c r="O237" s="1119"/>
      <c r="P237" s="884"/>
      <c r="Q237" s="885"/>
      <c r="R237" s="843"/>
      <c r="S237" s="843"/>
      <c r="T237" s="843"/>
      <c r="U237" s="843"/>
      <c r="V237" s="843"/>
      <c r="W237" s="843"/>
      <c r="X237" s="870"/>
      <c r="Y237" s="843"/>
      <c r="Z237" s="843"/>
      <c r="AA237" s="843"/>
      <c r="AB237" s="204"/>
      <c r="AC237" s="204"/>
      <c r="AD237" s="1212"/>
      <c r="AE237" s="1212"/>
      <c r="AF237" s="1186"/>
      <c r="AG237" s="1186"/>
      <c r="AH237" s="1222"/>
      <c r="AI237" s="1222"/>
      <c r="AJ237" s="1222"/>
      <c r="AK237" s="1222"/>
      <c r="AL237" s="1222"/>
      <c r="AM237" s="1222"/>
      <c r="AN237" s="1222"/>
      <c r="AO237" s="1222"/>
      <c r="AP237" s="1222"/>
      <c r="AQ237" s="1222"/>
      <c r="AR237" s="1222"/>
      <c r="AS237" s="1222"/>
      <c r="AT237" s="1222"/>
      <c r="AU237" s="1120"/>
      <c r="AV237" s="445"/>
      <c r="AW237" s="607"/>
      <c r="AX237" s="607"/>
      <c r="AY237" s="607"/>
      <c r="AZ237" s="1209"/>
      <c r="BA237" s="1209"/>
    </row>
    <row r="238" spans="2:53" s="256" customFormat="1" ht="24.95" customHeight="1">
      <c r="B238" s="445"/>
      <c r="C238" s="843"/>
      <c r="D238" s="843"/>
      <c r="E238" s="843"/>
      <c r="F238" s="1116"/>
      <c r="G238" s="1117"/>
      <c r="H238" s="868"/>
      <c r="I238" s="1118"/>
      <c r="J238" s="1138"/>
      <c r="K238" s="1138"/>
      <c r="L238" s="868"/>
      <c r="M238" s="868"/>
      <c r="N238" s="1118"/>
      <c r="O238" s="1119"/>
      <c r="P238" s="884"/>
      <c r="Q238" s="885"/>
      <c r="R238" s="843"/>
      <c r="S238" s="843"/>
      <c r="T238" s="843"/>
      <c r="U238" s="843"/>
      <c r="V238" s="843"/>
      <c r="W238" s="843"/>
      <c r="X238" s="870"/>
      <c r="Y238" s="843"/>
      <c r="Z238" s="843"/>
      <c r="AA238" s="843"/>
      <c r="AB238" s="204"/>
      <c r="AC238" s="204"/>
      <c r="AD238" s="1212"/>
      <c r="AE238" s="1212"/>
      <c r="AF238" s="1186"/>
      <c r="AG238" s="1186"/>
      <c r="AH238" s="1222"/>
      <c r="AI238" s="1222"/>
      <c r="AJ238" s="1222"/>
      <c r="AK238" s="1222"/>
      <c r="AL238" s="1222"/>
      <c r="AM238" s="1222"/>
      <c r="AN238" s="1222"/>
      <c r="AO238" s="1222"/>
      <c r="AP238" s="1222"/>
      <c r="AQ238" s="1222"/>
      <c r="AR238" s="1222"/>
      <c r="AS238" s="1222"/>
      <c r="AT238" s="1222"/>
      <c r="AU238" s="1120"/>
      <c r="AV238" s="445"/>
      <c r="AW238" s="607"/>
      <c r="AX238" s="607"/>
      <c r="AY238" s="607"/>
      <c r="AZ238" s="1209"/>
      <c r="BA238" s="1209"/>
    </row>
    <row r="239" spans="2:53" s="256" customFormat="1" ht="24.95" customHeight="1">
      <c r="B239" s="445"/>
      <c r="C239" s="843"/>
      <c r="D239" s="843"/>
      <c r="E239" s="843"/>
      <c r="F239" s="1116"/>
      <c r="G239" s="1117"/>
      <c r="H239" s="868"/>
      <c r="I239" s="1118"/>
      <c r="J239" s="1138"/>
      <c r="K239" s="1138"/>
      <c r="L239" s="868"/>
      <c r="M239" s="868"/>
      <c r="N239" s="1118"/>
      <c r="O239" s="1119"/>
      <c r="P239" s="884"/>
      <c r="Q239" s="885"/>
      <c r="R239" s="843"/>
      <c r="S239" s="843"/>
      <c r="T239" s="843"/>
      <c r="U239" s="843"/>
      <c r="V239" s="843"/>
      <c r="W239" s="843"/>
      <c r="X239" s="870"/>
      <c r="Y239" s="843"/>
      <c r="Z239" s="843"/>
      <c r="AA239" s="843"/>
      <c r="AB239" s="204"/>
      <c r="AC239" s="204"/>
      <c r="AD239" s="1212"/>
      <c r="AE239" s="1212"/>
      <c r="AF239" s="1186"/>
      <c r="AG239" s="1186"/>
      <c r="AH239" s="1222"/>
      <c r="AI239" s="1222"/>
      <c r="AJ239" s="1222"/>
      <c r="AK239" s="1222"/>
      <c r="AL239" s="1222"/>
      <c r="AM239" s="1222"/>
      <c r="AN239" s="1222"/>
      <c r="AO239" s="1222"/>
      <c r="AP239" s="1222"/>
      <c r="AQ239" s="1222"/>
      <c r="AR239" s="1222"/>
      <c r="AS239" s="1222"/>
      <c r="AT239" s="1222"/>
      <c r="AU239" s="1120"/>
      <c r="AV239" s="445"/>
      <c r="AW239" s="607"/>
      <c r="AX239" s="607"/>
      <c r="AY239" s="607"/>
      <c r="AZ239" s="1209"/>
      <c r="BA239" s="1209"/>
    </row>
    <row r="240" spans="2:53" s="256" customFormat="1" ht="24.95" customHeight="1">
      <c r="B240" s="445"/>
      <c r="C240" s="843"/>
      <c r="D240" s="843"/>
      <c r="E240" s="843"/>
      <c r="F240" s="1116"/>
      <c r="G240" s="1117"/>
      <c r="H240" s="868"/>
      <c r="I240" s="1118"/>
      <c r="J240" s="1138"/>
      <c r="K240" s="1138"/>
      <c r="L240" s="868"/>
      <c r="M240" s="868"/>
      <c r="N240" s="1118"/>
      <c r="O240" s="1119"/>
      <c r="P240" s="884"/>
      <c r="Q240" s="885"/>
      <c r="R240" s="843"/>
      <c r="S240" s="843"/>
      <c r="T240" s="843"/>
      <c r="U240" s="843"/>
      <c r="V240" s="843"/>
      <c r="W240" s="843"/>
      <c r="X240" s="870"/>
      <c r="Y240" s="843"/>
      <c r="Z240" s="843"/>
      <c r="AA240" s="843"/>
      <c r="AB240" s="204"/>
      <c r="AC240" s="204"/>
      <c r="AD240" s="1212"/>
      <c r="AE240" s="1212"/>
      <c r="AF240" s="1186"/>
      <c r="AG240" s="1186"/>
      <c r="AH240" s="1222"/>
      <c r="AI240" s="1222"/>
      <c r="AJ240" s="1222"/>
      <c r="AK240" s="1222"/>
      <c r="AL240" s="1222"/>
      <c r="AM240" s="1222"/>
      <c r="AN240" s="1222"/>
      <c r="AO240" s="1222"/>
      <c r="AP240" s="1222"/>
      <c r="AQ240" s="1222"/>
      <c r="AR240" s="1222"/>
      <c r="AS240" s="1222"/>
      <c r="AT240" s="1222"/>
      <c r="AU240" s="1120"/>
      <c r="AV240" s="445"/>
      <c r="AW240" s="607"/>
      <c r="AX240" s="607"/>
      <c r="AY240" s="607"/>
      <c r="AZ240" s="1209"/>
      <c r="BA240" s="1209"/>
    </row>
    <row r="241" spans="2:53" s="256" customFormat="1" ht="24.95" customHeight="1">
      <c r="B241" s="445"/>
      <c r="C241" s="843"/>
      <c r="D241" s="843"/>
      <c r="E241" s="843"/>
      <c r="F241" s="1116"/>
      <c r="G241" s="1117"/>
      <c r="H241" s="868"/>
      <c r="I241" s="1118"/>
      <c r="J241" s="1138"/>
      <c r="K241" s="1138"/>
      <c r="L241" s="868"/>
      <c r="M241" s="868"/>
      <c r="N241" s="1118"/>
      <c r="O241" s="1119"/>
      <c r="P241" s="884"/>
      <c r="Q241" s="885"/>
      <c r="R241" s="843"/>
      <c r="S241" s="843"/>
      <c r="T241" s="843"/>
      <c r="U241" s="843"/>
      <c r="V241" s="843"/>
      <c r="W241" s="843"/>
      <c r="X241" s="870"/>
      <c r="Y241" s="843"/>
      <c r="Z241" s="843"/>
      <c r="AA241" s="843"/>
      <c r="AB241" s="204"/>
      <c r="AC241" s="204"/>
      <c r="AD241" s="1212"/>
      <c r="AE241" s="1212"/>
      <c r="AF241" s="1186"/>
      <c r="AG241" s="1186"/>
      <c r="AH241" s="1222"/>
      <c r="AI241" s="1222"/>
      <c r="AJ241" s="1222"/>
      <c r="AK241" s="1222"/>
      <c r="AL241" s="1222"/>
      <c r="AM241" s="1222"/>
      <c r="AN241" s="1222"/>
      <c r="AO241" s="1222"/>
      <c r="AP241" s="1222"/>
      <c r="AQ241" s="1222"/>
      <c r="AR241" s="1222"/>
      <c r="AS241" s="1222"/>
      <c r="AT241" s="1222"/>
      <c r="AU241" s="1120"/>
      <c r="AV241" s="445"/>
      <c r="AW241" s="607"/>
      <c r="AX241" s="607"/>
      <c r="AY241" s="607"/>
      <c r="AZ241" s="1209"/>
      <c r="BA241" s="1209"/>
    </row>
    <row r="242" spans="2:53" s="256" customFormat="1" ht="24.95" customHeight="1">
      <c r="B242" s="445"/>
      <c r="C242" s="843"/>
      <c r="D242" s="843"/>
      <c r="E242" s="843"/>
      <c r="F242" s="1116"/>
      <c r="G242" s="1117"/>
      <c r="H242" s="868"/>
      <c r="I242" s="1118"/>
      <c r="J242" s="1138"/>
      <c r="K242" s="1138"/>
      <c r="L242" s="868"/>
      <c r="M242" s="868"/>
      <c r="N242" s="1118"/>
      <c r="O242" s="1119"/>
      <c r="P242" s="884"/>
      <c r="Q242" s="885"/>
      <c r="R242" s="843"/>
      <c r="S242" s="843"/>
      <c r="T242" s="843"/>
      <c r="U242" s="843"/>
      <c r="V242" s="843"/>
      <c r="W242" s="843"/>
      <c r="X242" s="870"/>
      <c r="Y242" s="843"/>
      <c r="Z242" s="843"/>
      <c r="AA242" s="843"/>
      <c r="AB242" s="204"/>
      <c r="AC242" s="204"/>
      <c r="AD242" s="1212"/>
      <c r="AE242" s="1212"/>
      <c r="AF242" s="1186"/>
      <c r="AG242" s="1186"/>
      <c r="AH242" s="1222"/>
      <c r="AI242" s="1222"/>
      <c r="AJ242" s="1222"/>
      <c r="AK242" s="1222"/>
      <c r="AL242" s="1222"/>
      <c r="AM242" s="1222"/>
      <c r="AN242" s="1222"/>
      <c r="AO242" s="1222"/>
      <c r="AP242" s="1222"/>
      <c r="AQ242" s="1222"/>
      <c r="AR242" s="1222"/>
      <c r="AS242" s="1222"/>
      <c r="AT242" s="1222"/>
      <c r="AU242" s="1120"/>
      <c r="AV242" s="445"/>
      <c r="AW242" s="607"/>
      <c r="AX242" s="607"/>
      <c r="AY242" s="607"/>
      <c r="AZ242" s="1209"/>
      <c r="BA242" s="1209"/>
    </row>
    <row r="243" spans="2:53" s="256" customFormat="1" ht="24.95" customHeight="1">
      <c r="B243" s="445"/>
      <c r="C243" s="843"/>
      <c r="D243" s="843"/>
      <c r="E243" s="843"/>
      <c r="F243" s="1116"/>
      <c r="G243" s="1117"/>
      <c r="H243" s="868"/>
      <c r="I243" s="1118"/>
      <c r="J243" s="1138"/>
      <c r="K243" s="1138"/>
      <c r="L243" s="868"/>
      <c r="M243" s="868"/>
      <c r="N243" s="1118"/>
      <c r="O243" s="1119"/>
      <c r="P243" s="884"/>
      <c r="Q243" s="885"/>
      <c r="R243" s="843"/>
      <c r="S243" s="843"/>
      <c r="T243" s="843"/>
      <c r="U243" s="843"/>
      <c r="V243" s="843"/>
      <c r="W243" s="843"/>
      <c r="X243" s="870"/>
      <c r="Y243" s="843"/>
      <c r="Z243" s="843"/>
      <c r="AA243" s="843"/>
      <c r="AB243" s="204"/>
      <c r="AC243" s="204"/>
      <c r="AD243" s="1212"/>
      <c r="AE243" s="1212"/>
      <c r="AF243" s="1186"/>
      <c r="AG243" s="1186"/>
      <c r="AH243" s="1222"/>
      <c r="AI243" s="1222"/>
      <c r="AJ243" s="1222"/>
      <c r="AK243" s="1222"/>
      <c r="AL243" s="1222"/>
      <c r="AM243" s="1222"/>
      <c r="AN243" s="1222"/>
      <c r="AO243" s="1222"/>
      <c r="AP243" s="1222"/>
      <c r="AQ243" s="1222"/>
      <c r="AR243" s="1222"/>
      <c r="AS243" s="1222"/>
      <c r="AT243" s="1222"/>
      <c r="AU243" s="1120"/>
      <c r="AV243" s="445"/>
      <c r="AW243" s="607"/>
      <c r="AX243" s="607"/>
      <c r="AY243" s="607"/>
      <c r="AZ243" s="1209"/>
      <c r="BA243" s="1209"/>
    </row>
    <row r="244" spans="2:53" s="256" customFormat="1" ht="24.95" customHeight="1">
      <c r="B244" s="445"/>
      <c r="C244" s="843"/>
      <c r="D244" s="843"/>
      <c r="E244" s="843"/>
      <c r="F244" s="1116"/>
      <c r="G244" s="1117"/>
      <c r="H244" s="868"/>
      <c r="I244" s="1118"/>
      <c r="J244" s="1138"/>
      <c r="K244" s="1138"/>
      <c r="L244" s="868"/>
      <c r="M244" s="868"/>
      <c r="N244" s="1118"/>
      <c r="O244" s="1119"/>
      <c r="P244" s="884"/>
      <c r="Q244" s="885"/>
      <c r="R244" s="843"/>
      <c r="S244" s="843"/>
      <c r="T244" s="843"/>
      <c r="U244" s="843"/>
      <c r="V244" s="843"/>
      <c r="W244" s="843"/>
      <c r="X244" s="870"/>
      <c r="Y244" s="843"/>
      <c r="Z244" s="843"/>
      <c r="AA244" s="843"/>
      <c r="AB244" s="204"/>
      <c r="AC244" s="204"/>
      <c r="AD244" s="1212"/>
      <c r="AE244" s="1212"/>
      <c r="AF244" s="1186"/>
      <c r="AG244" s="1186"/>
      <c r="AH244" s="1222"/>
      <c r="AI244" s="1222"/>
      <c r="AJ244" s="1222"/>
      <c r="AK244" s="1222"/>
      <c r="AL244" s="1222"/>
      <c r="AM244" s="1222"/>
      <c r="AN244" s="1222"/>
      <c r="AO244" s="1222"/>
      <c r="AP244" s="1222"/>
      <c r="AQ244" s="1222"/>
      <c r="AR244" s="1222"/>
      <c r="AS244" s="1222"/>
      <c r="AT244" s="1222"/>
      <c r="AU244" s="1120"/>
      <c r="AV244" s="445"/>
      <c r="AW244" s="607"/>
      <c r="AX244" s="607"/>
      <c r="AY244" s="607"/>
      <c r="AZ244" s="1209"/>
      <c r="BA244" s="1209"/>
    </row>
    <row r="245" spans="2:53" s="256" customFormat="1" ht="24.95" customHeight="1">
      <c r="B245" s="445"/>
      <c r="C245" s="843"/>
      <c r="D245" s="843"/>
      <c r="E245" s="843"/>
      <c r="F245" s="1116"/>
      <c r="G245" s="1117"/>
      <c r="H245" s="868"/>
      <c r="I245" s="1118"/>
      <c r="J245" s="1138"/>
      <c r="K245" s="1138"/>
      <c r="L245" s="868"/>
      <c r="M245" s="868"/>
      <c r="N245" s="1118"/>
      <c r="O245" s="1119"/>
      <c r="P245" s="884"/>
      <c r="Q245" s="885"/>
      <c r="R245" s="843"/>
      <c r="S245" s="843"/>
      <c r="T245" s="843"/>
      <c r="U245" s="843"/>
      <c r="V245" s="843"/>
      <c r="W245" s="843"/>
      <c r="X245" s="870"/>
      <c r="Y245" s="843"/>
      <c r="Z245" s="843"/>
      <c r="AA245" s="843"/>
      <c r="AB245" s="204"/>
      <c r="AC245" s="204"/>
      <c r="AD245" s="1212"/>
      <c r="AE245" s="1212"/>
      <c r="AF245" s="1186"/>
      <c r="AG245" s="1186"/>
      <c r="AH245" s="1222"/>
      <c r="AI245" s="1222"/>
      <c r="AJ245" s="1222"/>
      <c r="AK245" s="1222"/>
      <c r="AL245" s="1222"/>
      <c r="AM245" s="1222"/>
      <c r="AN245" s="1222"/>
      <c r="AO245" s="1222"/>
      <c r="AP245" s="1222"/>
      <c r="AQ245" s="1222"/>
      <c r="AR245" s="1222"/>
      <c r="AS245" s="1222"/>
      <c r="AT245" s="1222"/>
      <c r="AU245" s="1120"/>
      <c r="AV245" s="445"/>
      <c r="AW245" s="607"/>
      <c r="AX245" s="607"/>
      <c r="AY245" s="607"/>
      <c r="AZ245" s="1209"/>
      <c r="BA245" s="1209"/>
    </row>
    <row r="246" spans="2:53" s="256" customFormat="1" ht="24.95" customHeight="1">
      <c r="B246" s="445"/>
      <c r="C246" s="843"/>
      <c r="D246" s="843"/>
      <c r="E246" s="843"/>
      <c r="F246" s="1116"/>
      <c r="G246" s="1117"/>
      <c r="H246" s="868"/>
      <c r="I246" s="1118"/>
      <c r="J246" s="1138"/>
      <c r="K246" s="1138"/>
      <c r="L246" s="868"/>
      <c r="M246" s="868"/>
      <c r="N246" s="1118"/>
      <c r="O246" s="1119"/>
      <c r="P246" s="884"/>
      <c r="Q246" s="885"/>
      <c r="R246" s="843"/>
      <c r="S246" s="843"/>
      <c r="T246" s="843"/>
      <c r="U246" s="843"/>
      <c r="V246" s="843"/>
      <c r="W246" s="843"/>
      <c r="X246" s="870"/>
      <c r="Y246" s="843"/>
      <c r="Z246" s="843"/>
      <c r="AA246" s="843"/>
      <c r="AB246" s="204"/>
      <c r="AC246" s="204"/>
      <c r="AD246" s="1212"/>
      <c r="AE246" s="1212"/>
      <c r="AF246" s="1186"/>
      <c r="AG246" s="1186"/>
      <c r="AH246" s="1222"/>
      <c r="AI246" s="1222"/>
      <c r="AJ246" s="1222"/>
      <c r="AK246" s="1222"/>
      <c r="AL246" s="1222"/>
      <c r="AM246" s="1222"/>
      <c r="AN246" s="1222"/>
      <c r="AO246" s="1222"/>
      <c r="AP246" s="1222"/>
      <c r="AQ246" s="1222"/>
      <c r="AR246" s="1222"/>
      <c r="AS246" s="1222"/>
      <c r="AT246" s="1222"/>
      <c r="AU246" s="1120"/>
      <c r="AV246" s="445"/>
      <c r="AW246" s="607"/>
      <c r="AX246" s="607"/>
      <c r="AY246" s="607"/>
      <c r="AZ246" s="1209"/>
      <c r="BA246" s="1209"/>
    </row>
    <row r="247" spans="2:53" s="256" customFormat="1" ht="24.95" customHeight="1">
      <c r="B247" s="445"/>
      <c r="C247" s="843"/>
      <c r="D247" s="843"/>
      <c r="E247" s="843"/>
      <c r="F247" s="1116"/>
      <c r="G247" s="1117"/>
      <c r="H247" s="868"/>
      <c r="I247" s="1118"/>
      <c r="J247" s="1138"/>
      <c r="K247" s="1138"/>
      <c r="L247" s="868"/>
      <c r="M247" s="868"/>
      <c r="N247" s="1118"/>
      <c r="O247" s="1119"/>
      <c r="P247" s="884"/>
      <c r="Q247" s="885"/>
      <c r="R247" s="843"/>
      <c r="S247" s="843"/>
      <c r="T247" s="843"/>
      <c r="U247" s="843"/>
      <c r="V247" s="843"/>
      <c r="W247" s="843"/>
      <c r="X247" s="870"/>
      <c r="Y247" s="843"/>
      <c r="Z247" s="843"/>
      <c r="AA247" s="843"/>
      <c r="AB247" s="204"/>
      <c r="AC247" s="204"/>
      <c r="AD247" s="1212"/>
      <c r="AE247" s="1212"/>
      <c r="AF247" s="1186"/>
      <c r="AG247" s="1186"/>
      <c r="AH247" s="1222"/>
      <c r="AI247" s="1222"/>
      <c r="AJ247" s="1222"/>
      <c r="AK247" s="1222"/>
      <c r="AL247" s="1222"/>
      <c r="AM247" s="1222"/>
      <c r="AN247" s="1222"/>
      <c r="AO247" s="1222"/>
      <c r="AP247" s="1222"/>
      <c r="AQ247" s="1222"/>
      <c r="AR247" s="1222"/>
      <c r="AS247" s="1222"/>
      <c r="AT247" s="1222"/>
      <c r="AU247" s="1120"/>
      <c r="AV247" s="445"/>
      <c r="AW247" s="607"/>
      <c r="AX247" s="607"/>
      <c r="AY247" s="607"/>
      <c r="AZ247" s="1209"/>
      <c r="BA247" s="1209"/>
    </row>
    <row r="248" spans="2:53" s="256" customFormat="1" ht="24.95" customHeight="1">
      <c r="B248" s="445"/>
      <c r="C248" s="843"/>
      <c r="D248" s="843"/>
      <c r="E248" s="843"/>
      <c r="F248" s="1116"/>
      <c r="G248" s="1117"/>
      <c r="H248" s="868"/>
      <c r="I248" s="1118"/>
      <c r="J248" s="1138"/>
      <c r="K248" s="1138"/>
      <c r="L248" s="868"/>
      <c r="M248" s="868"/>
      <c r="N248" s="1118"/>
      <c r="O248" s="1119"/>
      <c r="P248" s="884"/>
      <c r="Q248" s="885"/>
      <c r="R248" s="843"/>
      <c r="S248" s="843"/>
      <c r="T248" s="843"/>
      <c r="U248" s="843"/>
      <c r="V248" s="843"/>
      <c r="W248" s="843"/>
      <c r="X248" s="870"/>
      <c r="Y248" s="843"/>
      <c r="Z248" s="843"/>
      <c r="AA248" s="843"/>
      <c r="AB248" s="204"/>
      <c r="AC248" s="204"/>
      <c r="AD248" s="1212"/>
      <c r="AE248" s="1212"/>
      <c r="AF248" s="1186"/>
      <c r="AG248" s="1186"/>
      <c r="AH248" s="1222"/>
      <c r="AI248" s="1222"/>
      <c r="AJ248" s="1222"/>
      <c r="AK248" s="1222"/>
      <c r="AL248" s="1222"/>
      <c r="AM248" s="1222"/>
      <c r="AN248" s="1222"/>
      <c r="AO248" s="1222"/>
      <c r="AP248" s="1222"/>
      <c r="AQ248" s="1222"/>
      <c r="AR248" s="1222"/>
      <c r="AS248" s="1222"/>
      <c r="AT248" s="1222"/>
      <c r="AU248" s="1120"/>
      <c r="AV248" s="445"/>
      <c r="AW248" s="607"/>
      <c r="AX248" s="607"/>
      <c r="AY248" s="607"/>
      <c r="AZ248" s="1209"/>
      <c r="BA248" s="1209"/>
    </row>
    <row r="249" spans="2:53" s="256" customFormat="1" ht="24.95" customHeight="1">
      <c r="B249" s="445"/>
      <c r="C249" s="843"/>
      <c r="D249" s="843"/>
      <c r="E249" s="843"/>
      <c r="F249" s="1116"/>
      <c r="G249" s="1117"/>
      <c r="H249" s="868"/>
      <c r="I249" s="1118"/>
      <c r="J249" s="1138"/>
      <c r="K249" s="1138"/>
      <c r="L249" s="868"/>
      <c r="M249" s="868"/>
      <c r="N249" s="1118"/>
      <c r="O249" s="1119"/>
      <c r="P249" s="884"/>
      <c r="Q249" s="885"/>
      <c r="R249" s="843"/>
      <c r="S249" s="843"/>
      <c r="T249" s="843"/>
      <c r="U249" s="843"/>
      <c r="V249" s="843"/>
      <c r="W249" s="843"/>
      <c r="X249" s="870"/>
      <c r="Y249" s="843"/>
      <c r="Z249" s="843"/>
      <c r="AA249" s="843"/>
      <c r="AB249" s="204"/>
      <c r="AC249" s="204"/>
      <c r="AD249" s="1212"/>
      <c r="AE249" s="1212"/>
      <c r="AF249" s="1186"/>
      <c r="AG249" s="1186"/>
      <c r="AH249" s="1222"/>
      <c r="AI249" s="1222"/>
      <c r="AJ249" s="1222"/>
      <c r="AK249" s="1222"/>
      <c r="AL249" s="1222"/>
      <c r="AM249" s="1222"/>
      <c r="AN249" s="1222"/>
      <c r="AO249" s="1222"/>
      <c r="AP249" s="1222"/>
      <c r="AQ249" s="1222"/>
      <c r="AR249" s="1222"/>
      <c r="AS249" s="1222"/>
      <c r="AT249" s="1222"/>
      <c r="AU249" s="1120"/>
      <c r="AV249" s="445"/>
      <c r="AW249" s="607"/>
      <c r="AX249" s="607"/>
      <c r="AY249" s="607"/>
      <c r="AZ249" s="1209"/>
      <c r="BA249" s="1209"/>
    </row>
    <row r="250" spans="2:53" s="256" customFormat="1" ht="24.95" customHeight="1">
      <c r="B250" s="445"/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1123"/>
      <c r="O250" s="1119"/>
      <c r="P250" s="884"/>
      <c r="Q250" s="1122"/>
      <c r="R250" s="1124"/>
      <c r="S250" s="1124"/>
      <c r="T250" s="1124"/>
      <c r="U250" s="1124"/>
      <c r="V250" s="1124"/>
      <c r="W250" s="1124"/>
      <c r="X250" s="868"/>
      <c r="Y250" s="843"/>
      <c r="Z250" s="843"/>
      <c r="AA250" s="843"/>
      <c r="AB250" s="204"/>
      <c r="AC250" s="204"/>
      <c r="AD250" s="1212"/>
      <c r="AE250" s="1212"/>
      <c r="AF250" s="1186"/>
      <c r="AG250" s="1186"/>
      <c r="AH250" s="1222"/>
      <c r="AI250" s="1222"/>
      <c r="AJ250" s="1222"/>
      <c r="AK250" s="1222"/>
      <c r="AL250" s="1222"/>
      <c r="AM250" s="1222"/>
      <c r="AN250" s="1222"/>
      <c r="AO250" s="1222"/>
      <c r="AP250" s="1222"/>
      <c r="AQ250" s="1222"/>
      <c r="AR250" s="1222"/>
      <c r="AS250" s="1222"/>
      <c r="AT250" s="1222"/>
      <c r="AU250" s="1120"/>
      <c r="AV250" s="445"/>
      <c r="AW250" s="607"/>
      <c r="AX250" s="607"/>
      <c r="AY250" s="607"/>
      <c r="AZ250" s="1209"/>
      <c r="BA250" s="1209"/>
    </row>
    <row r="251" spans="2:53" s="256" customFormat="1" ht="24.95" customHeight="1">
      <c r="B251" s="445"/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1123"/>
      <c r="O251" s="1119"/>
      <c r="P251" s="884"/>
      <c r="Q251" s="1122"/>
      <c r="R251" s="1124"/>
      <c r="S251" s="1124"/>
      <c r="T251" s="1124"/>
      <c r="U251" s="1124"/>
      <c r="V251" s="1124"/>
      <c r="W251" s="1124"/>
      <c r="X251" s="868"/>
      <c r="Y251" s="843"/>
      <c r="Z251" s="843"/>
      <c r="AA251" s="843"/>
      <c r="AB251" s="204"/>
      <c r="AC251" s="204"/>
      <c r="AD251" s="1212"/>
      <c r="AE251" s="1212"/>
      <c r="AF251" s="1186"/>
      <c r="AG251" s="1186"/>
      <c r="AH251" s="1222"/>
      <c r="AI251" s="1222"/>
      <c r="AJ251" s="1222"/>
      <c r="AK251" s="1222"/>
      <c r="AL251" s="1222"/>
      <c r="AM251" s="1222"/>
      <c r="AN251" s="1222"/>
      <c r="AO251" s="1222"/>
      <c r="AP251" s="1222"/>
      <c r="AQ251" s="1222"/>
      <c r="AR251" s="1222"/>
      <c r="AS251" s="1222"/>
      <c r="AT251" s="1222"/>
      <c r="AU251" s="1120"/>
      <c r="AV251" s="445"/>
      <c r="AW251" s="607"/>
      <c r="AX251" s="607"/>
      <c r="AY251" s="607"/>
      <c r="AZ251" s="1209"/>
      <c r="BA251" s="1209"/>
    </row>
    <row r="252" spans="2:53" s="256" customFormat="1" ht="24.95" customHeight="1">
      <c r="B252" s="445"/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1123"/>
      <c r="O252" s="1119"/>
      <c r="P252" s="884"/>
      <c r="Q252" s="1122"/>
      <c r="R252" s="1124"/>
      <c r="S252" s="1124"/>
      <c r="T252" s="1124"/>
      <c r="U252" s="1124"/>
      <c r="V252" s="1124"/>
      <c r="W252" s="1124"/>
      <c r="X252" s="868"/>
      <c r="Y252" s="843"/>
      <c r="Z252" s="843"/>
      <c r="AA252" s="843"/>
      <c r="AB252" s="204"/>
      <c r="AC252" s="204"/>
      <c r="AD252" s="1212"/>
      <c r="AE252" s="1212"/>
      <c r="AF252" s="1186"/>
      <c r="AG252" s="1186"/>
      <c r="AH252" s="1222"/>
      <c r="AI252" s="1222"/>
      <c r="AJ252" s="1222"/>
      <c r="AK252" s="1222"/>
      <c r="AL252" s="1222"/>
      <c r="AM252" s="1222"/>
      <c r="AN252" s="1222"/>
      <c r="AO252" s="1222"/>
      <c r="AP252" s="1222"/>
      <c r="AQ252" s="1222"/>
      <c r="AR252" s="1222"/>
      <c r="AS252" s="1222"/>
      <c r="AT252" s="1222"/>
      <c r="AU252" s="1120"/>
      <c r="AV252" s="445"/>
      <c r="AW252" s="607"/>
      <c r="AX252" s="607"/>
      <c r="AY252" s="607"/>
      <c r="AZ252" s="1209"/>
      <c r="BA252" s="1209"/>
    </row>
    <row r="253" spans="2:53" s="256" customFormat="1" ht="24.95" customHeight="1">
      <c r="B253" s="445"/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1123"/>
      <c r="O253" s="1119"/>
      <c r="P253" s="884"/>
      <c r="Q253" s="1122"/>
      <c r="R253" s="1124"/>
      <c r="S253" s="1124"/>
      <c r="T253" s="1124"/>
      <c r="U253" s="1124"/>
      <c r="V253" s="1124"/>
      <c r="W253" s="1124"/>
      <c r="X253" s="868"/>
      <c r="Y253" s="843"/>
      <c r="Z253" s="843"/>
      <c r="AA253" s="843"/>
      <c r="AB253" s="204"/>
      <c r="AC253" s="204"/>
      <c r="AD253" s="1212"/>
      <c r="AE253" s="1212"/>
      <c r="AF253" s="1186"/>
      <c r="AG253" s="1186"/>
      <c r="AH253" s="1222"/>
      <c r="AI253" s="1222"/>
      <c r="AJ253" s="1222"/>
      <c r="AK253" s="1222"/>
      <c r="AL253" s="1222"/>
      <c r="AM253" s="1222"/>
      <c r="AN253" s="1222"/>
      <c r="AO253" s="1222"/>
      <c r="AP253" s="1222"/>
      <c r="AQ253" s="1222"/>
      <c r="AR253" s="1222"/>
      <c r="AS253" s="1222"/>
      <c r="AT253" s="1222"/>
      <c r="AU253" s="1120"/>
      <c r="AV253" s="445"/>
      <c r="AW253" s="607"/>
      <c r="AX253" s="607"/>
      <c r="AY253" s="607"/>
      <c r="AZ253" s="1209"/>
      <c r="BA253" s="1209"/>
    </row>
    <row r="254" spans="2:53" s="256" customFormat="1" ht="24.95" customHeight="1">
      <c r="B254" s="445"/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1123"/>
      <c r="O254" s="1119"/>
      <c r="P254" s="884"/>
      <c r="Q254" s="1122"/>
      <c r="R254" s="1124"/>
      <c r="S254" s="1124"/>
      <c r="T254" s="1124"/>
      <c r="U254" s="1124"/>
      <c r="V254" s="1124"/>
      <c r="W254" s="1124"/>
      <c r="X254" s="868"/>
      <c r="Y254" s="843"/>
      <c r="Z254" s="843"/>
      <c r="AA254" s="843"/>
      <c r="AB254" s="204"/>
      <c r="AC254" s="204"/>
      <c r="AD254" s="1212"/>
      <c r="AE254" s="1212"/>
      <c r="AF254" s="1186"/>
      <c r="AG254" s="1186"/>
      <c r="AH254" s="1222"/>
      <c r="AI254" s="1222"/>
      <c r="AJ254" s="1222"/>
      <c r="AK254" s="1222"/>
      <c r="AL254" s="1222"/>
      <c r="AM254" s="1222"/>
      <c r="AN254" s="1222"/>
      <c r="AO254" s="1222"/>
      <c r="AP254" s="1222"/>
      <c r="AQ254" s="1222"/>
      <c r="AR254" s="1222"/>
      <c r="AS254" s="1222"/>
      <c r="AT254" s="1222"/>
      <c r="AU254" s="1120"/>
      <c r="AV254" s="445"/>
      <c r="AW254" s="607"/>
      <c r="AX254" s="607"/>
      <c r="AY254" s="607"/>
      <c r="AZ254" s="1209"/>
      <c r="BA254" s="1209"/>
    </row>
    <row r="255" spans="2:53" s="256" customFormat="1" ht="24.95" customHeight="1">
      <c r="B255" s="445"/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1123"/>
      <c r="O255" s="1119"/>
      <c r="P255" s="884"/>
      <c r="Q255" s="1122"/>
      <c r="R255" s="1124"/>
      <c r="S255" s="1124"/>
      <c r="T255" s="1124"/>
      <c r="U255" s="1124"/>
      <c r="V255" s="1124"/>
      <c r="W255" s="1124"/>
      <c r="X255" s="868"/>
      <c r="Y255" s="843"/>
      <c r="Z255" s="843"/>
      <c r="AA255" s="843"/>
      <c r="AB255" s="204"/>
      <c r="AC255" s="204"/>
      <c r="AD255" s="1212"/>
      <c r="AE255" s="1212"/>
      <c r="AF255" s="1186"/>
      <c r="AG255" s="1186"/>
      <c r="AH255" s="1222"/>
      <c r="AI255" s="1222"/>
      <c r="AJ255" s="1222"/>
      <c r="AK255" s="1222"/>
      <c r="AL255" s="1222"/>
      <c r="AM255" s="1222"/>
      <c r="AN255" s="1222"/>
      <c r="AO255" s="1222"/>
      <c r="AP255" s="1222"/>
      <c r="AQ255" s="1222"/>
      <c r="AR255" s="1222"/>
      <c r="AS255" s="1222"/>
      <c r="AT255" s="1222"/>
      <c r="AU255" s="1120"/>
      <c r="AV255" s="445"/>
      <c r="AW255" s="607"/>
      <c r="AX255" s="607"/>
      <c r="AY255" s="607"/>
      <c r="AZ255" s="1209"/>
      <c r="BA255" s="1209"/>
    </row>
    <row r="256" spans="2:53" s="256" customFormat="1" ht="24.95" customHeight="1">
      <c r="B256" s="445"/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1123"/>
      <c r="O256" s="1119"/>
      <c r="P256" s="884"/>
      <c r="Q256" s="1122"/>
      <c r="R256" s="1124"/>
      <c r="S256" s="1124"/>
      <c r="T256" s="1124"/>
      <c r="U256" s="1124"/>
      <c r="V256" s="1124"/>
      <c r="W256" s="1124"/>
      <c r="X256" s="868"/>
      <c r="Y256" s="843"/>
      <c r="Z256" s="843"/>
      <c r="AA256" s="843"/>
      <c r="AB256" s="204"/>
      <c r="AC256" s="204"/>
      <c r="AD256" s="1212"/>
      <c r="AE256" s="1212"/>
      <c r="AF256" s="1186"/>
      <c r="AG256" s="1186"/>
      <c r="AH256" s="1222"/>
      <c r="AI256" s="1222"/>
      <c r="AJ256" s="1222"/>
      <c r="AK256" s="1222"/>
      <c r="AL256" s="1222"/>
      <c r="AM256" s="1222"/>
      <c r="AN256" s="1222"/>
      <c r="AO256" s="1222"/>
      <c r="AP256" s="1222"/>
      <c r="AQ256" s="1222"/>
      <c r="AR256" s="1222"/>
      <c r="AS256" s="1222"/>
      <c r="AT256" s="1222"/>
      <c r="AU256" s="1120"/>
      <c r="AV256" s="445"/>
      <c r="AW256" s="607"/>
      <c r="AX256" s="607"/>
      <c r="AY256" s="607"/>
      <c r="AZ256" s="1209"/>
      <c r="BA256" s="1209"/>
    </row>
    <row r="257" spans="2:53" s="256" customFormat="1" ht="24.95" customHeight="1">
      <c r="B257" s="445"/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1123"/>
      <c r="O257" s="1119"/>
      <c r="P257" s="884"/>
      <c r="Q257" s="1122"/>
      <c r="R257" s="1124"/>
      <c r="S257" s="1124"/>
      <c r="T257" s="1124"/>
      <c r="U257" s="1124"/>
      <c r="V257" s="1124"/>
      <c r="W257" s="1124"/>
      <c r="X257" s="868"/>
      <c r="Y257" s="843"/>
      <c r="Z257" s="843"/>
      <c r="AA257" s="843"/>
      <c r="AB257" s="204"/>
      <c r="AC257" s="204"/>
      <c r="AD257" s="1212"/>
      <c r="AE257" s="1212"/>
      <c r="AF257" s="1186"/>
      <c r="AG257" s="1186"/>
      <c r="AH257" s="1222"/>
      <c r="AI257" s="1222"/>
      <c r="AJ257" s="1222"/>
      <c r="AK257" s="1222"/>
      <c r="AL257" s="1222"/>
      <c r="AM257" s="1222"/>
      <c r="AN257" s="1222"/>
      <c r="AO257" s="1222"/>
      <c r="AP257" s="1222"/>
      <c r="AQ257" s="1222"/>
      <c r="AR257" s="1222"/>
      <c r="AS257" s="1222"/>
      <c r="AT257" s="1222"/>
      <c r="AU257" s="1120"/>
      <c r="AV257" s="445"/>
      <c r="AW257" s="607"/>
      <c r="AX257" s="607"/>
      <c r="AY257" s="607"/>
      <c r="AZ257" s="1209"/>
      <c r="BA257" s="1209"/>
    </row>
    <row r="258" spans="2:53" s="256" customFormat="1" ht="24.95" customHeight="1">
      <c r="B258" s="445"/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1123"/>
      <c r="O258" s="1119"/>
      <c r="P258" s="884"/>
      <c r="Q258" s="1122"/>
      <c r="R258" s="1124"/>
      <c r="S258" s="1124"/>
      <c r="T258" s="1124"/>
      <c r="U258" s="1124"/>
      <c r="V258" s="1124"/>
      <c r="W258" s="1124"/>
      <c r="X258" s="868"/>
      <c r="Y258" s="843"/>
      <c r="Z258" s="843"/>
      <c r="AA258" s="843"/>
      <c r="AB258" s="204"/>
      <c r="AC258" s="204"/>
      <c r="AD258" s="1212"/>
      <c r="AE258" s="1212"/>
      <c r="AF258" s="1186"/>
      <c r="AG258" s="1186"/>
      <c r="AH258" s="1222"/>
      <c r="AI258" s="1222"/>
      <c r="AJ258" s="1222"/>
      <c r="AK258" s="1222"/>
      <c r="AL258" s="1222"/>
      <c r="AM258" s="1222"/>
      <c r="AN258" s="1222"/>
      <c r="AO258" s="1222"/>
      <c r="AP258" s="1222"/>
      <c r="AQ258" s="1222"/>
      <c r="AR258" s="1222"/>
      <c r="AS258" s="1222"/>
      <c r="AT258" s="1222"/>
      <c r="AU258" s="1120"/>
      <c r="AV258" s="445"/>
      <c r="AW258" s="607"/>
      <c r="AX258" s="607"/>
      <c r="AY258" s="607"/>
      <c r="AZ258" s="1209"/>
      <c r="BA258" s="1209"/>
    </row>
    <row r="259" spans="2:53" s="256" customFormat="1" ht="24.95" customHeight="1">
      <c r="B259" s="445"/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1123"/>
      <c r="O259" s="1119"/>
      <c r="P259" s="884"/>
      <c r="Q259" s="1122"/>
      <c r="R259" s="1124"/>
      <c r="S259" s="1124"/>
      <c r="T259" s="1124"/>
      <c r="U259" s="1124"/>
      <c r="V259" s="1124"/>
      <c r="W259" s="1124"/>
      <c r="X259" s="868"/>
      <c r="Y259" s="843"/>
      <c r="Z259" s="843"/>
      <c r="AA259" s="843"/>
      <c r="AB259" s="204"/>
      <c r="AC259" s="204"/>
      <c r="AD259" s="1212"/>
      <c r="AE259" s="1212"/>
      <c r="AF259" s="1186"/>
      <c r="AG259" s="1186"/>
      <c r="AH259" s="1222"/>
      <c r="AI259" s="1222"/>
      <c r="AJ259" s="1222"/>
      <c r="AK259" s="1222"/>
      <c r="AL259" s="1222"/>
      <c r="AM259" s="1222"/>
      <c r="AN259" s="1222"/>
      <c r="AO259" s="1222"/>
      <c r="AP259" s="1222"/>
      <c r="AQ259" s="1222"/>
      <c r="AR259" s="1222"/>
      <c r="AS259" s="1222"/>
      <c r="AT259" s="1222"/>
      <c r="AU259" s="1120"/>
      <c r="AV259" s="445"/>
      <c r="AW259" s="607"/>
      <c r="AX259" s="607"/>
      <c r="AY259" s="607"/>
      <c r="AZ259" s="1209"/>
      <c r="BA259" s="1209"/>
    </row>
    <row r="260" spans="2:53" s="256" customFormat="1" ht="24.95" customHeight="1">
      <c r="B260" s="445"/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1123"/>
      <c r="O260" s="1119"/>
      <c r="P260" s="884"/>
      <c r="Q260" s="1122"/>
      <c r="R260" s="1124"/>
      <c r="S260" s="1124"/>
      <c r="T260" s="1124"/>
      <c r="U260" s="1124"/>
      <c r="V260" s="1124"/>
      <c r="W260" s="1124"/>
      <c r="X260" s="868"/>
      <c r="Y260" s="843"/>
      <c r="Z260" s="843"/>
      <c r="AA260" s="843"/>
      <c r="AB260" s="204"/>
      <c r="AC260" s="204"/>
      <c r="AD260" s="1212"/>
      <c r="AE260" s="1212"/>
      <c r="AF260" s="1186"/>
      <c r="AG260" s="1186"/>
      <c r="AH260" s="1222"/>
      <c r="AI260" s="1222"/>
      <c r="AJ260" s="1222"/>
      <c r="AK260" s="1222"/>
      <c r="AL260" s="1222"/>
      <c r="AM260" s="1222"/>
      <c r="AN260" s="1222"/>
      <c r="AO260" s="1222"/>
      <c r="AP260" s="1222"/>
      <c r="AQ260" s="1222"/>
      <c r="AR260" s="1222"/>
      <c r="AS260" s="1222"/>
      <c r="AT260" s="1222"/>
      <c r="AU260" s="1120"/>
      <c r="AV260" s="445"/>
      <c r="AW260" s="607"/>
      <c r="AX260" s="607"/>
      <c r="AY260" s="607"/>
      <c r="AZ260" s="1209"/>
      <c r="BA260" s="1209"/>
    </row>
    <row r="261" spans="2:53" s="256" customFormat="1" ht="24.95" customHeight="1">
      <c r="B261" s="445"/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1123"/>
      <c r="O261" s="1119"/>
      <c r="P261" s="884"/>
      <c r="Q261" s="1122"/>
      <c r="R261" s="1124"/>
      <c r="S261" s="1124"/>
      <c r="T261" s="1124"/>
      <c r="U261" s="1124"/>
      <c r="V261" s="1124"/>
      <c r="W261" s="1124"/>
      <c r="X261" s="868"/>
      <c r="Y261" s="843"/>
      <c r="Z261" s="843"/>
      <c r="AA261" s="843"/>
      <c r="AB261" s="204"/>
      <c r="AC261" s="204"/>
      <c r="AD261" s="1212"/>
      <c r="AE261" s="1212"/>
      <c r="AF261" s="1186"/>
      <c r="AG261" s="1186"/>
      <c r="AH261" s="1222"/>
      <c r="AI261" s="1222"/>
      <c r="AJ261" s="1222"/>
      <c r="AK261" s="1222"/>
      <c r="AL261" s="1222"/>
      <c r="AM261" s="1222"/>
      <c r="AN261" s="1222"/>
      <c r="AO261" s="1222"/>
      <c r="AP261" s="1222"/>
      <c r="AQ261" s="1222"/>
      <c r="AR261" s="1222"/>
      <c r="AS261" s="1222"/>
      <c r="AT261" s="1222"/>
      <c r="AU261" s="1120"/>
      <c r="AV261" s="445"/>
      <c r="AW261" s="607"/>
      <c r="AX261" s="607"/>
      <c r="AY261" s="607"/>
      <c r="AZ261" s="1209"/>
      <c r="BA261" s="1209"/>
    </row>
    <row r="262" spans="2:53" s="256" customFormat="1" ht="24.95" customHeight="1">
      <c r="B262" s="445"/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1123"/>
      <c r="O262" s="1119"/>
      <c r="P262" s="884"/>
      <c r="Q262" s="1122"/>
      <c r="R262" s="1124"/>
      <c r="S262" s="1124"/>
      <c r="T262" s="1124"/>
      <c r="U262" s="1124"/>
      <c r="V262" s="1124"/>
      <c r="W262" s="1124"/>
      <c r="X262" s="868"/>
      <c r="Y262" s="843"/>
      <c r="Z262" s="843"/>
      <c r="AA262" s="843"/>
      <c r="AB262" s="204"/>
      <c r="AC262" s="204"/>
      <c r="AD262" s="1212"/>
      <c r="AE262" s="1212"/>
      <c r="AF262" s="1186"/>
      <c r="AG262" s="1186"/>
      <c r="AH262" s="1222"/>
      <c r="AI262" s="1222"/>
      <c r="AJ262" s="1222"/>
      <c r="AK262" s="1222"/>
      <c r="AL262" s="1222"/>
      <c r="AM262" s="1222"/>
      <c r="AN262" s="1222"/>
      <c r="AO262" s="1222"/>
      <c r="AP262" s="1222"/>
      <c r="AQ262" s="1222"/>
      <c r="AR262" s="1222"/>
      <c r="AS262" s="1222"/>
      <c r="AT262" s="1222"/>
      <c r="AU262" s="1120"/>
      <c r="AV262" s="445"/>
      <c r="AW262" s="607"/>
      <c r="AX262" s="607"/>
      <c r="AY262" s="607"/>
      <c r="AZ262" s="1209"/>
      <c r="BA262" s="1209"/>
    </row>
    <row r="263" spans="2:53" s="256" customFormat="1" ht="24.95" customHeight="1">
      <c r="B263" s="445"/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1123"/>
      <c r="O263" s="1119"/>
      <c r="P263" s="884"/>
      <c r="Q263" s="1122"/>
      <c r="R263" s="1124"/>
      <c r="S263" s="1124"/>
      <c r="T263" s="1124"/>
      <c r="U263" s="1124"/>
      <c r="V263" s="1124"/>
      <c r="W263" s="1124"/>
      <c r="X263" s="868"/>
      <c r="Y263" s="843"/>
      <c r="Z263" s="843"/>
      <c r="AA263" s="843"/>
      <c r="AB263" s="204"/>
      <c r="AC263" s="204"/>
      <c r="AD263" s="1212"/>
      <c r="AE263" s="1212"/>
      <c r="AF263" s="1186"/>
      <c r="AG263" s="1186"/>
      <c r="AH263" s="1222"/>
      <c r="AI263" s="1222"/>
      <c r="AJ263" s="1222"/>
      <c r="AK263" s="1222"/>
      <c r="AL263" s="1222"/>
      <c r="AM263" s="1222"/>
      <c r="AN263" s="1222"/>
      <c r="AO263" s="1222"/>
      <c r="AP263" s="1222"/>
      <c r="AQ263" s="1222"/>
      <c r="AR263" s="1222"/>
      <c r="AS263" s="1222"/>
      <c r="AT263" s="1222"/>
      <c r="AU263" s="1120"/>
      <c r="AV263" s="445"/>
      <c r="AW263" s="607"/>
      <c r="AX263" s="607"/>
      <c r="AY263" s="607"/>
      <c r="AZ263" s="1209"/>
      <c r="BA263" s="1209"/>
    </row>
    <row r="264" spans="2:53" s="256" customFormat="1" ht="24.95" customHeight="1">
      <c r="B264" s="445"/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1123"/>
      <c r="O264" s="1119"/>
      <c r="P264" s="884"/>
      <c r="Q264" s="1122"/>
      <c r="R264" s="1124"/>
      <c r="S264" s="1124"/>
      <c r="T264" s="1124"/>
      <c r="U264" s="1124"/>
      <c r="V264" s="1124"/>
      <c r="W264" s="1124"/>
      <c r="X264" s="868"/>
      <c r="Y264" s="843"/>
      <c r="Z264" s="843"/>
      <c r="AA264" s="843"/>
      <c r="AB264" s="204"/>
      <c r="AC264" s="204"/>
      <c r="AD264" s="1212"/>
      <c r="AE264" s="1212"/>
      <c r="AF264" s="1186"/>
      <c r="AG264" s="1186"/>
      <c r="AH264" s="1222"/>
      <c r="AI264" s="1222"/>
      <c r="AJ264" s="1222"/>
      <c r="AK264" s="1222"/>
      <c r="AL264" s="1222"/>
      <c r="AM264" s="1222"/>
      <c r="AN264" s="1222"/>
      <c r="AO264" s="1222"/>
      <c r="AP264" s="1222"/>
      <c r="AQ264" s="1222"/>
      <c r="AR264" s="1222"/>
      <c r="AS264" s="1222"/>
      <c r="AT264" s="1222"/>
      <c r="AU264" s="1120"/>
      <c r="AV264" s="445"/>
      <c r="AW264" s="607"/>
      <c r="AX264" s="607"/>
      <c r="AY264" s="607"/>
      <c r="AZ264" s="1209"/>
      <c r="BA264" s="1209"/>
    </row>
    <row r="265" spans="2:53" s="256" customFormat="1" ht="24.95" customHeight="1">
      <c r="B265" s="445"/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1123"/>
      <c r="O265" s="1119"/>
      <c r="P265" s="884"/>
      <c r="Q265" s="1122"/>
      <c r="R265" s="1124"/>
      <c r="S265" s="1124"/>
      <c r="T265" s="1124"/>
      <c r="U265" s="1124"/>
      <c r="V265" s="1124"/>
      <c r="W265" s="1124"/>
      <c r="X265" s="868"/>
      <c r="Y265" s="843"/>
      <c r="Z265" s="843"/>
      <c r="AA265" s="843"/>
      <c r="AB265" s="204"/>
      <c r="AC265" s="204"/>
      <c r="AD265" s="1212"/>
      <c r="AE265" s="1212"/>
      <c r="AF265" s="1186"/>
      <c r="AG265" s="1186"/>
      <c r="AH265" s="1222"/>
      <c r="AI265" s="1222"/>
      <c r="AJ265" s="1222"/>
      <c r="AK265" s="1222"/>
      <c r="AL265" s="1222"/>
      <c r="AM265" s="1222"/>
      <c r="AN265" s="1222"/>
      <c r="AO265" s="1222"/>
      <c r="AP265" s="1222"/>
      <c r="AQ265" s="1222"/>
      <c r="AR265" s="1222"/>
      <c r="AS265" s="1222"/>
      <c r="AT265" s="1222"/>
      <c r="AU265" s="1120"/>
      <c r="AV265" s="445"/>
      <c r="AW265" s="607"/>
      <c r="AX265" s="607"/>
      <c r="AY265" s="607"/>
      <c r="AZ265" s="1209"/>
      <c r="BA265" s="1209"/>
    </row>
    <row r="266" spans="2:53" s="256" customFormat="1" ht="24.95" customHeight="1">
      <c r="B266" s="445"/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1123"/>
      <c r="O266" s="1119"/>
      <c r="P266" s="884"/>
      <c r="Q266" s="1122"/>
      <c r="R266" s="1124"/>
      <c r="S266" s="1124"/>
      <c r="T266" s="1124"/>
      <c r="U266" s="1124"/>
      <c r="V266" s="1124"/>
      <c r="W266" s="1124"/>
      <c r="X266" s="868"/>
      <c r="Y266" s="843"/>
      <c r="Z266" s="843"/>
      <c r="AA266" s="843"/>
      <c r="AB266" s="204"/>
      <c r="AC266" s="204"/>
      <c r="AD266" s="1212"/>
      <c r="AE266" s="1212"/>
      <c r="AF266" s="1186"/>
      <c r="AG266" s="1186"/>
      <c r="AH266" s="1222"/>
      <c r="AI266" s="1222"/>
      <c r="AJ266" s="1222"/>
      <c r="AK266" s="1222"/>
      <c r="AL266" s="1222"/>
      <c r="AM266" s="1222"/>
      <c r="AN266" s="1222"/>
      <c r="AO266" s="1222"/>
      <c r="AP266" s="1222"/>
      <c r="AQ266" s="1222"/>
      <c r="AR266" s="1222"/>
      <c r="AS266" s="1222"/>
      <c r="AT266" s="1222"/>
      <c r="AU266" s="1120"/>
      <c r="AV266" s="445"/>
      <c r="AW266" s="607"/>
      <c r="AX266" s="607"/>
      <c r="AY266" s="607"/>
      <c r="AZ266" s="1209"/>
      <c r="BA266" s="1209"/>
    </row>
    <row r="267" spans="2:53" s="256" customFormat="1" ht="24.95" customHeight="1">
      <c r="B267" s="445"/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1123"/>
      <c r="O267" s="1119"/>
      <c r="P267" s="884"/>
      <c r="Q267" s="1122"/>
      <c r="R267" s="1124"/>
      <c r="S267" s="1124"/>
      <c r="T267" s="1124"/>
      <c r="U267" s="1124"/>
      <c r="V267" s="1124"/>
      <c r="W267" s="1124"/>
      <c r="X267" s="868"/>
      <c r="Y267" s="843"/>
      <c r="Z267" s="843"/>
      <c r="AA267" s="843"/>
      <c r="AB267" s="204"/>
      <c r="AC267" s="204"/>
      <c r="AD267" s="1212"/>
      <c r="AE267" s="1212"/>
      <c r="AF267" s="1186"/>
      <c r="AG267" s="1186"/>
      <c r="AH267" s="1222"/>
      <c r="AI267" s="1222"/>
      <c r="AJ267" s="1222"/>
      <c r="AK267" s="1222"/>
      <c r="AL267" s="1222"/>
      <c r="AM267" s="1222"/>
      <c r="AN267" s="1222"/>
      <c r="AO267" s="1222"/>
      <c r="AP267" s="1222"/>
      <c r="AQ267" s="1222"/>
      <c r="AR267" s="1222"/>
      <c r="AS267" s="1222"/>
      <c r="AT267" s="1222"/>
      <c r="AU267" s="1120"/>
      <c r="AV267" s="445"/>
      <c r="AW267" s="607"/>
      <c r="AX267" s="607"/>
      <c r="AY267" s="607"/>
      <c r="AZ267" s="1209"/>
      <c r="BA267" s="1209"/>
    </row>
    <row r="268" spans="2:53" s="256" customFormat="1" ht="24.95" customHeight="1">
      <c r="B268" s="445"/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1123"/>
      <c r="O268" s="1119"/>
      <c r="P268" s="884"/>
      <c r="Q268" s="1122"/>
      <c r="R268" s="1124"/>
      <c r="S268" s="1124"/>
      <c r="T268" s="1124"/>
      <c r="U268" s="1124"/>
      <c r="V268" s="1124"/>
      <c r="W268" s="1124"/>
      <c r="X268" s="868"/>
      <c r="Y268" s="843"/>
      <c r="Z268" s="843"/>
      <c r="AA268" s="843"/>
      <c r="AB268" s="204"/>
      <c r="AC268" s="204"/>
      <c r="AD268" s="1212"/>
      <c r="AE268" s="1212"/>
      <c r="AF268" s="1186"/>
      <c r="AG268" s="1186"/>
      <c r="AH268" s="1222"/>
      <c r="AI268" s="1222"/>
      <c r="AJ268" s="1222"/>
      <c r="AK268" s="1222"/>
      <c r="AL268" s="1222"/>
      <c r="AM268" s="1222"/>
      <c r="AN268" s="1222"/>
      <c r="AO268" s="1222"/>
      <c r="AP268" s="1222"/>
      <c r="AQ268" s="1222"/>
      <c r="AR268" s="1222"/>
      <c r="AS268" s="1222"/>
      <c r="AT268" s="1222"/>
      <c r="AU268" s="1120"/>
      <c r="AV268" s="445"/>
      <c r="AW268" s="607"/>
      <c r="AX268" s="607"/>
      <c r="AY268" s="607"/>
      <c r="AZ268" s="1209"/>
      <c r="BA268" s="1209"/>
    </row>
    <row r="269" spans="2:53" s="256" customFormat="1" ht="24.95" customHeight="1">
      <c r="B269" s="445"/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1123"/>
      <c r="O269" s="1119"/>
      <c r="P269" s="884"/>
      <c r="Q269" s="1122"/>
      <c r="R269" s="1124"/>
      <c r="S269" s="1124"/>
      <c r="T269" s="1124"/>
      <c r="U269" s="1124"/>
      <c r="V269" s="1124"/>
      <c r="W269" s="1124"/>
      <c r="X269" s="868"/>
      <c r="Y269" s="843"/>
      <c r="Z269" s="843"/>
      <c r="AA269" s="843"/>
      <c r="AB269" s="204"/>
      <c r="AC269" s="204"/>
      <c r="AD269" s="1212"/>
      <c r="AE269" s="1212"/>
      <c r="AF269" s="1186"/>
      <c r="AG269" s="1186"/>
      <c r="AH269" s="1222"/>
      <c r="AI269" s="1222"/>
      <c r="AJ269" s="1222"/>
      <c r="AK269" s="1222"/>
      <c r="AL269" s="1222"/>
      <c r="AM269" s="1222"/>
      <c r="AN269" s="1222"/>
      <c r="AO269" s="1222"/>
      <c r="AP269" s="1222"/>
      <c r="AQ269" s="1222"/>
      <c r="AR269" s="1222"/>
      <c r="AS269" s="1222"/>
      <c r="AT269" s="1222"/>
      <c r="AU269" s="1120"/>
      <c r="AV269" s="445"/>
      <c r="AW269" s="607"/>
      <c r="AX269" s="607"/>
      <c r="AY269" s="607"/>
      <c r="AZ269" s="1209"/>
      <c r="BA269" s="1209"/>
    </row>
    <row r="270" spans="2:53" s="256" customFormat="1" ht="24.95" customHeight="1">
      <c r="B270" s="445"/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1123"/>
      <c r="O270" s="1119"/>
      <c r="P270" s="884"/>
      <c r="Q270" s="1122"/>
      <c r="R270" s="1124"/>
      <c r="S270" s="1124"/>
      <c r="T270" s="1124"/>
      <c r="U270" s="1124"/>
      <c r="V270" s="1124"/>
      <c r="W270" s="1124"/>
      <c r="X270" s="868"/>
      <c r="Y270" s="843"/>
      <c r="Z270" s="843"/>
      <c r="AA270" s="843"/>
      <c r="AB270" s="204"/>
      <c r="AC270" s="204"/>
      <c r="AD270" s="1212"/>
      <c r="AE270" s="1212"/>
      <c r="AF270" s="1186"/>
      <c r="AG270" s="1186"/>
      <c r="AH270" s="1222"/>
      <c r="AI270" s="1222"/>
      <c r="AJ270" s="1222"/>
      <c r="AK270" s="1222"/>
      <c r="AL270" s="1222"/>
      <c r="AM270" s="1222"/>
      <c r="AN270" s="1222"/>
      <c r="AO270" s="1222"/>
      <c r="AP270" s="1222"/>
      <c r="AQ270" s="1222"/>
      <c r="AR270" s="1222"/>
      <c r="AS270" s="1222"/>
      <c r="AT270" s="1222"/>
      <c r="AU270" s="1120"/>
      <c r="AV270" s="445"/>
      <c r="AW270" s="607"/>
      <c r="AX270" s="607"/>
      <c r="AY270" s="607"/>
      <c r="AZ270" s="1209"/>
      <c r="BA270" s="1209"/>
    </row>
    <row r="271" spans="2:53" s="256" customFormat="1" ht="24.95" customHeight="1">
      <c r="B271" s="445"/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1123"/>
      <c r="O271" s="1119"/>
      <c r="P271" s="884"/>
      <c r="Q271" s="1122"/>
      <c r="R271" s="1124"/>
      <c r="S271" s="1124"/>
      <c r="T271" s="1124"/>
      <c r="U271" s="1124"/>
      <c r="V271" s="1124"/>
      <c r="W271" s="1124"/>
      <c r="X271" s="868"/>
      <c r="Y271" s="843"/>
      <c r="Z271" s="843"/>
      <c r="AA271" s="843"/>
      <c r="AB271" s="204"/>
      <c r="AC271" s="204"/>
      <c r="AD271" s="1212"/>
      <c r="AE271" s="1212"/>
      <c r="AF271" s="1186"/>
      <c r="AG271" s="1186"/>
      <c r="AH271" s="1222"/>
      <c r="AI271" s="1222"/>
      <c r="AJ271" s="1222"/>
      <c r="AK271" s="1222"/>
      <c r="AL271" s="1222"/>
      <c r="AM271" s="1222"/>
      <c r="AN271" s="1222"/>
      <c r="AO271" s="1222"/>
      <c r="AP271" s="1222"/>
      <c r="AQ271" s="1222"/>
      <c r="AR271" s="1222"/>
      <c r="AS271" s="1222"/>
      <c r="AT271" s="1222"/>
      <c r="AU271" s="1120"/>
      <c r="AV271" s="445"/>
      <c r="AW271" s="607"/>
      <c r="AX271" s="607"/>
      <c r="AY271" s="607"/>
      <c r="AZ271" s="1209"/>
      <c r="BA271" s="1209"/>
    </row>
    <row r="272" spans="2:53" s="256" customFormat="1" ht="24.95" customHeight="1">
      <c r="B272" s="445"/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1123"/>
      <c r="O272" s="1119"/>
      <c r="P272" s="884"/>
      <c r="Q272" s="1122"/>
      <c r="R272" s="1124"/>
      <c r="S272" s="1124"/>
      <c r="T272" s="1124"/>
      <c r="U272" s="1124"/>
      <c r="V272" s="1124"/>
      <c r="W272" s="1124"/>
      <c r="X272" s="868"/>
      <c r="Y272" s="843"/>
      <c r="Z272" s="843"/>
      <c r="AA272" s="843"/>
      <c r="AB272" s="204"/>
      <c r="AC272" s="204"/>
      <c r="AD272" s="1212"/>
      <c r="AE272" s="1212"/>
      <c r="AF272" s="1186"/>
      <c r="AG272" s="1186"/>
      <c r="AH272" s="1222"/>
      <c r="AI272" s="1222"/>
      <c r="AJ272" s="1222"/>
      <c r="AK272" s="1222"/>
      <c r="AL272" s="1222"/>
      <c r="AM272" s="1222"/>
      <c r="AN272" s="1222"/>
      <c r="AO272" s="1222"/>
      <c r="AP272" s="1222"/>
      <c r="AQ272" s="1222"/>
      <c r="AR272" s="1222"/>
      <c r="AS272" s="1222"/>
      <c r="AT272" s="1222"/>
      <c r="AU272" s="1120"/>
      <c r="AV272" s="445"/>
      <c r="AW272" s="607"/>
      <c r="AX272" s="607"/>
      <c r="AY272" s="607"/>
      <c r="AZ272" s="1209"/>
      <c r="BA272" s="1209"/>
    </row>
    <row r="273" spans="2:53" s="256" customFormat="1" ht="24.95" customHeight="1">
      <c r="B273" s="445"/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1123"/>
      <c r="O273" s="1119"/>
      <c r="P273" s="884"/>
      <c r="Q273" s="1122"/>
      <c r="R273" s="1124"/>
      <c r="S273" s="1124"/>
      <c r="T273" s="1124"/>
      <c r="U273" s="1124"/>
      <c r="V273" s="1124"/>
      <c r="W273" s="1124"/>
      <c r="X273" s="868"/>
      <c r="Y273" s="843"/>
      <c r="Z273" s="843"/>
      <c r="AA273" s="843"/>
      <c r="AB273" s="204"/>
      <c r="AC273" s="204"/>
      <c r="AD273" s="1212"/>
      <c r="AE273" s="1212"/>
      <c r="AF273" s="1186"/>
      <c r="AG273" s="1186"/>
      <c r="AH273" s="1222"/>
      <c r="AI273" s="1222"/>
      <c r="AJ273" s="1222"/>
      <c r="AK273" s="1222"/>
      <c r="AL273" s="1222"/>
      <c r="AM273" s="1222"/>
      <c r="AN273" s="1222"/>
      <c r="AO273" s="1222"/>
      <c r="AP273" s="1222"/>
      <c r="AQ273" s="1222"/>
      <c r="AR273" s="1222"/>
      <c r="AS273" s="1222"/>
      <c r="AT273" s="1222"/>
      <c r="AU273" s="1120"/>
      <c r="AV273" s="445"/>
      <c r="AW273" s="607"/>
      <c r="AX273" s="607"/>
      <c r="AY273" s="607"/>
      <c r="AZ273" s="1209"/>
      <c r="BA273" s="1209"/>
    </row>
    <row r="274" spans="2:53" s="256" customFormat="1" ht="24.95" customHeight="1">
      <c r="B274" s="445"/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1123"/>
      <c r="O274" s="1119"/>
      <c r="P274" s="884"/>
      <c r="Q274" s="1122"/>
      <c r="R274" s="1124"/>
      <c r="S274" s="1124"/>
      <c r="T274" s="1124"/>
      <c r="U274" s="1124"/>
      <c r="V274" s="1124"/>
      <c r="W274" s="1124"/>
      <c r="X274" s="868"/>
      <c r="Y274" s="843"/>
      <c r="Z274" s="843"/>
      <c r="AA274" s="843"/>
      <c r="AB274" s="204"/>
      <c r="AC274" s="204"/>
      <c r="AD274" s="1212"/>
      <c r="AE274" s="1212"/>
      <c r="AF274" s="1186"/>
      <c r="AG274" s="1186"/>
      <c r="AH274" s="1222"/>
      <c r="AI274" s="1222"/>
      <c r="AJ274" s="1222"/>
      <c r="AK274" s="1222"/>
      <c r="AL274" s="1222"/>
      <c r="AM274" s="1222"/>
      <c r="AN274" s="1222"/>
      <c r="AO274" s="1222"/>
      <c r="AP274" s="1222"/>
      <c r="AQ274" s="1222"/>
      <c r="AR274" s="1222"/>
      <c r="AS274" s="1222"/>
      <c r="AT274" s="1222"/>
      <c r="AU274" s="1120"/>
      <c r="AV274" s="445"/>
      <c r="AW274" s="607"/>
      <c r="AX274" s="607"/>
      <c r="AY274" s="607"/>
      <c r="AZ274" s="1209"/>
      <c r="BA274" s="1209"/>
    </row>
    <row r="275" spans="2:53" s="256" customFormat="1" ht="24.95" customHeight="1">
      <c r="B275" s="445"/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1123"/>
      <c r="O275" s="1119"/>
      <c r="P275" s="884"/>
      <c r="Q275" s="1122"/>
      <c r="R275" s="1124"/>
      <c r="S275" s="1124"/>
      <c r="T275" s="1124"/>
      <c r="U275" s="1124"/>
      <c r="V275" s="1124"/>
      <c r="W275" s="1124"/>
      <c r="X275" s="868"/>
      <c r="Y275" s="843"/>
      <c r="Z275" s="843"/>
      <c r="AA275" s="843"/>
      <c r="AB275" s="204"/>
      <c r="AC275" s="204"/>
      <c r="AD275" s="1212"/>
      <c r="AE275" s="1212"/>
      <c r="AF275" s="1186"/>
      <c r="AG275" s="1186"/>
      <c r="AH275" s="1222"/>
      <c r="AI275" s="1222"/>
      <c r="AJ275" s="1222"/>
      <c r="AK275" s="1222"/>
      <c r="AL275" s="1222"/>
      <c r="AM275" s="1222"/>
      <c r="AN275" s="1222"/>
      <c r="AO275" s="1222"/>
      <c r="AP275" s="1222"/>
      <c r="AQ275" s="1222"/>
      <c r="AR275" s="1222"/>
      <c r="AS275" s="1222"/>
      <c r="AT275" s="1222"/>
      <c r="AU275" s="1120"/>
      <c r="AV275" s="445"/>
      <c r="AW275" s="607"/>
      <c r="AX275" s="607"/>
      <c r="AY275" s="607"/>
      <c r="AZ275" s="1209"/>
      <c r="BA275" s="1209"/>
    </row>
    <row r="276" spans="2:53" s="256" customFormat="1" ht="24.95" customHeight="1">
      <c r="B276" s="445"/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1123"/>
      <c r="O276" s="1119"/>
      <c r="P276" s="884"/>
      <c r="Q276" s="1122"/>
      <c r="R276" s="1124"/>
      <c r="S276" s="1124"/>
      <c r="T276" s="1124"/>
      <c r="U276" s="1124"/>
      <c r="V276" s="1124"/>
      <c r="W276" s="1124"/>
      <c r="X276" s="868"/>
      <c r="Y276" s="843"/>
      <c r="Z276" s="843"/>
      <c r="AA276" s="843"/>
      <c r="AB276" s="204"/>
      <c r="AC276" s="204"/>
      <c r="AD276" s="1212"/>
      <c r="AE276" s="1212"/>
      <c r="AF276" s="1186"/>
      <c r="AG276" s="1186"/>
      <c r="AH276" s="1222"/>
      <c r="AI276" s="1222"/>
      <c r="AJ276" s="1222"/>
      <c r="AK276" s="1222"/>
      <c r="AL276" s="1222"/>
      <c r="AM276" s="1222"/>
      <c r="AN276" s="1222"/>
      <c r="AO276" s="1222"/>
      <c r="AP276" s="1222"/>
      <c r="AQ276" s="1222"/>
      <c r="AR276" s="1222"/>
      <c r="AS276" s="1222"/>
      <c r="AT276" s="1222"/>
      <c r="AU276" s="1120"/>
      <c r="AV276" s="445"/>
      <c r="AW276" s="607"/>
      <c r="AX276" s="607"/>
      <c r="AY276" s="607"/>
      <c r="AZ276" s="1209"/>
      <c r="BA276" s="1209"/>
    </row>
    <row r="277" spans="2:53" s="256" customFormat="1" ht="24.95" customHeight="1">
      <c r="B277" s="445"/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1123"/>
      <c r="O277" s="1119"/>
      <c r="P277" s="884"/>
      <c r="Q277" s="1122"/>
      <c r="R277" s="1124"/>
      <c r="S277" s="1124"/>
      <c r="T277" s="1124"/>
      <c r="U277" s="1124"/>
      <c r="V277" s="1124"/>
      <c r="W277" s="1124"/>
      <c r="X277" s="868"/>
      <c r="Y277" s="843"/>
      <c r="Z277" s="843"/>
      <c r="AA277" s="843"/>
      <c r="AB277" s="204"/>
      <c r="AC277" s="204"/>
      <c r="AD277" s="1212"/>
      <c r="AE277" s="1212"/>
      <c r="AF277" s="1186"/>
      <c r="AG277" s="1186"/>
      <c r="AH277" s="1222"/>
      <c r="AI277" s="1222"/>
      <c r="AJ277" s="1222"/>
      <c r="AK277" s="1222"/>
      <c r="AL277" s="1222"/>
      <c r="AM277" s="1222"/>
      <c r="AN277" s="1222"/>
      <c r="AO277" s="1222"/>
      <c r="AP277" s="1222"/>
      <c r="AQ277" s="1222"/>
      <c r="AR277" s="1222"/>
      <c r="AS277" s="1222"/>
      <c r="AT277" s="1222"/>
      <c r="AU277" s="1120"/>
      <c r="AV277" s="445"/>
      <c r="AW277" s="607"/>
      <c r="AX277" s="607"/>
      <c r="AY277" s="607"/>
      <c r="AZ277" s="1209"/>
      <c r="BA277" s="1209"/>
    </row>
    <row r="278" spans="2:53" s="256" customFormat="1" ht="24.95" customHeight="1">
      <c r="B278" s="445"/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1123"/>
      <c r="O278" s="1119"/>
      <c r="P278" s="884"/>
      <c r="Q278" s="1122"/>
      <c r="R278" s="1124"/>
      <c r="S278" s="1124"/>
      <c r="T278" s="1124"/>
      <c r="U278" s="1124"/>
      <c r="V278" s="1124"/>
      <c r="W278" s="1124"/>
      <c r="X278" s="868"/>
      <c r="Y278" s="843"/>
      <c r="Z278" s="843"/>
      <c r="AA278" s="843"/>
      <c r="AB278" s="204"/>
      <c r="AC278" s="204"/>
      <c r="AD278" s="1212"/>
      <c r="AE278" s="1212"/>
      <c r="AF278" s="1186"/>
      <c r="AG278" s="1186"/>
      <c r="AH278" s="1222"/>
      <c r="AI278" s="1222"/>
      <c r="AJ278" s="1222"/>
      <c r="AK278" s="1222"/>
      <c r="AL278" s="1222"/>
      <c r="AM278" s="1222"/>
      <c r="AN278" s="1222"/>
      <c r="AO278" s="1222"/>
      <c r="AP278" s="1222"/>
      <c r="AQ278" s="1222"/>
      <c r="AR278" s="1222"/>
      <c r="AS278" s="1222"/>
      <c r="AT278" s="1222"/>
      <c r="AU278" s="1120"/>
      <c r="AV278" s="445"/>
      <c r="AW278" s="607"/>
      <c r="AX278" s="607"/>
      <c r="AY278" s="607"/>
      <c r="AZ278" s="1209"/>
      <c r="BA278" s="1209"/>
    </row>
    <row r="279" spans="2:53" s="256" customFormat="1" ht="24.95" customHeight="1">
      <c r="B279" s="445"/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1123"/>
      <c r="O279" s="1119"/>
      <c r="P279" s="884"/>
      <c r="Q279" s="1122"/>
      <c r="R279" s="1124"/>
      <c r="S279" s="1124"/>
      <c r="T279" s="1124"/>
      <c r="U279" s="1124"/>
      <c r="V279" s="1124"/>
      <c r="W279" s="1124"/>
      <c r="X279" s="868"/>
      <c r="Y279" s="843"/>
      <c r="Z279" s="843"/>
      <c r="AA279" s="843"/>
      <c r="AB279" s="204"/>
      <c r="AC279" s="204"/>
      <c r="AD279" s="1212"/>
      <c r="AE279" s="1212"/>
      <c r="AF279" s="1186"/>
      <c r="AG279" s="1186"/>
      <c r="AH279" s="1222"/>
      <c r="AI279" s="1222"/>
      <c r="AJ279" s="1222"/>
      <c r="AK279" s="1222"/>
      <c r="AL279" s="1222"/>
      <c r="AM279" s="1222"/>
      <c r="AN279" s="1222"/>
      <c r="AO279" s="1222"/>
      <c r="AP279" s="1222"/>
      <c r="AQ279" s="1222"/>
      <c r="AR279" s="1222"/>
      <c r="AS279" s="1222"/>
      <c r="AT279" s="1222"/>
      <c r="AU279" s="1120"/>
      <c r="AV279" s="445"/>
      <c r="AW279" s="607"/>
      <c r="AX279" s="607"/>
      <c r="AY279" s="607"/>
      <c r="AZ279" s="1209"/>
      <c r="BA279" s="1209"/>
    </row>
    <row r="280" spans="2:53" s="256" customFormat="1" ht="24.95" customHeight="1">
      <c r="B280" s="445"/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1123"/>
      <c r="O280" s="1119"/>
      <c r="P280" s="884"/>
      <c r="Q280" s="1122"/>
      <c r="R280" s="1124"/>
      <c r="S280" s="1124"/>
      <c r="T280" s="1124"/>
      <c r="U280" s="1124"/>
      <c r="V280" s="1124"/>
      <c r="W280" s="1124"/>
      <c r="X280" s="868"/>
      <c r="Y280" s="843"/>
      <c r="Z280" s="843"/>
      <c r="AA280" s="843"/>
      <c r="AB280" s="204"/>
      <c r="AC280" s="204"/>
      <c r="AD280" s="1212"/>
      <c r="AE280" s="1212"/>
      <c r="AF280" s="1186"/>
      <c r="AG280" s="1186"/>
      <c r="AH280" s="1222"/>
      <c r="AI280" s="1222"/>
      <c r="AJ280" s="1222"/>
      <c r="AK280" s="1222"/>
      <c r="AL280" s="1222"/>
      <c r="AM280" s="1222"/>
      <c r="AN280" s="1222"/>
      <c r="AO280" s="1222"/>
      <c r="AP280" s="1222"/>
      <c r="AQ280" s="1222"/>
      <c r="AR280" s="1222"/>
      <c r="AS280" s="1222"/>
      <c r="AT280" s="1222"/>
      <c r="AU280" s="1120"/>
      <c r="AV280" s="445"/>
      <c r="AW280" s="607"/>
      <c r="AX280" s="607"/>
      <c r="AY280" s="607"/>
      <c r="AZ280" s="1209"/>
      <c r="BA280" s="1209"/>
    </row>
    <row r="281" spans="2:53" s="256" customFormat="1" ht="24.95" customHeight="1">
      <c r="B281" s="445"/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1123"/>
      <c r="O281" s="1119"/>
      <c r="P281" s="884"/>
      <c r="Q281" s="1122"/>
      <c r="R281" s="1124"/>
      <c r="S281" s="1124"/>
      <c r="T281" s="1124"/>
      <c r="U281" s="1124"/>
      <c r="V281" s="1124"/>
      <c r="W281" s="1124"/>
      <c r="X281" s="868"/>
      <c r="Y281" s="843"/>
      <c r="Z281" s="843"/>
      <c r="AA281" s="843"/>
      <c r="AB281" s="204"/>
      <c r="AC281" s="204"/>
      <c r="AD281" s="1212"/>
      <c r="AE281" s="1212"/>
      <c r="AF281" s="1186"/>
      <c r="AG281" s="1186"/>
      <c r="AH281" s="1222"/>
      <c r="AI281" s="1222"/>
      <c r="AJ281" s="1222"/>
      <c r="AK281" s="1222"/>
      <c r="AL281" s="1222"/>
      <c r="AM281" s="1222"/>
      <c r="AN281" s="1222"/>
      <c r="AO281" s="1222"/>
      <c r="AP281" s="1222"/>
      <c r="AQ281" s="1222"/>
      <c r="AR281" s="1222"/>
      <c r="AS281" s="1222"/>
      <c r="AT281" s="1222"/>
      <c r="AU281" s="1120"/>
      <c r="AV281" s="445"/>
      <c r="AW281" s="607"/>
      <c r="AX281" s="607"/>
      <c r="AY281" s="607"/>
      <c r="AZ281" s="1209"/>
      <c r="BA281" s="1209"/>
    </row>
    <row r="282" spans="2:53" s="256" customFormat="1" ht="24.95" customHeight="1">
      <c r="B282" s="445"/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1123"/>
      <c r="O282" s="1119"/>
      <c r="P282" s="884"/>
      <c r="Q282" s="1122"/>
      <c r="R282" s="1124"/>
      <c r="S282" s="1124"/>
      <c r="T282" s="1124"/>
      <c r="U282" s="1124"/>
      <c r="V282" s="1124"/>
      <c r="W282" s="1124"/>
      <c r="X282" s="868"/>
      <c r="Y282" s="843"/>
      <c r="Z282" s="843"/>
      <c r="AA282" s="843"/>
      <c r="AB282" s="204"/>
      <c r="AC282" s="204"/>
      <c r="AD282" s="1212"/>
      <c r="AE282" s="1212"/>
      <c r="AF282" s="1186"/>
      <c r="AG282" s="1186"/>
      <c r="AH282" s="1222"/>
      <c r="AI282" s="1222"/>
      <c r="AJ282" s="1222"/>
      <c r="AK282" s="1222"/>
      <c r="AL282" s="1222"/>
      <c r="AM282" s="1222"/>
      <c r="AN282" s="1222"/>
      <c r="AO282" s="1222"/>
      <c r="AP282" s="1222"/>
      <c r="AQ282" s="1222"/>
      <c r="AR282" s="1222"/>
      <c r="AS282" s="1222"/>
      <c r="AT282" s="1222"/>
      <c r="AU282" s="1120"/>
      <c r="AV282" s="445"/>
      <c r="AW282" s="607"/>
      <c r="AX282" s="607"/>
      <c r="AY282" s="607"/>
      <c r="AZ282" s="1209"/>
      <c r="BA282" s="1209"/>
    </row>
    <row r="283" spans="2:53" s="256" customFormat="1" ht="24.95" customHeight="1">
      <c r="B283" s="445"/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1123"/>
      <c r="O283" s="1119"/>
      <c r="P283" s="884"/>
      <c r="Q283" s="1122"/>
      <c r="R283" s="1124"/>
      <c r="S283" s="1124"/>
      <c r="T283" s="1124"/>
      <c r="U283" s="1124"/>
      <c r="V283" s="1124"/>
      <c r="W283" s="1124"/>
      <c r="X283" s="868"/>
      <c r="Y283" s="843"/>
      <c r="Z283" s="843"/>
      <c r="AA283" s="843"/>
      <c r="AB283" s="204"/>
      <c r="AC283" s="204"/>
      <c r="AD283" s="1212"/>
      <c r="AE283" s="1212"/>
      <c r="AF283" s="1186"/>
      <c r="AG283" s="1186"/>
      <c r="AH283" s="1222"/>
      <c r="AI283" s="1222"/>
      <c r="AJ283" s="1222"/>
      <c r="AK283" s="1222"/>
      <c r="AL283" s="1222"/>
      <c r="AM283" s="1222"/>
      <c r="AN283" s="1222"/>
      <c r="AO283" s="1222"/>
      <c r="AP283" s="1222"/>
      <c r="AQ283" s="1222"/>
      <c r="AR283" s="1222"/>
      <c r="AS283" s="1222"/>
      <c r="AT283" s="1222"/>
      <c r="AU283" s="1120"/>
      <c r="AV283" s="445"/>
      <c r="AW283" s="607"/>
      <c r="AX283" s="607"/>
      <c r="AY283" s="607"/>
      <c r="AZ283" s="1209"/>
      <c r="BA283" s="1209"/>
    </row>
    <row r="284" spans="2:53" s="256" customFormat="1" ht="24.95" customHeight="1">
      <c r="B284" s="445"/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1123"/>
      <c r="O284" s="1119"/>
      <c r="P284" s="884"/>
      <c r="Q284" s="1122"/>
      <c r="R284" s="1124"/>
      <c r="S284" s="1124"/>
      <c r="T284" s="1124"/>
      <c r="U284" s="1124"/>
      <c r="V284" s="1124"/>
      <c r="W284" s="1124"/>
      <c r="X284" s="868"/>
      <c r="Y284" s="843"/>
      <c r="Z284" s="843"/>
      <c r="AA284" s="843"/>
      <c r="AB284" s="204"/>
      <c r="AC284" s="204"/>
      <c r="AD284" s="1212"/>
      <c r="AE284" s="1212"/>
      <c r="AF284" s="1186"/>
      <c r="AG284" s="1186"/>
      <c r="AH284" s="1222"/>
      <c r="AI284" s="1222"/>
      <c r="AJ284" s="1222"/>
      <c r="AK284" s="1222"/>
      <c r="AL284" s="1222"/>
      <c r="AM284" s="1222"/>
      <c r="AN284" s="1222"/>
      <c r="AO284" s="1222"/>
      <c r="AP284" s="1222"/>
      <c r="AQ284" s="1222"/>
      <c r="AR284" s="1222"/>
      <c r="AS284" s="1222"/>
      <c r="AT284" s="1222"/>
      <c r="AU284" s="1120"/>
      <c r="AV284" s="445"/>
      <c r="AW284" s="607"/>
      <c r="AX284" s="607"/>
      <c r="AY284" s="607"/>
      <c r="AZ284" s="1209"/>
      <c r="BA284" s="1209"/>
    </row>
    <row r="285" spans="2:53" s="256" customFormat="1" ht="24.95" customHeight="1">
      <c r="B285" s="445"/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1123"/>
      <c r="O285" s="1119"/>
      <c r="P285" s="884"/>
      <c r="Q285" s="1122"/>
      <c r="R285" s="1124"/>
      <c r="S285" s="1124"/>
      <c r="T285" s="1124"/>
      <c r="U285" s="1124"/>
      <c r="V285" s="1124"/>
      <c r="W285" s="1124"/>
      <c r="X285" s="868"/>
      <c r="Y285" s="843"/>
      <c r="Z285" s="843"/>
      <c r="AA285" s="843"/>
      <c r="AB285" s="204"/>
      <c r="AC285" s="204"/>
      <c r="AD285" s="1212"/>
      <c r="AE285" s="1212"/>
      <c r="AF285" s="1186"/>
      <c r="AG285" s="1186"/>
      <c r="AH285" s="1222"/>
      <c r="AI285" s="1222"/>
      <c r="AJ285" s="1222"/>
      <c r="AK285" s="1222"/>
      <c r="AL285" s="1222"/>
      <c r="AM285" s="1222"/>
      <c r="AN285" s="1222"/>
      <c r="AO285" s="1222"/>
      <c r="AP285" s="1222"/>
      <c r="AQ285" s="1222"/>
      <c r="AR285" s="1222"/>
      <c r="AS285" s="1222"/>
      <c r="AT285" s="1222"/>
      <c r="AU285" s="1120"/>
      <c r="AV285" s="445"/>
      <c r="AW285" s="607"/>
      <c r="AX285" s="607"/>
      <c r="AY285" s="607"/>
      <c r="AZ285" s="1209"/>
      <c r="BA285" s="1209"/>
    </row>
    <row r="286" spans="2:53" s="256" customFormat="1" ht="24.95" customHeight="1">
      <c r="B286" s="445"/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1123"/>
      <c r="O286" s="1119"/>
      <c r="P286" s="884"/>
      <c r="Q286" s="1122"/>
      <c r="R286" s="1124"/>
      <c r="S286" s="1124"/>
      <c r="T286" s="1124"/>
      <c r="U286" s="1124"/>
      <c r="V286" s="1124"/>
      <c r="W286" s="1124"/>
      <c r="X286" s="868"/>
      <c r="Y286" s="843"/>
      <c r="Z286" s="843"/>
      <c r="AA286" s="843"/>
      <c r="AB286" s="204"/>
      <c r="AC286" s="204"/>
      <c r="AD286" s="1212"/>
      <c r="AE286" s="1212"/>
      <c r="AF286" s="1186"/>
      <c r="AG286" s="1186"/>
      <c r="AH286" s="1222"/>
      <c r="AI286" s="1222"/>
      <c r="AJ286" s="1222"/>
      <c r="AK286" s="1222"/>
      <c r="AL286" s="1222"/>
      <c r="AM286" s="1222"/>
      <c r="AN286" s="1222"/>
      <c r="AO286" s="1222"/>
      <c r="AP286" s="1222"/>
      <c r="AQ286" s="1222"/>
      <c r="AR286" s="1222"/>
      <c r="AS286" s="1222"/>
      <c r="AT286" s="1222"/>
      <c r="AU286" s="1120"/>
      <c r="AV286" s="445"/>
      <c r="AW286" s="607"/>
      <c r="AX286" s="607"/>
      <c r="AY286" s="607"/>
      <c r="AZ286" s="1209"/>
      <c r="BA286" s="1209"/>
    </row>
    <row r="287" spans="2:53" s="256" customFormat="1" ht="24.95" customHeight="1">
      <c r="B287" s="445"/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1123"/>
      <c r="O287" s="1119"/>
      <c r="P287" s="884"/>
      <c r="Q287" s="1122"/>
      <c r="R287" s="1124"/>
      <c r="S287" s="1124"/>
      <c r="T287" s="1124"/>
      <c r="U287" s="1124"/>
      <c r="V287" s="1124"/>
      <c r="W287" s="1124"/>
      <c r="X287" s="868"/>
      <c r="Y287" s="843"/>
      <c r="Z287" s="843"/>
      <c r="AA287" s="843"/>
      <c r="AB287" s="204"/>
      <c r="AC287" s="204"/>
      <c r="AD287" s="1212"/>
      <c r="AE287" s="1212"/>
      <c r="AF287" s="1186"/>
      <c r="AG287" s="1186"/>
      <c r="AH287" s="1222"/>
      <c r="AI287" s="1222"/>
      <c r="AJ287" s="1222"/>
      <c r="AK287" s="1222"/>
      <c r="AL287" s="1222"/>
      <c r="AM287" s="1222"/>
      <c r="AN287" s="1222"/>
      <c r="AO287" s="1222"/>
      <c r="AP287" s="1222"/>
      <c r="AQ287" s="1222"/>
      <c r="AR287" s="1222"/>
      <c r="AS287" s="1222"/>
      <c r="AT287" s="1222"/>
      <c r="AU287" s="1120"/>
      <c r="AV287" s="445"/>
      <c r="AW287" s="607"/>
      <c r="AX287" s="607"/>
      <c r="AY287" s="607"/>
      <c r="AZ287" s="1209"/>
      <c r="BA287" s="1209"/>
    </row>
    <row r="288" spans="2:53" s="256" customFormat="1" ht="24.95" customHeight="1">
      <c r="B288" s="445"/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1123"/>
      <c r="O288" s="1119"/>
      <c r="P288" s="884"/>
      <c r="Q288" s="1122"/>
      <c r="R288" s="1124"/>
      <c r="S288" s="1124"/>
      <c r="T288" s="1124"/>
      <c r="U288" s="1124"/>
      <c r="V288" s="1124"/>
      <c r="W288" s="1124"/>
      <c r="X288" s="868"/>
      <c r="Y288" s="843"/>
      <c r="Z288" s="843"/>
      <c r="AA288" s="843"/>
      <c r="AB288" s="204"/>
      <c r="AC288" s="204"/>
      <c r="AD288" s="1212"/>
      <c r="AE288" s="1212"/>
      <c r="AF288" s="1186"/>
      <c r="AG288" s="1186"/>
      <c r="AH288" s="1222"/>
      <c r="AI288" s="1222"/>
      <c r="AJ288" s="1222"/>
      <c r="AK288" s="1222"/>
      <c r="AL288" s="1222"/>
      <c r="AM288" s="1222"/>
      <c r="AN288" s="1222"/>
      <c r="AO288" s="1222"/>
      <c r="AP288" s="1222"/>
      <c r="AQ288" s="1222"/>
      <c r="AR288" s="1222"/>
      <c r="AS288" s="1222"/>
      <c r="AT288" s="1222"/>
      <c r="AU288" s="1120"/>
      <c r="AV288" s="445"/>
      <c r="AW288" s="607"/>
      <c r="AX288" s="607"/>
      <c r="AY288" s="607"/>
      <c r="AZ288" s="1209"/>
      <c r="BA288" s="1209"/>
    </row>
    <row r="289" spans="2:53" s="256" customFormat="1" ht="24.95" customHeight="1">
      <c r="B289" s="445"/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1123"/>
      <c r="O289" s="1119"/>
      <c r="P289" s="884"/>
      <c r="Q289" s="1122"/>
      <c r="R289" s="1124"/>
      <c r="S289" s="1124"/>
      <c r="T289" s="1124"/>
      <c r="U289" s="1124"/>
      <c r="V289" s="1124"/>
      <c r="W289" s="1124"/>
      <c r="X289" s="868"/>
      <c r="Y289" s="843"/>
      <c r="Z289" s="843"/>
      <c r="AA289" s="843"/>
      <c r="AB289" s="204"/>
      <c r="AC289" s="204"/>
      <c r="AD289" s="1212"/>
      <c r="AE289" s="1212"/>
      <c r="AF289" s="1186"/>
      <c r="AG289" s="1186"/>
      <c r="AH289" s="1222"/>
      <c r="AI289" s="1222"/>
      <c r="AJ289" s="1222"/>
      <c r="AK289" s="1222"/>
      <c r="AL289" s="1222"/>
      <c r="AM289" s="1222"/>
      <c r="AN289" s="1222"/>
      <c r="AO289" s="1222"/>
      <c r="AP289" s="1222"/>
      <c r="AQ289" s="1222"/>
      <c r="AR289" s="1222"/>
      <c r="AS289" s="1222"/>
      <c r="AT289" s="1222"/>
      <c r="AU289" s="1120"/>
      <c r="AV289" s="445"/>
      <c r="AW289" s="607"/>
      <c r="AX289" s="607"/>
      <c r="AY289" s="607"/>
      <c r="AZ289" s="1209"/>
      <c r="BA289" s="1209"/>
    </row>
    <row r="290" spans="2:53" s="256" customFormat="1" ht="24.95" customHeight="1">
      <c r="B290" s="445"/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1123"/>
      <c r="O290" s="1119"/>
      <c r="P290" s="884"/>
      <c r="Q290" s="1122"/>
      <c r="R290" s="1124"/>
      <c r="S290" s="1124"/>
      <c r="T290" s="1124"/>
      <c r="U290" s="1124"/>
      <c r="V290" s="1124"/>
      <c r="W290" s="1124"/>
      <c r="X290" s="868"/>
      <c r="Y290" s="843"/>
      <c r="Z290" s="843"/>
      <c r="AA290" s="843"/>
      <c r="AB290" s="204"/>
      <c r="AC290" s="204"/>
      <c r="AD290" s="1212"/>
      <c r="AE290" s="1212"/>
      <c r="AF290" s="1186"/>
      <c r="AG290" s="1186"/>
      <c r="AH290" s="1222"/>
      <c r="AI290" s="1222"/>
      <c r="AJ290" s="1222"/>
      <c r="AK290" s="1222"/>
      <c r="AL290" s="1222"/>
      <c r="AM290" s="1222"/>
      <c r="AN290" s="1222"/>
      <c r="AO290" s="1222"/>
      <c r="AP290" s="1222"/>
      <c r="AQ290" s="1222"/>
      <c r="AR290" s="1222"/>
      <c r="AS290" s="1222"/>
      <c r="AT290" s="1222"/>
      <c r="AU290" s="1120"/>
      <c r="AV290" s="445"/>
      <c r="AW290" s="607"/>
      <c r="AX290" s="607"/>
      <c r="AY290" s="607"/>
      <c r="AZ290" s="1209"/>
      <c r="BA290" s="1209"/>
    </row>
    <row r="291" spans="2:53" s="256" customFormat="1" ht="24.95" customHeight="1">
      <c r="B291" s="445"/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1123"/>
      <c r="O291" s="1119"/>
      <c r="P291" s="884"/>
      <c r="Q291" s="1122"/>
      <c r="R291" s="1124"/>
      <c r="S291" s="1124"/>
      <c r="T291" s="1124"/>
      <c r="U291" s="1124"/>
      <c r="V291" s="1124"/>
      <c r="W291" s="1124"/>
      <c r="X291" s="868"/>
      <c r="Y291" s="843"/>
      <c r="Z291" s="843"/>
      <c r="AA291" s="843"/>
      <c r="AB291" s="204"/>
      <c r="AC291" s="204"/>
      <c r="AD291" s="1212"/>
      <c r="AE291" s="1212"/>
      <c r="AF291" s="1186"/>
      <c r="AG291" s="1186"/>
      <c r="AH291" s="1222"/>
      <c r="AI291" s="1222"/>
      <c r="AJ291" s="1222"/>
      <c r="AK291" s="1222"/>
      <c r="AL291" s="1222"/>
      <c r="AM291" s="1222"/>
      <c r="AN291" s="1222"/>
      <c r="AO291" s="1222"/>
      <c r="AP291" s="1222"/>
      <c r="AQ291" s="1222"/>
      <c r="AR291" s="1222"/>
      <c r="AS291" s="1222"/>
      <c r="AT291" s="1222"/>
      <c r="AU291" s="1120"/>
      <c r="AV291" s="445"/>
      <c r="AW291" s="607"/>
      <c r="AX291" s="607"/>
      <c r="AY291" s="607"/>
      <c r="AZ291" s="1209"/>
      <c r="BA291" s="1209"/>
    </row>
    <row r="292" spans="2:53" s="256" customFormat="1" ht="24.95" customHeight="1">
      <c r="B292" s="445"/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1123"/>
      <c r="O292" s="1119"/>
      <c r="P292" s="884"/>
      <c r="Q292" s="1122"/>
      <c r="R292" s="1124"/>
      <c r="S292" s="1124"/>
      <c r="T292" s="1124"/>
      <c r="U292" s="1124"/>
      <c r="V292" s="1124"/>
      <c r="W292" s="1124"/>
      <c r="X292" s="868"/>
      <c r="Y292" s="843"/>
      <c r="Z292" s="843"/>
      <c r="AA292" s="843"/>
      <c r="AB292" s="204"/>
      <c r="AC292" s="204"/>
      <c r="AD292" s="1212"/>
      <c r="AE292" s="1212"/>
      <c r="AF292" s="1186"/>
      <c r="AG292" s="1186"/>
      <c r="AH292" s="1222"/>
      <c r="AI292" s="1222"/>
      <c r="AJ292" s="1222"/>
      <c r="AK292" s="1222"/>
      <c r="AL292" s="1222"/>
      <c r="AM292" s="1222"/>
      <c r="AN292" s="1222"/>
      <c r="AO292" s="1222"/>
      <c r="AP292" s="1222"/>
      <c r="AQ292" s="1222"/>
      <c r="AR292" s="1222"/>
      <c r="AS292" s="1222"/>
      <c r="AT292" s="1222"/>
      <c r="AU292" s="1120"/>
      <c r="AV292" s="445"/>
      <c r="AW292" s="607"/>
      <c r="AX292" s="607"/>
      <c r="AY292" s="607"/>
      <c r="AZ292" s="1209"/>
      <c r="BA292" s="1209"/>
    </row>
    <row r="293" spans="2:53" s="256" customFormat="1" ht="24.95" customHeight="1">
      <c r="B293" s="445"/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1123"/>
      <c r="O293" s="1119"/>
      <c r="P293" s="884"/>
      <c r="Q293" s="1122"/>
      <c r="R293" s="1124"/>
      <c r="S293" s="1124"/>
      <c r="T293" s="1124"/>
      <c r="U293" s="1124"/>
      <c r="V293" s="1124"/>
      <c r="W293" s="1124"/>
      <c r="X293" s="868"/>
      <c r="Y293" s="843"/>
      <c r="Z293" s="843"/>
      <c r="AA293" s="843"/>
      <c r="AB293" s="204"/>
      <c r="AC293" s="204"/>
      <c r="AD293" s="1212"/>
      <c r="AE293" s="1212"/>
      <c r="AF293" s="1186"/>
      <c r="AG293" s="1186"/>
      <c r="AH293" s="1222"/>
      <c r="AI293" s="1222"/>
      <c r="AJ293" s="1222"/>
      <c r="AK293" s="1222"/>
      <c r="AL293" s="1222"/>
      <c r="AM293" s="1222"/>
      <c r="AN293" s="1222"/>
      <c r="AO293" s="1222"/>
      <c r="AP293" s="1222"/>
      <c r="AQ293" s="1222"/>
      <c r="AR293" s="1222"/>
      <c r="AS293" s="1222"/>
      <c r="AT293" s="1222"/>
      <c r="AU293" s="1120"/>
      <c r="AV293" s="445"/>
      <c r="AW293" s="607"/>
      <c r="AX293" s="607"/>
      <c r="AY293" s="607"/>
      <c r="AZ293" s="1209"/>
      <c r="BA293" s="1209"/>
    </row>
    <row r="294" spans="2:53" s="256" customFormat="1" ht="24.95" customHeight="1">
      <c r="B294" s="445"/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1123"/>
      <c r="O294" s="1119"/>
      <c r="P294" s="884"/>
      <c r="Q294" s="1122"/>
      <c r="R294" s="1124"/>
      <c r="S294" s="1124"/>
      <c r="T294" s="1124"/>
      <c r="U294" s="1124"/>
      <c r="V294" s="1124"/>
      <c r="W294" s="1124"/>
      <c r="X294" s="868"/>
      <c r="Y294" s="843"/>
      <c r="Z294" s="843"/>
      <c r="AA294" s="843"/>
      <c r="AB294" s="204"/>
      <c r="AC294" s="204"/>
      <c r="AD294" s="1212"/>
      <c r="AE294" s="1212"/>
      <c r="AF294" s="1186"/>
      <c r="AG294" s="1186"/>
      <c r="AH294" s="1222"/>
      <c r="AI294" s="1222"/>
      <c r="AJ294" s="1222"/>
      <c r="AK294" s="1222"/>
      <c r="AL294" s="1222"/>
      <c r="AM294" s="1222"/>
      <c r="AN294" s="1222"/>
      <c r="AO294" s="1222"/>
      <c r="AP294" s="1222"/>
      <c r="AQ294" s="1222"/>
      <c r="AR294" s="1222"/>
      <c r="AS294" s="1222"/>
      <c r="AT294" s="1222"/>
      <c r="AU294" s="1120"/>
      <c r="AV294" s="445"/>
      <c r="AW294" s="607"/>
      <c r="AX294" s="607"/>
      <c r="AY294" s="607"/>
      <c r="AZ294" s="1209"/>
      <c r="BA294" s="1209"/>
    </row>
    <row r="295" spans="2:53" s="256" customFormat="1" ht="24.95" customHeight="1">
      <c r="B295" s="445"/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1123"/>
      <c r="O295" s="1119"/>
      <c r="P295" s="884"/>
      <c r="Q295" s="1122"/>
      <c r="R295" s="1124"/>
      <c r="S295" s="1124"/>
      <c r="T295" s="1124"/>
      <c r="U295" s="1124"/>
      <c r="V295" s="1124"/>
      <c r="W295" s="1124"/>
      <c r="X295" s="868"/>
      <c r="Y295" s="843"/>
      <c r="Z295" s="843"/>
      <c r="AA295" s="843"/>
      <c r="AB295" s="204"/>
      <c r="AC295" s="204"/>
      <c r="AD295" s="1212"/>
      <c r="AE295" s="1212"/>
      <c r="AF295" s="1186"/>
      <c r="AG295" s="1186"/>
      <c r="AH295" s="1222"/>
      <c r="AI295" s="1222"/>
      <c r="AJ295" s="1222"/>
      <c r="AK295" s="1222"/>
      <c r="AL295" s="1222"/>
      <c r="AM295" s="1222"/>
      <c r="AN295" s="1222"/>
      <c r="AO295" s="1222"/>
      <c r="AP295" s="1222"/>
      <c r="AQ295" s="1222"/>
      <c r="AR295" s="1222"/>
      <c r="AS295" s="1222"/>
      <c r="AT295" s="1222"/>
      <c r="AU295" s="1120"/>
      <c r="AV295" s="445"/>
      <c r="AW295" s="607"/>
      <c r="AX295" s="607"/>
      <c r="AY295" s="607"/>
      <c r="AZ295" s="1209"/>
      <c r="BA295" s="1209"/>
    </row>
    <row r="296" spans="2:53" s="256" customFormat="1" ht="24.95" customHeight="1">
      <c r="B296" s="445"/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1123"/>
      <c r="O296" s="1119"/>
      <c r="P296" s="884"/>
      <c r="Q296" s="1122"/>
      <c r="R296" s="1124"/>
      <c r="S296" s="1124"/>
      <c r="T296" s="1124"/>
      <c r="U296" s="1124"/>
      <c r="V296" s="1124"/>
      <c r="W296" s="1124"/>
      <c r="X296" s="868"/>
      <c r="Y296" s="843"/>
      <c r="Z296" s="843"/>
      <c r="AA296" s="843"/>
      <c r="AB296" s="204"/>
      <c r="AC296" s="204"/>
      <c r="AD296" s="1212"/>
      <c r="AE296" s="1212"/>
      <c r="AF296" s="1186"/>
      <c r="AG296" s="1186"/>
      <c r="AH296" s="1222"/>
      <c r="AI296" s="1222"/>
      <c r="AJ296" s="1222"/>
      <c r="AK296" s="1222"/>
      <c r="AL296" s="1222"/>
      <c r="AM296" s="1222"/>
      <c r="AN296" s="1222"/>
      <c r="AO296" s="1222"/>
      <c r="AP296" s="1222"/>
      <c r="AQ296" s="1222"/>
      <c r="AR296" s="1222"/>
      <c r="AS296" s="1222"/>
      <c r="AT296" s="1222"/>
      <c r="AU296" s="1120"/>
      <c r="AV296" s="445"/>
      <c r="AW296" s="607"/>
      <c r="AX296" s="607"/>
      <c r="AY296" s="607"/>
      <c r="AZ296" s="1209"/>
      <c r="BA296" s="1209"/>
    </row>
    <row r="297" spans="2:53" s="256" customFormat="1" ht="24.95" customHeight="1">
      <c r="B297" s="445"/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1123"/>
      <c r="O297" s="1119"/>
      <c r="P297" s="884"/>
      <c r="Q297" s="1122"/>
      <c r="R297" s="1124"/>
      <c r="S297" s="1124"/>
      <c r="T297" s="1124"/>
      <c r="U297" s="1124"/>
      <c r="V297" s="1124"/>
      <c r="W297" s="1124"/>
      <c r="X297" s="868"/>
      <c r="Y297" s="843"/>
      <c r="Z297" s="843"/>
      <c r="AA297" s="843"/>
      <c r="AB297" s="204"/>
      <c r="AC297" s="204"/>
      <c r="AD297" s="1212"/>
      <c r="AE297" s="1212"/>
      <c r="AF297" s="1186"/>
      <c r="AG297" s="1186"/>
      <c r="AH297" s="1222"/>
      <c r="AI297" s="1222"/>
      <c r="AJ297" s="1222"/>
      <c r="AK297" s="1222"/>
      <c r="AL297" s="1222"/>
      <c r="AM297" s="1222"/>
      <c r="AN297" s="1222"/>
      <c r="AO297" s="1222"/>
      <c r="AP297" s="1222"/>
      <c r="AQ297" s="1222"/>
      <c r="AR297" s="1222"/>
      <c r="AS297" s="1222"/>
      <c r="AT297" s="1222"/>
      <c r="AU297" s="1120"/>
      <c r="AV297" s="445"/>
      <c r="AW297" s="607"/>
      <c r="AX297" s="607"/>
      <c r="AY297" s="607"/>
      <c r="AZ297" s="1209"/>
      <c r="BA297" s="1209"/>
    </row>
    <row r="298" spans="2:53" s="256" customFormat="1" ht="24.95" customHeight="1">
      <c r="B298" s="445"/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1123"/>
      <c r="O298" s="1119"/>
      <c r="P298" s="884"/>
      <c r="Q298" s="1122"/>
      <c r="R298" s="1124"/>
      <c r="S298" s="1124"/>
      <c r="T298" s="1124"/>
      <c r="U298" s="1124"/>
      <c r="V298" s="1124"/>
      <c r="W298" s="1124"/>
      <c r="X298" s="868"/>
      <c r="Y298" s="843"/>
      <c r="Z298" s="843"/>
      <c r="AA298" s="843"/>
      <c r="AB298" s="204"/>
      <c r="AC298" s="204"/>
      <c r="AD298" s="1212"/>
      <c r="AE298" s="1212"/>
      <c r="AF298" s="1186"/>
      <c r="AG298" s="1186"/>
      <c r="AH298" s="1222"/>
      <c r="AI298" s="1222"/>
      <c r="AJ298" s="1222"/>
      <c r="AK298" s="1222"/>
      <c r="AL298" s="1222"/>
      <c r="AM298" s="1222"/>
      <c r="AN298" s="1222"/>
      <c r="AO298" s="1222"/>
      <c r="AP298" s="1222"/>
      <c r="AQ298" s="1222"/>
      <c r="AR298" s="1222"/>
      <c r="AS298" s="1222"/>
      <c r="AT298" s="1222"/>
      <c r="AU298" s="1120"/>
      <c r="AV298" s="445"/>
      <c r="AW298" s="607"/>
      <c r="AX298" s="607"/>
      <c r="AY298" s="607"/>
      <c r="AZ298" s="1209"/>
      <c r="BA298" s="1209"/>
    </row>
    <row r="299" spans="2:53" s="256" customFormat="1" ht="24.95" customHeight="1">
      <c r="B299" s="445"/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1123"/>
      <c r="O299" s="1119"/>
      <c r="P299" s="884"/>
      <c r="Q299" s="1122"/>
      <c r="R299" s="1124"/>
      <c r="S299" s="1124"/>
      <c r="T299" s="1124"/>
      <c r="U299" s="1124"/>
      <c r="V299" s="1124"/>
      <c r="W299" s="1124"/>
      <c r="X299" s="868"/>
      <c r="Y299" s="843"/>
      <c r="Z299" s="843"/>
      <c r="AA299" s="843"/>
      <c r="AB299" s="204"/>
      <c r="AC299" s="204"/>
      <c r="AD299" s="1212"/>
      <c r="AE299" s="1212"/>
      <c r="AF299" s="1186"/>
      <c r="AG299" s="1186"/>
      <c r="AH299" s="1222"/>
      <c r="AI299" s="1222"/>
      <c r="AJ299" s="1222"/>
      <c r="AK299" s="1222"/>
      <c r="AL299" s="1222"/>
      <c r="AM299" s="1222"/>
      <c r="AN299" s="1222"/>
      <c r="AO299" s="1222"/>
      <c r="AP299" s="1222"/>
      <c r="AQ299" s="1222"/>
      <c r="AR299" s="1222"/>
      <c r="AS299" s="1222"/>
      <c r="AT299" s="1222"/>
      <c r="AU299" s="1120"/>
      <c r="AV299" s="445"/>
      <c r="AW299" s="607"/>
      <c r="AX299" s="607"/>
      <c r="AY299" s="607"/>
      <c r="AZ299" s="1209"/>
      <c r="BA299" s="1209"/>
    </row>
    <row r="300" spans="2:53" s="256" customFormat="1" ht="24.95" customHeight="1">
      <c r="B300" s="445"/>
      <c r="C300" s="843"/>
      <c r="D300" s="843"/>
      <c r="E300" s="843"/>
      <c r="F300" s="1116"/>
      <c r="G300" s="1117"/>
      <c r="H300" s="872"/>
      <c r="I300" s="1123"/>
      <c r="J300" s="868"/>
      <c r="K300" s="868"/>
      <c r="L300" s="868"/>
      <c r="M300" s="868"/>
      <c r="N300" s="1123"/>
      <c r="O300" s="1119"/>
      <c r="P300" s="884"/>
      <c r="Q300" s="1122"/>
      <c r="R300" s="1124"/>
      <c r="S300" s="1124"/>
      <c r="T300" s="1124"/>
      <c r="U300" s="1124"/>
      <c r="V300" s="1124"/>
      <c r="W300" s="1124"/>
      <c r="X300" s="868"/>
      <c r="Y300" s="843"/>
      <c r="Z300" s="843"/>
      <c r="AA300" s="843"/>
      <c r="AB300" s="204"/>
      <c r="AC300" s="204"/>
      <c r="AD300" s="1212"/>
      <c r="AE300" s="1212"/>
      <c r="AF300" s="1186"/>
      <c r="AG300" s="1186"/>
      <c r="AH300" s="1222"/>
      <c r="AI300" s="1222"/>
      <c r="AJ300" s="1222"/>
      <c r="AK300" s="1222"/>
      <c r="AL300" s="1222"/>
      <c r="AM300" s="1222"/>
      <c r="AN300" s="1222"/>
      <c r="AO300" s="1222"/>
      <c r="AP300" s="1222"/>
      <c r="AQ300" s="1222"/>
      <c r="AR300" s="1222"/>
      <c r="AS300" s="1222"/>
      <c r="AT300" s="1222"/>
      <c r="AU300" s="1120"/>
      <c r="AV300" s="445"/>
      <c r="AW300" s="607"/>
      <c r="AX300" s="607"/>
      <c r="AY300" s="607"/>
      <c r="AZ300" s="1209"/>
      <c r="BA300" s="1209"/>
    </row>
    <row r="301" spans="2:53" s="256" customFormat="1" ht="24.95" customHeight="1">
      <c r="B301" s="445"/>
      <c r="C301" s="843"/>
      <c r="D301" s="843"/>
      <c r="E301" s="843"/>
      <c r="F301" s="1116"/>
      <c r="G301" s="1117"/>
      <c r="H301" s="872"/>
      <c r="I301" s="1123"/>
      <c r="J301" s="868"/>
      <c r="K301" s="868"/>
      <c r="L301" s="868"/>
      <c r="M301" s="868"/>
      <c r="N301" s="1123"/>
      <c r="O301" s="1119"/>
      <c r="P301" s="884"/>
      <c r="Q301" s="1122"/>
      <c r="R301" s="1124"/>
      <c r="S301" s="1124"/>
      <c r="T301" s="1124"/>
      <c r="U301" s="1124"/>
      <c r="V301" s="1124"/>
      <c r="W301" s="1124"/>
      <c r="X301" s="868"/>
      <c r="Y301" s="843"/>
      <c r="Z301" s="843"/>
      <c r="AA301" s="843"/>
      <c r="AB301" s="204"/>
      <c r="AC301" s="204"/>
      <c r="AD301" s="1212"/>
      <c r="AE301" s="1212"/>
      <c r="AF301" s="1186"/>
      <c r="AG301" s="1186"/>
      <c r="AH301" s="1222"/>
      <c r="AI301" s="1222"/>
      <c r="AJ301" s="1222"/>
      <c r="AK301" s="1222"/>
      <c r="AL301" s="1222"/>
      <c r="AM301" s="1222"/>
      <c r="AN301" s="1222"/>
      <c r="AO301" s="1222"/>
      <c r="AP301" s="1222"/>
      <c r="AQ301" s="1222"/>
      <c r="AR301" s="1222"/>
      <c r="AS301" s="1222"/>
      <c r="AT301" s="1222"/>
      <c r="AU301" s="1120"/>
      <c r="AV301" s="445"/>
      <c r="AW301" s="607"/>
      <c r="AX301" s="607"/>
      <c r="AY301" s="607"/>
      <c r="AZ301" s="1209"/>
      <c r="BA301" s="1209"/>
    </row>
    <row r="302" spans="2:53" s="256" customFormat="1" ht="24.95" customHeight="1">
      <c r="B302" s="445"/>
      <c r="C302" s="843"/>
      <c r="D302" s="843"/>
      <c r="E302" s="843"/>
      <c r="F302" s="1116"/>
      <c r="G302" s="1117"/>
      <c r="H302" s="872"/>
      <c r="I302" s="1123"/>
      <c r="J302" s="868"/>
      <c r="K302" s="868"/>
      <c r="L302" s="868"/>
      <c r="M302" s="868"/>
      <c r="N302" s="1123"/>
      <c r="O302" s="1119"/>
      <c r="P302" s="884"/>
      <c r="Q302" s="1122"/>
      <c r="R302" s="1124"/>
      <c r="S302" s="1124"/>
      <c r="T302" s="1124"/>
      <c r="U302" s="1124"/>
      <c r="V302" s="1124"/>
      <c r="W302" s="1124"/>
      <c r="X302" s="868"/>
      <c r="Y302" s="843"/>
      <c r="Z302" s="843"/>
      <c r="AA302" s="843"/>
      <c r="AB302" s="204"/>
      <c r="AC302" s="204"/>
      <c r="AD302" s="1212"/>
      <c r="AE302" s="1212"/>
      <c r="AF302" s="1186"/>
      <c r="AG302" s="1186"/>
      <c r="AH302" s="1222"/>
      <c r="AI302" s="1222"/>
      <c r="AJ302" s="1222"/>
      <c r="AK302" s="1222"/>
      <c r="AL302" s="1222"/>
      <c r="AM302" s="1222"/>
      <c r="AN302" s="1222"/>
      <c r="AO302" s="1222"/>
      <c r="AP302" s="1222"/>
      <c r="AQ302" s="1222"/>
      <c r="AR302" s="1222"/>
      <c r="AS302" s="1222"/>
      <c r="AT302" s="1222"/>
      <c r="AU302" s="1120"/>
      <c r="AV302" s="445"/>
      <c r="AW302" s="607"/>
      <c r="AX302" s="607"/>
      <c r="AY302" s="607"/>
      <c r="AZ302" s="1209"/>
      <c r="BA302" s="1209"/>
    </row>
    <row r="303" spans="2:53" s="256" customFormat="1" ht="24.95" customHeight="1">
      <c r="B303" s="445"/>
      <c r="C303" s="843"/>
      <c r="D303" s="843"/>
      <c r="E303" s="843"/>
      <c r="F303" s="1116"/>
      <c r="G303" s="1117"/>
      <c r="H303" s="872"/>
      <c r="I303" s="1123"/>
      <c r="J303" s="868"/>
      <c r="K303" s="868"/>
      <c r="L303" s="868"/>
      <c r="M303" s="868"/>
      <c r="N303" s="1123"/>
      <c r="O303" s="1119"/>
      <c r="P303" s="884"/>
      <c r="Q303" s="1122"/>
      <c r="R303" s="1124"/>
      <c r="S303" s="1124"/>
      <c r="T303" s="1124"/>
      <c r="U303" s="1124"/>
      <c r="V303" s="1124"/>
      <c r="W303" s="1124"/>
      <c r="X303" s="868"/>
      <c r="Y303" s="843"/>
      <c r="Z303" s="843"/>
      <c r="AA303" s="843"/>
      <c r="AB303" s="204"/>
      <c r="AC303" s="204"/>
      <c r="AD303" s="1212"/>
      <c r="AE303" s="1212"/>
      <c r="AF303" s="1186"/>
      <c r="AG303" s="1186"/>
      <c r="AH303" s="1222"/>
      <c r="AI303" s="1222"/>
      <c r="AJ303" s="1222"/>
      <c r="AK303" s="1222"/>
      <c r="AL303" s="1222"/>
      <c r="AM303" s="1222"/>
      <c r="AN303" s="1222"/>
      <c r="AO303" s="1222"/>
      <c r="AP303" s="1222"/>
      <c r="AQ303" s="1222"/>
      <c r="AR303" s="1222"/>
      <c r="AS303" s="1222"/>
      <c r="AT303" s="1222"/>
      <c r="AU303" s="1120"/>
      <c r="AV303" s="445"/>
      <c r="AW303" s="607"/>
      <c r="AX303" s="607"/>
      <c r="AY303" s="607"/>
      <c r="AZ303" s="1209"/>
      <c r="BA303" s="1209"/>
    </row>
    <row r="304" spans="2:53" s="256" customFormat="1" ht="24.95" customHeight="1">
      <c r="B304" s="445"/>
      <c r="C304" s="843"/>
      <c r="D304" s="843"/>
      <c r="E304" s="843"/>
      <c r="F304" s="1116"/>
      <c r="G304" s="1117"/>
      <c r="H304" s="872"/>
      <c r="I304" s="1123"/>
      <c r="J304" s="868"/>
      <c r="K304" s="868"/>
      <c r="L304" s="868"/>
      <c r="M304" s="868"/>
      <c r="N304" s="1123"/>
      <c r="O304" s="1119"/>
      <c r="P304" s="884"/>
      <c r="Q304" s="1122"/>
      <c r="R304" s="1124"/>
      <c r="S304" s="1124"/>
      <c r="T304" s="1124"/>
      <c r="U304" s="1124"/>
      <c r="V304" s="1124"/>
      <c r="W304" s="1124"/>
      <c r="X304" s="868"/>
      <c r="Y304" s="843"/>
      <c r="Z304" s="843"/>
      <c r="AA304" s="843"/>
      <c r="AB304" s="204"/>
      <c r="AC304" s="204"/>
      <c r="AD304" s="1212"/>
      <c r="AE304" s="1212"/>
      <c r="AF304" s="1186"/>
      <c r="AG304" s="1186"/>
      <c r="AH304" s="1222"/>
      <c r="AI304" s="1222"/>
      <c r="AJ304" s="1222"/>
      <c r="AK304" s="1222"/>
      <c r="AL304" s="1222"/>
      <c r="AM304" s="1222"/>
      <c r="AN304" s="1222"/>
      <c r="AO304" s="1222"/>
      <c r="AP304" s="1222"/>
      <c r="AQ304" s="1222"/>
      <c r="AR304" s="1222"/>
      <c r="AS304" s="1222"/>
      <c r="AT304" s="1222"/>
      <c r="AU304" s="1120"/>
      <c r="AV304" s="445"/>
      <c r="AW304" s="607"/>
      <c r="AX304" s="607"/>
      <c r="AY304" s="607"/>
      <c r="AZ304" s="1209"/>
      <c r="BA304" s="1209"/>
    </row>
    <row r="305" spans="2:53" s="256" customFormat="1" ht="24.95" customHeight="1">
      <c r="B305" s="445"/>
      <c r="C305" s="843"/>
      <c r="D305" s="843"/>
      <c r="E305" s="843"/>
      <c r="F305" s="1116"/>
      <c r="G305" s="1117"/>
      <c r="H305" s="872"/>
      <c r="I305" s="1123"/>
      <c r="J305" s="868"/>
      <c r="K305" s="868"/>
      <c r="L305" s="868"/>
      <c r="M305" s="868"/>
      <c r="N305" s="1123"/>
      <c r="O305" s="1119"/>
      <c r="P305" s="884"/>
      <c r="Q305" s="1122"/>
      <c r="R305" s="1124"/>
      <c r="S305" s="1124"/>
      <c r="T305" s="1124"/>
      <c r="U305" s="1124"/>
      <c r="V305" s="1124"/>
      <c r="W305" s="1124"/>
      <c r="X305" s="868"/>
      <c r="Y305" s="843"/>
      <c r="Z305" s="843"/>
      <c r="AA305" s="843"/>
      <c r="AB305" s="204"/>
      <c r="AC305" s="204"/>
      <c r="AD305" s="1212"/>
      <c r="AE305" s="1212"/>
      <c r="AF305" s="1186"/>
      <c r="AG305" s="1186"/>
      <c r="AH305" s="1222"/>
      <c r="AI305" s="1222"/>
      <c r="AJ305" s="1222"/>
      <c r="AK305" s="1222"/>
      <c r="AL305" s="1222"/>
      <c r="AM305" s="1222"/>
      <c r="AN305" s="1222"/>
      <c r="AO305" s="1222"/>
      <c r="AP305" s="1222"/>
      <c r="AQ305" s="1222"/>
      <c r="AR305" s="1222"/>
      <c r="AS305" s="1222"/>
      <c r="AT305" s="1222"/>
      <c r="AU305" s="1120"/>
      <c r="AV305" s="445"/>
      <c r="AW305" s="607"/>
      <c r="AX305" s="607"/>
      <c r="AY305" s="607"/>
      <c r="AZ305" s="1209"/>
      <c r="BA305" s="1209"/>
    </row>
    <row r="306" spans="2:53" s="256" customFormat="1" ht="24.95" customHeight="1">
      <c r="B306" s="445"/>
      <c r="C306" s="843"/>
      <c r="D306" s="843"/>
      <c r="E306" s="843"/>
      <c r="F306" s="1116"/>
      <c r="G306" s="1117"/>
      <c r="H306" s="872"/>
      <c r="I306" s="1123"/>
      <c r="J306" s="868"/>
      <c r="K306" s="868"/>
      <c r="L306" s="868"/>
      <c r="M306" s="868"/>
      <c r="N306" s="1123"/>
      <c r="O306" s="1119"/>
      <c r="P306" s="884"/>
      <c r="Q306" s="1122"/>
      <c r="R306" s="1124"/>
      <c r="S306" s="1124"/>
      <c r="T306" s="1124"/>
      <c r="U306" s="1124"/>
      <c r="V306" s="1124"/>
      <c r="W306" s="1124"/>
      <c r="X306" s="868"/>
      <c r="Y306" s="843"/>
      <c r="Z306" s="843"/>
      <c r="AA306" s="843"/>
      <c r="AB306" s="204"/>
      <c r="AC306" s="204"/>
      <c r="AD306" s="1212"/>
      <c r="AE306" s="1212"/>
      <c r="AF306" s="1186"/>
      <c r="AG306" s="1186"/>
      <c r="AH306" s="1222"/>
      <c r="AI306" s="1222"/>
      <c r="AJ306" s="1222"/>
      <c r="AK306" s="1222"/>
      <c r="AL306" s="1222"/>
      <c r="AM306" s="1222"/>
      <c r="AN306" s="1222"/>
      <c r="AO306" s="1222"/>
      <c r="AP306" s="1222"/>
      <c r="AQ306" s="1222"/>
      <c r="AR306" s="1222"/>
      <c r="AS306" s="1222"/>
      <c r="AT306" s="1222"/>
      <c r="AU306" s="1120"/>
      <c r="AV306" s="445"/>
      <c r="AW306" s="607"/>
      <c r="AX306" s="607"/>
      <c r="AY306" s="607"/>
      <c r="AZ306" s="1209"/>
      <c r="BA306" s="1209"/>
    </row>
    <row r="307" spans="2:53" s="256" customFormat="1" ht="24.95" customHeight="1">
      <c r="B307" s="445"/>
      <c r="C307" s="843"/>
      <c r="D307" s="843"/>
      <c r="E307" s="843"/>
      <c r="F307" s="1116"/>
      <c r="G307" s="1117"/>
      <c r="H307" s="872"/>
      <c r="I307" s="1123"/>
      <c r="J307" s="868"/>
      <c r="K307" s="868"/>
      <c r="L307" s="868"/>
      <c r="M307" s="868"/>
      <c r="N307" s="1123"/>
      <c r="O307" s="1119"/>
      <c r="P307" s="884"/>
      <c r="Q307" s="1122"/>
      <c r="R307" s="1124"/>
      <c r="S307" s="1124"/>
      <c r="T307" s="1124"/>
      <c r="U307" s="1124"/>
      <c r="V307" s="1124"/>
      <c r="W307" s="1124"/>
      <c r="X307" s="868"/>
      <c r="Y307" s="843"/>
      <c r="Z307" s="843"/>
      <c r="AA307" s="843"/>
      <c r="AB307" s="204"/>
      <c r="AC307" s="204"/>
      <c r="AD307" s="1212"/>
      <c r="AE307" s="1212"/>
      <c r="AF307" s="1186"/>
      <c r="AG307" s="1186"/>
      <c r="AH307" s="1222"/>
      <c r="AI307" s="1222"/>
      <c r="AJ307" s="1222"/>
      <c r="AK307" s="1222"/>
      <c r="AL307" s="1222"/>
      <c r="AM307" s="1222"/>
      <c r="AN307" s="1222"/>
      <c r="AO307" s="1222"/>
      <c r="AP307" s="1222"/>
      <c r="AQ307" s="1222"/>
      <c r="AR307" s="1222"/>
      <c r="AS307" s="1222"/>
      <c r="AT307" s="1222"/>
      <c r="AU307" s="1120"/>
      <c r="AV307" s="445"/>
      <c r="AW307" s="607"/>
      <c r="AX307" s="607"/>
      <c r="AY307" s="607"/>
      <c r="AZ307" s="1209"/>
      <c r="BA307" s="1209"/>
    </row>
    <row r="308" spans="2:53" s="256" customFormat="1" ht="24.95" customHeight="1">
      <c r="B308" s="445"/>
      <c r="C308" s="843"/>
      <c r="D308" s="843"/>
      <c r="E308" s="843"/>
      <c r="F308" s="1116"/>
      <c r="G308" s="1117"/>
      <c r="H308" s="872"/>
      <c r="I308" s="1123"/>
      <c r="J308" s="868"/>
      <c r="K308" s="868"/>
      <c r="L308" s="868"/>
      <c r="M308" s="868"/>
      <c r="N308" s="1123"/>
      <c r="O308" s="1119"/>
      <c r="P308" s="884"/>
      <c r="Q308" s="1122"/>
      <c r="R308" s="1124"/>
      <c r="S308" s="1124"/>
      <c r="T308" s="1124"/>
      <c r="U308" s="1124"/>
      <c r="V308" s="1124"/>
      <c r="W308" s="1124"/>
      <c r="X308" s="868"/>
      <c r="Y308" s="843"/>
      <c r="Z308" s="843"/>
      <c r="AA308" s="843"/>
      <c r="AB308" s="204"/>
      <c r="AC308" s="204"/>
      <c r="AD308" s="1212"/>
      <c r="AE308" s="1212"/>
      <c r="AF308" s="1186"/>
      <c r="AG308" s="1186"/>
      <c r="AH308" s="1222"/>
      <c r="AI308" s="1222"/>
      <c r="AJ308" s="1222"/>
      <c r="AK308" s="1222"/>
      <c r="AL308" s="1222"/>
      <c r="AM308" s="1222"/>
      <c r="AN308" s="1222"/>
      <c r="AO308" s="1222"/>
      <c r="AP308" s="1222"/>
      <c r="AQ308" s="1222"/>
      <c r="AR308" s="1222"/>
      <c r="AS308" s="1222"/>
      <c r="AT308" s="1222"/>
      <c r="AU308" s="1120"/>
      <c r="AV308" s="445"/>
      <c r="AW308" s="607"/>
      <c r="AX308" s="607"/>
      <c r="AY308" s="607"/>
      <c r="AZ308" s="1209"/>
      <c r="BA308" s="1209"/>
    </row>
    <row r="309" spans="2:53" s="256" customFormat="1" ht="24.95" customHeight="1">
      <c r="B309" s="445"/>
      <c r="C309" s="843"/>
      <c r="D309" s="843"/>
      <c r="E309" s="843"/>
      <c r="F309" s="1116"/>
      <c r="G309" s="1117"/>
      <c r="H309" s="872"/>
      <c r="I309" s="1123"/>
      <c r="J309" s="868"/>
      <c r="K309" s="868"/>
      <c r="L309" s="868"/>
      <c r="M309" s="868"/>
      <c r="N309" s="1123"/>
      <c r="O309" s="1119"/>
      <c r="P309" s="884"/>
      <c r="Q309" s="1122"/>
      <c r="R309" s="1124"/>
      <c r="S309" s="1124"/>
      <c r="T309" s="1124"/>
      <c r="U309" s="1124"/>
      <c r="V309" s="1124"/>
      <c r="W309" s="1124"/>
      <c r="X309" s="868"/>
      <c r="Y309" s="843"/>
      <c r="Z309" s="843"/>
      <c r="AA309" s="843"/>
      <c r="AB309" s="204"/>
      <c r="AC309" s="204"/>
      <c r="AD309" s="1212"/>
      <c r="AE309" s="1212"/>
      <c r="AF309" s="1186"/>
      <c r="AG309" s="1186"/>
      <c r="AH309" s="1222"/>
      <c r="AI309" s="1222"/>
      <c r="AJ309" s="1222"/>
      <c r="AK309" s="1222"/>
      <c r="AL309" s="1222"/>
      <c r="AM309" s="1222"/>
      <c r="AN309" s="1222"/>
      <c r="AO309" s="1222"/>
      <c r="AP309" s="1222"/>
      <c r="AQ309" s="1222"/>
      <c r="AR309" s="1222"/>
      <c r="AS309" s="1222"/>
      <c r="AT309" s="1222"/>
      <c r="AU309" s="1120"/>
      <c r="AV309" s="445"/>
      <c r="AW309" s="607"/>
      <c r="AX309" s="607"/>
      <c r="AY309" s="607"/>
      <c r="AZ309" s="1209"/>
      <c r="BA309" s="1209"/>
    </row>
    <row r="310" spans="2:53" s="256" customFormat="1" ht="24.95" customHeight="1">
      <c r="B310" s="445"/>
      <c r="C310" s="843"/>
      <c r="D310" s="843"/>
      <c r="E310" s="843"/>
      <c r="F310" s="1116"/>
      <c r="G310" s="1117"/>
      <c r="H310" s="872"/>
      <c r="I310" s="1123"/>
      <c r="J310" s="868"/>
      <c r="K310" s="868"/>
      <c r="L310" s="868"/>
      <c r="M310" s="868"/>
      <c r="N310" s="1123"/>
      <c r="O310" s="1119"/>
      <c r="P310" s="884"/>
      <c r="Q310" s="1122"/>
      <c r="R310" s="1124"/>
      <c r="S310" s="1124"/>
      <c r="T310" s="1124"/>
      <c r="U310" s="1124"/>
      <c r="V310" s="1124"/>
      <c r="W310" s="1124"/>
      <c r="X310" s="868"/>
      <c r="Y310" s="843"/>
      <c r="Z310" s="843"/>
      <c r="AA310" s="843"/>
      <c r="AB310" s="204"/>
      <c r="AC310" s="204"/>
      <c r="AD310" s="1212"/>
      <c r="AE310" s="1212"/>
      <c r="AF310" s="1186"/>
      <c r="AG310" s="1186"/>
      <c r="AH310" s="1222"/>
      <c r="AI310" s="1222"/>
      <c r="AJ310" s="1222"/>
      <c r="AK310" s="1222"/>
      <c r="AL310" s="1222"/>
      <c r="AM310" s="1222"/>
      <c r="AN310" s="1222"/>
      <c r="AO310" s="1222"/>
      <c r="AP310" s="1222"/>
      <c r="AQ310" s="1222"/>
      <c r="AR310" s="1222"/>
      <c r="AS310" s="1222"/>
      <c r="AT310" s="1222"/>
      <c r="AU310" s="1120"/>
      <c r="AV310" s="445"/>
      <c r="AW310" s="607"/>
      <c r="AX310" s="607"/>
      <c r="AY310" s="607"/>
      <c r="AZ310" s="1209"/>
      <c r="BA310" s="1209"/>
    </row>
    <row r="311" spans="2:53" s="256" customFormat="1" ht="24.95" customHeight="1">
      <c r="B311" s="445"/>
      <c r="C311" s="843"/>
      <c r="D311" s="843"/>
      <c r="E311" s="843"/>
      <c r="F311" s="1116"/>
      <c r="G311" s="1117"/>
      <c r="H311" s="872"/>
      <c r="I311" s="1123"/>
      <c r="J311" s="868"/>
      <c r="K311" s="868"/>
      <c r="L311" s="868"/>
      <c r="M311" s="868"/>
      <c r="N311" s="1123"/>
      <c r="O311" s="1119"/>
      <c r="P311" s="884"/>
      <c r="Q311" s="1122"/>
      <c r="R311" s="1124"/>
      <c r="S311" s="1124"/>
      <c r="T311" s="1124"/>
      <c r="U311" s="1124"/>
      <c r="V311" s="1124"/>
      <c r="W311" s="1124"/>
      <c r="X311" s="868"/>
      <c r="Y311" s="843"/>
      <c r="Z311" s="843"/>
      <c r="AA311" s="843"/>
      <c r="AB311" s="204"/>
      <c r="AC311" s="204"/>
      <c r="AD311" s="1212"/>
      <c r="AE311" s="1212"/>
      <c r="AF311" s="1186"/>
      <c r="AG311" s="1186"/>
      <c r="AH311" s="1222"/>
      <c r="AI311" s="1222"/>
      <c r="AJ311" s="1222"/>
      <c r="AK311" s="1222"/>
      <c r="AL311" s="1222"/>
      <c r="AM311" s="1222"/>
      <c r="AN311" s="1222"/>
      <c r="AO311" s="1222"/>
      <c r="AP311" s="1222"/>
      <c r="AQ311" s="1222"/>
      <c r="AR311" s="1222"/>
      <c r="AS311" s="1222"/>
      <c r="AT311" s="1222"/>
      <c r="AU311" s="1120"/>
      <c r="AV311" s="445"/>
      <c r="AW311" s="607"/>
      <c r="AX311" s="607"/>
      <c r="AY311" s="607"/>
      <c r="AZ311" s="1209"/>
      <c r="BA311" s="1209"/>
    </row>
    <row r="312" spans="2:53" s="256" customFormat="1" ht="24.95" customHeight="1">
      <c r="B312" s="445"/>
      <c r="C312" s="1223"/>
      <c r="D312" s="1223"/>
      <c r="E312" s="1223"/>
      <c r="F312" s="1224"/>
      <c r="G312" s="1225"/>
      <c r="H312" s="1226"/>
      <c r="I312" s="1227"/>
      <c r="J312" s="1228"/>
      <c r="K312" s="1228"/>
      <c r="L312" s="1228"/>
      <c r="M312" s="1228"/>
      <c r="N312" s="1227"/>
      <c r="O312" s="1229"/>
      <c r="P312" s="1230"/>
      <c r="Q312" s="1231"/>
      <c r="R312" s="1232"/>
      <c r="S312" s="1232"/>
      <c r="T312" s="1232"/>
      <c r="U312" s="1232"/>
      <c r="V312" s="1232"/>
      <c r="W312" s="1232"/>
      <c r="X312" s="1228"/>
      <c r="Y312" s="1223"/>
      <c r="Z312" s="1223"/>
      <c r="AA312" s="1223"/>
      <c r="AB312" s="204"/>
      <c r="AC312" s="204"/>
      <c r="AD312" s="1212"/>
      <c r="AE312" s="1212"/>
      <c r="AF312" s="1186"/>
      <c r="AG312" s="1186"/>
      <c r="AH312" s="1222"/>
      <c r="AI312" s="1222"/>
      <c r="AJ312" s="1222"/>
      <c r="AK312" s="1222"/>
      <c r="AL312" s="1222"/>
      <c r="AM312" s="1222"/>
      <c r="AN312" s="1222"/>
      <c r="AO312" s="1222"/>
      <c r="AP312" s="1222"/>
      <c r="AQ312" s="1222"/>
      <c r="AR312" s="1222"/>
      <c r="AS312" s="1222"/>
      <c r="AT312" s="1222"/>
      <c r="AU312" s="1120"/>
      <c r="AV312" s="445"/>
      <c r="AW312" s="607"/>
      <c r="AX312" s="607"/>
      <c r="AY312" s="607"/>
      <c r="AZ312" s="1209"/>
      <c r="BA312" s="1209"/>
    </row>
    <row r="313" spans="2:53" s="256" customFormat="1" ht="24.95" customHeight="1">
      <c r="B313" s="445"/>
      <c r="C313" s="204"/>
      <c r="D313" s="204"/>
      <c r="E313" s="204"/>
      <c r="F313" s="368"/>
      <c r="G313" s="1134"/>
      <c r="H313" s="401"/>
      <c r="I313" s="317"/>
      <c r="N313" s="317"/>
      <c r="O313" s="1135"/>
      <c r="P313" s="1136"/>
      <c r="Q313" s="1137"/>
      <c r="R313" s="1120"/>
      <c r="S313" s="1120"/>
      <c r="T313" s="1120"/>
      <c r="U313" s="1120"/>
      <c r="V313" s="1120"/>
      <c r="W313" s="1120"/>
      <c r="Z313" s="1145"/>
      <c r="AA313" s="1120"/>
      <c r="AB313" s="1120"/>
      <c r="AC313" s="1120"/>
      <c r="AD313" s="1212"/>
      <c r="AE313" s="1212"/>
      <c r="AF313" s="1186"/>
      <c r="AG313" s="1186"/>
      <c r="AH313" s="1222"/>
      <c r="AI313" s="1222"/>
      <c r="AJ313" s="1222"/>
      <c r="AK313" s="1222"/>
      <c r="AL313" s="1222"/>
      <c r="AM313" s="1222"/>
      <c r="AN313" s="1222"/>
      <c r="AO313" s="1222"/>
      <c r="AP313" s="1222"/>
      <c r="AQ313" s="1222"/>
      <c r="AR313" s="1222"/>
      <c r="AS313" s="1222"/>
      <c r="AT313" s="1222"/>
      <c r="AU313" s="1120"/>
      <c r="AV313" s="445"/>
      <c r="AW313" s="607"/>
      <c r="AX313" s="607"/>
      <c r="AY313" s="607"/>
      <c r="AZ313" s="1209"/>
      <c r="BA313" s="1209"/>
    </row>
    <row r="314" spans="2:53" s="256" customFormat="1" ht="24.95" customHeight="1">
      <c r="B314" s="445"/>
      <c r="C314" s="204"/>
      <c r="D314" s="204"/>
      <c r="E314" s="204"/>
      <c r="F314" s="368"/>
      <c r="G314" s="1134"/>
      <c r="H314" s="401"/>
      <c r="I314" s="317"/>
      <c r="N314" s="317"/>
      <c r="O314" s="1135"/>
      <c r="P314" s="1136"/>
      <c r="Q314" s="1137"/>
      <c r="R314" s="1120"/>
      <c r="S314" s="1120"/>
      <c r="T314" s="1120"/>
      <c r="U314" s="1120"/>
      <c r="V314" s="1120"/>
      <c r="W314" s="1120"/>
      <c r="Z314" s="1145"/>
      <c r="AA314" s="1120"/>
      <c r="AB314" s="1120"/>
      <c r="AC314" s="1120"/>
      <c r="AD314" s="1212"/>
      <c r="AE314" s="1212"/>
      <c r="AF314" s="1186"/>
      <c r="AG314" s="1186"/>
      <c r="AH314" s="1222"/>
      <c r="AI314" s="1222"/>
      <c r="AJ314" s="1222"/>
      <c r="AK314" s="1222"/>
      <c r="AL314" s="1222"/>
      <c r="AM314" s="1222"/>
      <c r="AN314" s="1222"/>
      <c r="AO314" s="1222"/>
      <c r="AP314" s="1222"/>
      <c r="AQ314" s="1222"/>
      <c r="AR314" s="1222"/>
      <c r="AS314" s="1222"/>
      <c r="AT314" s="1222"/>
      <c r="AU314" s="1120"/>
      <c r="AV314" s="445"/>
      <c r="AW314" s="607"/>
      <c r="AX314" s="607"/>
      <c r="AY314" s="607"/>
      <c r="AZ314" s="1209"/>
      <c r="BA314" s="1209"/>
    </row>
    <row r="315" spans="2:53" s="256" customFormat="1" ht="24.95" customHeight="1">
      <c r="B315" s="445"/>
      <c r="C315" s="204"/>
      <c r="D315" s="204"/>
      <c r="E315" s="204"/>
      <c r="F315" s="368"/>
      <c r="G315" s="1134"/>
      <c r="H315" s="401"/>
      <c r="I315" s="317"/>
      <c r="N315" s="317"/>
      <c r="O315" s="1135"/>
      <c r="P315" s="1136"/>
      <c r="Q315" s="1137"/>
      <c r="R315" s="1120"/>
      <c r="S315" s="1120"/>
      <c r="T315" s="1120"/>
      <c r="U315" s="1120"/>
      <c r="V315" s="1120"/>
      <c r="W315" s="1120"/>
      <c r="Z315" s="1145"/>
      <c r="AA315" s="1120"/>
      <c r="AB315" s="1120"/>
      <c r="AC315" s="1120"/>
      <c r="AD315" s="1212"/>
      <c r="AE315" s="1212"/>
      <c r="AF315" s="1186"/>
      <c r="AG315" s="1186"/>
      <c r="AH315" s="1222"/>
      <c r="AI315" s="1222"/>
      <c r="AJ315" s="1222"/>
      <c r="AK315" s="1222"/>
      <c r="AL315" s="1222"/>
      <c r="AM315" s="1222"/>
      <c r="AN315" s="1222"/>
      <c r="AO315" s="1222"/>
      <c r="AP315" s="1222"/>
      <c r="AQ315" s="1222"/>
      <c r="AR315" s="1222"/>
      <c r="AS315" s="1222"/>
      <c r="AT315" s="1222"/>
      <c r="AU315" s="1120"/>
      <c r="AV315" s="445"/>
      <c r="AW315" s="607"/>
      <c r="AX315" s="607"/>
      <c r="AY315" s="607"/>
      <c r="AZ315" s="1209"/>
      <c r="BA315" s="1209"/>
    </row>
    <row r="316" spans="2:53" s="256" customFormat="1" ht="24.95" customHeight="1">
      <c r="B316" s="445"/>
      <c r="C316" s="204"/>
      <c r="D316" s="204"/>
      <c r="E316" s="204"/>
      <c r="F316" s="368"/>
      <c r="G316" s="1134"/>
      <c r="H316" s="401"/>
      <c r="I316" s="317"/>
      <c r="N316" s="317"/>
      <c r="O316" s="1135"/>
      <c r="P316" s="1136"/>
      <c r="Q316" s="1137"/>
      <c r="R316" s="1120"/>
      <c r="S316" s="1120"/>
      <c r="T316" s="1120"/>
      <c r="U316" s="1120"/>
      <c r="V316" s="1120"/>
      <c r="W316" s="1120"/>
      <c r="Z316" s="1145"/>
      <c r="AA316" s="1120"/>
      <c r="AB316" s="1120"/>
      <c r="AC316" s="1120"/>
      <c r="AD316" s="1212"/>
      <c r="AE316" s="1212"/>
      <c r="AF316" s="1186"/>
      <c r="AG316" s="1186"/>
      <c r="AH316" s="1222"/>
      <c r="AI316" s="1222"/>
      <c r="AJ316" s="1222"/>
      <c r="AK316" s="1222"/>
      <c r="AL316" s="1222"/>
      <c r="AM316" s="1222"/>
      <c r="AN316" s="1222"/>
      <c r="AO316" s="1222"/>
      <c r="AP316" s="1222"/>
      <c r="AQ316" s="1222"/>
      <c r="AR316" s="1222"/>
      <c r="AS316" s="1222"/>
      <c r="AT316" s="1222"/>
      <c r="AU316" s="1120"/>
      <c r="AV316" s="445"/>
      <c r="AW316" s="607"/>
      <c r="AX316" s="607"/>
      <c r="AY316" s="607"/>
      <c r="AZ316" s="1209"/>
      <c r="BA316" s="1209"/>
    </row>
    <row r="317" spans="2:53" s="256" customFormat="1" ht="24.95" customHeight="1">
      <c r="B317" s="445"/>
      <c r="C317" s="204"/>
      <c r="D317" s="204"/>
      <c r="E317" s="204"/>
      <c r="F317" s="368"/>
      <c r="G317" s="1134"/>
      <c r="H317" s="401"/>
      <c r="I317" s="317"/>
      <c r="N317" s="317"/>
      <c r="O317" s="1135"/>
      <c r="P317" s="1136"/>
      <c r="Q317" s="1137"/>
      <c r="R317" s="1120"/>
      <c r="S317" s="1120"/>
      <c r="T317" s="1120"/>
      <c r="U317" s="1120"/>
      <c r="V317" s="1120"/>
      <c r="W317" s="1120"/>
      <c r="Z317" s="1145"/>
      <c r="AA317" s="1120"/>
      <c r="AB317" s="1120"/>
      <c r="AC317" s="1120"/>
      <c r="AD317" s="1212"/>
      <c r="AE317" s="1212"/>
      <c r="AF317" s="1186"/>
      <c r="AG317" s="1186"/>
      <c r="AH317" s="1222"/>
      <c r="AI317" s="1222"/>
      <c r="AJ317" s="1222"/>
      <c r="AK317" s="1222"/>
      <c r="AL317" s="1222"/>
      <c r="AM317" s="1222"/>
      <c r="AN317" s="1222"/>
      <c r="AO317" s="1222"/>
      <c r="AP317" s="1222"/>
      <c r="AQ317" s="1222"/>
      <c r="AR317" s="1222"/>
      <c r="AS317" s="1222"/>
      <c r="AT317" s="1222"/>
      <c r="AU317" s="1120"/>
      <c r="AV317" s="445"/>
      <c r="AW317" s="607"/>
      <c r="AX317" s="607"/>
      <c r="AY317" s="607"/>
      <c r="AZ317" s="1209"/>
      <c r="BA317" s="1209"/>
    </row>
    <row r="318" spans="2:53" s="256" customFormat="1" ht="24.95" customHeight="1">
      <c r="B318" s="445"/>
      <c r="C318" s="204"/>
      <c r="D318" s="204"/>
      <c r="E318" s="204"/>
      <c r="F318" s="368"/>
      <c r="G318" s="1134"/>
      <c r="H318" s="401"/>
      <c r="I318" s="317"/>
      <c r="N318" s="317"/>
      <c r="O318" s="1135"/>
      <c r="P318" s="1136"/>
      <c r="Q318" s="1137"/>
      <c r="R318" s="1120"/>
      <c r="S318" s="1120"/>
      <c r="T318" s="1120"/>
      <c r="U318" s="1120"/>
      <c r="V318" s="1120"/>
      <c r="W318" s="1120"/>
      <c r="Z318" s="1145"/>
      <c r="AA318" s="1120"/>
      <c r="AB318" s="1120"/>
      <c r="AC318" s="1120"/>
      <c r="AD318" s="1212"/>
      <c r="AE318" s="1212"/>
      <c r="AF318" s="1186"/>
      <c r="AG318" s="1186"/>
      <c r="AH318" s="1222"/>
      <c r="AI318" s="1222"/>
      <c r="AJ318" s="1222"/>
      <c r="AK318" s="1222"/>
      <c r="AL318" s="1222"/>
      <c r="AM318" s="1222"/>
      <c r="AN318" s="1222"/>
      <c r="AO318" s="1222"/>
      <c r="AP318" s="1222"/>
      <c r="AQ318" s="1222"/>
      <c r="AR318" s="1222"/>
      <c r="AS318" s="1222"/>
      <c r="AT318" s="1222"/>
      <c r="AU318" s="1120"/>
      <c r="AV318" s="445"/>
      <c r="AW318" s="607"/>
      <c r="AX318" s="607"/>
      <c r="AY318" s="607"/>
      <c r="AZ318" s="1209"/>
      <c r="BA318" s="1209"/>
    </row>
    <row r="319" spans="2:53" s="256" customFormat="1" ht="24.95" customHeight="1">
      <c r="B319" s="445"/>
      <c r="C319" s="204"/>
      <c r="D319" s="204"/>
      <c r="E319" s="204"/>
      <c r="F319" s="368"/>
      <c r="G319" s="1134"/>
      <c r="H319" s="401"/>
      <c r="I319" s="317"/>
      <c r="N319" s="317"/>
      <c r="O319" s="1135"/>
      <c r="P319" s="1136"/>
      <c r="Q319" s="1137"/>
      <c r="R319" s="1120"/>
      <c r="S319" s="1120"/>
      <c r="T319" s="1120"/>
      <c r="U319" s="1120"/>
      <c r="V319" s="1120"/>
      <c r="W319" s="1120"/>
      <c r="Z319" s="1145"/>
      <c r="AA319" s="1120"/>
      <c r="AB319" s="1120"/>
      <c r="AC319" s="1120"/>
      <c r="AD319" s="1212"/>
      <c r="AE319" s="1212"/>
      <c r="AF319" s="1186"/>
      <c r="AG319" s="1186"/>
      <c r="AH319" s="1222"/>
      <c r="AI319" s="1222"/>
      <c r="AJ319" s="1222"/>
      <c r="AK319" s="1222"/>
      <c r="AL319" s="1222"/>
      <c r="AM319" s="1222"/>
      <c r="AN319" s="1222"/>
      <c r="AO319" s="1222"/>
      <c r="AP319" s="1222"/>
      <c r="AQ319" s="1222"/>
      <c r="AR319" s="1222"/>
      <c r="AS319" s="1222"/>
      <c r="AT319" s="1222"/>
      <c r="AU319" s="1120"/>
      <c r="AV319" s="445"/>
      <c r="AW319" s="607"/>
      <c r="AX319" s="607"/>
      <c r="AY319" s="607"/>
      <c r="AZ319" s="1209"/>
      <c r="BA319" s="1209"/>
    </row>
    <row r="320" spans="2:53" s="256" customFormat="1" ht="24.95" customHeight="1">
      <c r="B320" s="445"/>
      <c r="C320" s="204"/>
      <c r="D320" s="204"/>
      <c r="E320" s="204"/>
      <c r="F320" s="368"/>
      <c r="G320" s="1134"/>
      <c r="H320" s="401"/>
      <c r="I320" s="317"/>
      <c r="N320" s="317"/>
      <c r="O320" s="1135"/>
      <c r="P320" s="1136"/>
      <c r="Q320" s="1137"/>
      <c r="R320" s="1120"/>
      <c r="S320" s="1120"/>
      <c r="T320" s="1120"/>
      <c r="U320" s="1120"/>
      <c r="V320" s="1120"/>
      <c r="W320" s="1120"/>
      <c r="Z320" s="1145"/>
      <c r="AA320" s="1120"/>
      <c r="AB320" s="1120"/>
      <c r="AC320" s="1120"/>
      <c r="AD320" s="1212"/>
      <c r="AE320" s="1212"/>
      <c r="AF320" s="1186"/>
      <c r="AG320" s="1186"/>
      <c r="AH320" s="1222"/>
      <c r="AI320" s="1222"/>
      <c r="AJ320" s="1222"/>
      <c r="AK320" s="1222"/>
      <c r="AL320" s="1222"/>
      <c r="AM320" s="1222"/>
      <c r="AN320" s="1222"/>
      <c r="AO320" s="1222"/>
      <c r="AP320" s="1222"/>
      <c r="AQ320" s="1222"/>
      <c r="AR320" s="1222"/>
      <c r="AS320" s="1222"/>
      <c r="AT320" s="1222"/>
      <c r="AU320" s="1120"/>
      <c r="AV320" s="445"/>
      <c r="AW320" s="607"/>
      <c r="AX320" s="607"/>
      <c r="AY320" s="607"/>
      <c r="AZ320" s="1209"/>
      <c r="BA320" s="1209"/>
    </row>
    <row r="321" spans="2:53" s="256" customFormat="1" ht="24.95" customHeight="1">
      <c r="B321" s="445"/>
      <c r="C321" s="204"/>
      <c r="D321" s="204"/>
      <c r="E321" s="204"/>
      <c r="F321" s="368"/>
      <c r="G321" s="1134"/>
      <c r="H321" s="401"/>
      <c r="I321" s="317"/>
      <c r="N321" s="317"/>
      <c r="O321" s="1135"/>
      <c r="P321" s="1136"/>
      <c r="Q321" s="1137"/>
      <c r="R321" s="1120"/>
      <c r="S321" s="1120"/>
      <c r="T321" s="1120"/>
      <c r="U321" s="1120"/>
      <c r="V321" s="1120"/>
      <c r="W321" s="1120"/>
      <c r="Z321" s="1145"/>
      <c r="AA321" s="1120"/>
      <c r="AB321" s="1120"/>
      <c r="AC321" s="1120"/>
      <c r="AD321" s="1212"/>
      <c r="AE321" s="1212"/>
      <c r="AF321" s="1186"/>
      <c r="AG321" s="1186"/>
      <c r="AH321" s="1222"/>
      <c r="AI321" s="1222"/>
      <c r="AJ321" s="1222"/>
      <c r="AK321" s="1222"/>
      <c r="AL321" s="1222"/>
      <c r="AM321" s="1222"/>
      <c r="AN321" s="1222"/>
      <c r="AO321" s="1222"/>
      <c r="AP321" s="1222"/>
      <c r="AQ321" s="1222"/>
      <c r="AR321" s="1222"/>
      <c r="AS321" s="1222"/>
      <c r="AT321" s="1222"/>
      <c r="AU321" s="1120"/>
      <c r="AV321" s="445"/>
      <c r="AW321" s="607"/>
      <c r="AX321" s="607"/>
      <c r="AY321" s="607"/>
      <c r="AZ321" s="1209"/>
      <c r="BA321" s="1209"/>
    </row>
    <row r="322" spans="2:53" s="256" customFormat="1" ht="24.95" customHeight="1">
      <c r="B322" s="445"/>
      <c r="C322" s="204"/>
      <c r="D322" s="204"/>
      <c r="E322" s="204"/>
      <c r="F322" s="368"/>
      <c r="G322" s="1134"/>
      <c r="H322" s="401"/>
      <c r="I322" s="317"/>
      <c r="N322" s="317"/>
      <c r="O322" s="1135"/>
      <c r="P322" s="1136"/>
      <c r="Q322" s="1137"/>
      <c r="R322" s="1120"/>
      <c r="S322" s="1120"/>
      <c r="T322" s="1120"/>
      <c r="U322" s="1120"/>
      <c r="V322" s="1120"/>
      <c r="W322" s="1120"/>
      <c r="Z322" s="1145"/>
      <c r="AA322" s="1120"/>
      <c r="AB322" s="1120"/>
      <c r="AC322" s="1120"/>
      <c r="AD322" s="1212"/>
      <c r="AE322" s="1212"/>
      <c r="AF322" s="1186"/>
      <c r="AG322" s="1186"/>
      <c r="AH322" s="1222"/>
      <c r="AI322" s="1222"/>
      <c r="AJ322" s="1222"/>
      <c r="AK322" s="1222"/>
      <c r="AL322" s="1222"/>
      <c r="AM322" s="1222"/>
      <c r="AN322" s="1222"/>
      <c r="AO322" s="1222"/>
      <c r="AP322" s="1222"/>
      <c r="AQ322" s="1222"/>
      <c r="AR322" s="1222"/>
      <c r="AS322" s="1222"/>
      <c r="AT322" s="1222"/>
      <c r="AU322" s="1120"/>
      <c r="AV322" s="445"/>
      <c r="AW322" s="607"/>
      <c r="AX322" s="607"/>
      <c r="AY322" s="607"/>
      <c r="AZ322" s="1209"/>
      <c r="BA322" s="1209"/>
    </row>
    <row r="323" spans="2:53" s="256" customFormat="1" ht="24.95" customHeight="1">
      <c r="B323" s="445"/>
      <c r="C323" s="204"/>
      <c r="D323" s="204"/>
      <c r="E323" s="204"/>
      <c r="F323" s="368"/>
      <c r="G323" s="1134"/>
      <c r="H323" s="401"/>
      <c r="I323" s="317"/>
      <c r="N323" s="317"/>
      <c r="O323" s="1135"/>
      <c r="P323" s="1136"/>
      <c r="Q323" s="1137"/>
      <c r="R323" s="1120"/>
      <c r="S323" s="1120"/>
      <c r="T323" s="1120"/>
      <c r="U323" s="1120"/>
      <c r="V323" s="1120"/>
      <c r="W323" s="1120"/>
      <c r="Z323" s="1145"/>
      <c r="AA323" s="1120"/>
      <c r="AB323" s="1120"/>
      <c r="AC323" s="1120"/>
      <c r="AD323" s="1212"/>
      <c r="AE323" s="1212"/>
      <c r="AF323" s="1186"/>
      <c r="AG323" s="1186"/>
      <c r="AH323" s="1222"/>
      <c r="AI323" s="1222"/>
      <c r="AJ323" s="1222"/>
      <c r="AK323" s="1222"/>
      <c r="AL323" s="1222"/>
      <c r="AM323" s="1222"/>
      <c r="AN323" s="1222"/>
      <c r="AO323" s="1222"/>
      <c r="AP323" s="1222"/>
      <c r="AQ323" s="1222"/>
      <c r="AR323" s="1222"/>
      <c r="AS323" s="1222"/>
      <c r="AT323" s="1222"/>
      <c r="AU323" s="1120"/>
      <c r="AV323" s="445"/>
      <c r="AW323" s="607"/>
      <c r="AX323" s="607"/>
      <c r="AY323" s="607"/>
      <c r="AZ323" s="1209"/>
      <c r="BA323" s="1209"/>
    </row>
    <row r="324" spans="2:53" s="256" customFormat="1" ht="24.95" customHeight="1">
      <c r="B324" s="445"/>
      <c r="C324" s="204"/>
      <c r="D324" s="204"/>
      <c r="E324" s="204"/>
      <c r="F324" s="368"/>
      <c r="G324" s="1134"/>
      <c r="H324" s="401"/>
      <c r="I324" s="317"/>
      <c r="N324" s="317"/>
      <c r="O324" s="1135"/>
      <c r="P324" s="1136"/>
      <c r="Q324" s="1137"/>
      <c r="R324" s="1120"/>
      <c r="S324" s="1120"/>
      <c r="T324" s="1120"/>
      <c r="U324" s="1120"/>
      <c r="V324" s="1120"/>
      <c r="W324" s="1120"/>
      <c r="Z324" s="1145"/>
      <c r="AA324" s="1120"/>
      <c r="AB324" s="1120"/>
      <c r="AC324" s="1120"/>
      <c r="AD324" s="1212"/>
      <c r="AE324" s="1212"/>
      <c r="AF324" s="1186"/>
      <c r="AG324" s="1186"/>
      <c r="AH324" s="1222"/>
      <c r="AI324" s="1222"/>
      <c r="AJ324" s="1222"/>
      <c r="AK324" s="1222"/>
      <c r="AL324" s="1222"/>
      <c r="AM324" s="1222"/>
      <c r="AN324" s="1222"/>
      <c r="AO324" s="1222"/>
      <c r="AP324" s="1222"/>
      <c r="AQ324" s="1222"/>
      <c r="AR324" s="1222"/>
      <c r="AS324" s="1222"/>
      <c r="AT324" s="1222"/>
      <c r="AU324" s="1120"/>
      <c r="AV324" s="445"/>
      <c r="AW324" s="607"/>
      <c r="AX324" s="607"/>
      <c r="AY324" s="607"/>
      <c r="AZ324" s="1209"/>
      <c r="BA324" s="1209"/>
    </row>
    <row r="325" spans="2:53" s="256" customFormat="1" ht="24.95" customHeight="1">
      <c r="B325" s="445"/>
      <c r="C325" s="204"/>
      <c r="D325" s="204"/>
      <c r="E325" s="204"/>
      <c r="F325" s="368"/>
      <c r="G325" s="1134"/>
      <c r="H325" s="401"/>
      <c r="I325" s="317"/>
      <c r="N325" s="317"/>
      <c r="O325" s="1135"/>
      <c r="P325" s="1136"/>
      <c r="Q325" s="1137"/>
      <c r="R325" s="1120"/>
      <c r="S325" s="1120"/>
      <c r="T325" s="1120"/>
      <c r="U325" s="1120"/>
      <c r="V325" s="1120"/>
      <c r="W325" s="1120"/>
      <c r="Z325" s="1145"/>
      <c r="AA325" s="1120"/>
      <c r="AB325" s="1120"/>
      <c r="AC325" s="1120"/>
      <c r="AD325" s="1212"/>
      <c r="AE325" s="1212"/>
      <c r="AF325" s="1186"/>
      <c r="AG325" s="1186"/>
      <c r="AH325" s="1222"/>
      <c r="AI325" s="1222"/>
      <c r="AJ325" s="1222"/>
      <c r="AK325" s="1222"/>
      <c r="AL325" s="1222"/>
      <c r="AM325" s="1222"/>
      <c r="AN325" s="1222"/>
      <c r="AO325" s="1222"/>
      <c r="AP325" s="1222"/>
      <c r="AQ325" s="1222"/>
      <c r="AR325" s="1222"/>
      <c r="AS325" s="1222"/>
      <c r="AT325" s="1222"/>
      <c r="AU325" s="1120"/>
      <c r="AV325" s="445"/>
      <c r="AW325" s="607"/>
      <c r="AX325" s="607"/>
      <c r="AY325" s="607"/>
      <c r="AZ325" s="1209"/>
      <c r="BA325" s="1209"/>
    </row>
    <row r="326" spans="2:53" s="256" customFormat="1" ht="24.95" customHeight="1">
      <c r="B326" s="445"/>
      <c r="C326" s="204"/>
      <c r="D326" s="204"/>
      <c r="E326" s="204"/>
      <c r="F326" s="368"/>
      <c r="G326" s="1134"/>
      <c r="H326" s="401"/>
      <c r="I326" s="317"/>
      <c r="N326" s="317"/>
      <c r="O326" s="1135"/>
      <c r="P326" s="1136"/>
      <c r="Q326" s="1137"/>
      <c r="R326" s="1120"/>
      <c r="S326" s="1120"/>
      <c r="T326" s="1120"/>
      <c r="U326" s="1120"/>
      <c r="V326" s="1120"/>
      <c r="W326" s="1120"/>
      <c r="Z326" s="1145"/>
      <c r="AA326" s="1120"/>
      <c r="AB326" s="1120"/>
      <c r="AC326" s="1120"/>
      <c r="AD326" s="1212"/>
      <c r="AE326" s="1212"/>
      <c r="AF326" s="1186"/>
      <c r="AG326" s="1186"/>
      <c r="AH326" s="1222"/>
      <c r="AI326" s="1222"/>
      <c r="AJ326" s="1222"/>
      <c r="AK326" s="1222"/>
      <c r="AL326" s="1222"/>
      <c r="AM326" s="1222"/>
      <c r="AN326" s="1222"/>
      <c r="AO326" s="1222"/>
      <c r="AP326" s="1222"/>
      <c r="AQ326" s="1222"/>
      <c r="AR326" s="1222"/>
      <c r="AS326" s="1222"/>
      <c r="AT326" s="1222"/>
      <c r="AU326" s="1120"/>
      <c r="AV326" s="445"/>
      <c r="AW326" s="607"/>
      <c r="AX326" s="607"/>
      <c r="AY326" s="607"/>
      <c r="AZ326" s="1209"/>
      <c r="BA326" s="1209"/>
    </row>
    <row r="327" spans="2:53" s="256" customFormat="1" ht="24.95" customHeight="1">
      <c r="B327" s="445"/>
      <c r="C327" s="204"/>
      <c r="D327" s="204"/>
      <c r="E327" s="204"/>
      <c r="F327" s="368"/>
      <c r="G327" s="1134"/>
      <c r="H327" s="401"/>
      <c r="I327" s="317"/>
      <c r="N327" s="317"/>
      <c r="O327" s="1135"/>
      <c r="P327" s="1136"/>
      <c r="Q327" s="1137"/>
      <c r="R327" s="1120"/>
      <c r="S327" s="1120"/>
      <c r="T327" s="1120"/>
      <c r="U327" s="1120"/>
      <c r="V327" s="1120"/>
      <c r="W327" s="1120"/>
      <c r="Z327" s="1145"/>
      <c r="AA327" s="1120"/>
      <c r="AB327" s="1120"/>
      <c r="AC327" s="1120"/>
      <c r="AD327" s="1212"/>
      <c r="AE327" s="1212"/>
      <c r="AF327" s="1186"/>
      <c r="AG327" s="1186"/>
      <c r="AH327" s="1222"/>
      <c r="AI327" s="1222"/>
      <c r="AJ327" s="1222"/>
      <c r="AK327" s="1222"/>
      <c r="AL327" s="1222"/>
      <c r="AM327" s="1222"/>
      <c r="AN327" s="1222"/>
      <c r="AO327" s="1222"/>
      <c r="AP327" s="1222"/>
      <c r="AQ327" s="1222"/>
      <c r="AR327" s="1222"/>
      <c r="AS327" s="1222"/>
      <c r="AT327" s="1222"/>
      <c r="AU327" s="1120"/>
      <c r="AV327" s="445"/>
      <c r="AW327" s="607"/>
      <c r="AX327" s="607"/>
      <c r="AY327" s="607"/>
      <c r="AZ327" s="1209"/>
      <c r="BA327" s="1209"/>
    </row>
    <row r="328" spans="2:53" s="256" customFormat="1" ht="24.95" customHeight="1">
      <c r="B328" s="445"/>
      <c r="C328" s="204"/>
      <c r="D328" s="204"/>
      <c r="E328" s="204"/>
      <c r="F328" s="368"/>
      <c r="G328" s="1134"/>
      <c r="H328" s="401"/>
      <c r="I328" s="317"/>
      <c r="N328" s="317"/>
      <c r="O328" s="1135"/>
      <c r="P328" s="1136"/>
      <c r="Q328" s="1137"/>
      <c r="R328" s="1120"/>
      <c r="S328" s="1120"/>
      <c r="T328" s="1120"/>
      <c r="U328" s="1120"/>
      <c r="V328" s="1120"/>
      <c r="W328" s="1120"/>
      <c r="Z328" s="1145"/>
      <c r="AA328" s="1120"/>
      <c r="AB328" s="1120"/>
      <c r="AC328" s="1120"/>
      <c r="AD328" s="1212"/>
      <c r="AE328" s="1212"/>
      <c r="AF328" s="1186"/>
      <c r="AG328" s="1186"/>
      <c r="AH328" s="1222"/>
      <c r="AI328" s="1222"/>
      <c r="AJ328" s="1222"/>
      <c r="AK328" s="1222"/>
      <c r="AL328" s="1222"/>
      <c r="AM328" s="1222"/>
      <c r="AN328" s="1222"/>
      <c r="AO328" s="1222"/>
      <c r="AP328" s="1222"/>
      <c r="AQ328" s="1222"/>
      <c r="AR328" s="1222"/>
      <c r="AS328" s="1222"/>
      <c r="AT328" s="1222"/>
      <c r="AU328" s="1120"/>
      <c r="AV328" s="445"/>
      <c r="AW328" s="607"/>
      <c r="AX328" s="607"/>
      <c r="AY328" s="607"/>
      <c r="AZ328" s="1209"/>
      <c r="BA328" s="1209"/>
    </row>
    <row r="329" spans="2:53" s="256" customFormat="1" ht="24.95" customHeight="1">
      <c r="B329" s="445"/>
      <c r="C329" s="204"/>
      <c r="D329" s="204"/>
      <c r="E329" s="204"/>
      <c r="F329" s="368"/>
      <c r="G329" s="1134"/>
      <c r="H329" s="401"/>
      <c r="I329" s="317"/>
      <c r="N329" s="317"/>
      <c r="O329" s="1135"/>
      <c r="P329" s="1136"/>
      <c r="Q329" s="1137"/>
      <c r="R329" s="1120"/>
      <c r="S329" s="1120"/>
      <c r="T329" s="1120"/>
      <c r="U329" s="1120"/>
      <c r="V329" s="1120"/>
      <c r="W329" s="1120"/>
      <c r="Z329" s="1145"/>
      <c r="AA329" s="1120"/>
      <c r="AB329" s="1120"/>
      <c r="AC329" s="1120"/>
      <c r="AD329" s="1212"/>
      <c r="AE329" s="1212"/>
      <c r="AF329" s="1186"/>
      <c r="AG329" s="1186"/>
      <c r="AH329" s="1222"/>
      <c r="AI329" s="1222"/>
      <c r="AJ329" s="1222"/>
      <c r="AK329" s="1222"/>
      <c r="AL329" s="1222"/>
      <c r="AM329" s="1222"/>
      <c r="AN329" s="1222"/>
      <c r="AO329" s="1222"/>
      <c r="AP329" s="1222"/>
      <c r="AQ329" s="1222"/>
      <c r="AR329" s="1222"/>
      <c r="AS329" s="1222"/>
      <c r="AT329" s="1222"/>
      <c r="AU329" s="1120"/>
      <c r="AV329" s="445"/>
      <c r="AW329" s="607"/>
      <c r="AX329" s="607"/>
      <c r="AY329" s="607"/>
      <c r="AZ329" s="1209"/>
      <c r="BA329" s="1209"/>
    </row>
    <row r="330" spans="2:53" s="256" customFormat="1" ht="24.95" customHeight="1">
      <c r="B330" s="445"/>
      <c r="C330" s="204"/>
      <c r="D330" s="204"/>
      <c r="E330" s="204"/>
      <c r="F330" s="368"/>
      <c r="G330" s="1134"/>
      <c r="H330" s="401"/>
      <c r="I330" s="317"/>
      <c r="N330" s="317"/>
      <c r="O330" s="1135"/>
      <c r="P330" s="1136"/>
      <c r="Q330" s="1137"/>
      <c r="R330" s="1120"/>
      <c r="S330" s="1120"/>
      <c r="T330" s="1120"/>
      <c r="U330" s="1120"/>
      <c r="V330" s="1120"/>
      <c r="W330" s="1120"/>
      <c r="Z330" s="1145"/>
      <c r="AA330" s="1120"/>
      <c r="AB330" s="1120"/>
      <c r="AC330" s="1120"/>
      <c r="AD330" s="1212"/>
      <c r="AE330" s="1212"/>
      <c r="AF330" s="1186"/>
      <c r="AG330" s="1186"/>
      <c r="AH330" s="1222"/>
      <c r="AI330" s="1222"/>
      <c r="AJ330" s="1222"/>
      <c r="AK330" s="1222"/>
      <c r="AL330" s="1222"/>
      <c r="AM330" s="1222"/>
      <c r="AN330" s="1222"/>
      <c r="AO330" s="1222"/>
      <c r="AP330" s="1222"/>
      <c r="AQ330" s="1222"/>
      <c r="AR330" s="1222"/>
      <c r="AS330" s="1222"/>
      <c r="AT330" s="1222"/>
      <c r="AU330" s="1120"/>
      <c r="AV330" s="445"/>
      <c r="AW330" s="607"/>
      <c r="AX330" s="607"/>
      <c r="AY330" s="607"/>
      <c r="AZ330" s="1209"/>
      <c r="BA330" s="1209"/>
    </row>
    <row r="331" spans="2:53" s="256" customFormat="1" ht="24.95" customHeight="1">
      <c r="B331" s="445"/>
      <c r="C331" s="204"/>
      <c r="D331" s="204"/>
      <c r="E331" s="204"/>
      <c r="F331" s="368"/>
      <c r="G331" s="1134"/>
      <c r="H331" s="401"/>
      <c r="I331" s="317"/>
      <c r="N331" s="317"/>
      <c r="O331" s="1135"/>
      <c r="P331" s="1136"/>
      <c r="Q331" s="1137"/>
      <c r="R331" s="1120"/>
      <c r="S331" s="1120"/>
      <c r="T331" s="1120"/>
      <c r="U331" s="1120"/>
      <c r="V331" s="1120"/>
      <c r="W331" s="1120"/>
      <c r="Z331" s="1145"/>
      <c r="AA331" s="1120"/>
      <c r="AB331" s="1120"/>
      <c r="AC331" s="1120"/>
      <c r="AD331" s="1212"/>
      <c r="AE331" s="1212"/>
      <c r="AF331" s="1186"/>
      <c r="AG331" s="1186"/>
      <c r="AH331" s="1222"/>
      <c r="AI331" s="1222"/>
      <c r="AJ331" s="1222"/>
      <c r="AK331" s="1222"/>
      <c r="AL331" s="1222"/>
      <c r="AM331" s="1222"/>
      <c r="AN331" s="1222"/>
      <c r="AO331" s="1222"/>
      <c r="AP331" s="1222"/>
      <c r="AQ331" s="1222"/>
      <c r="AR331" s="1222"/>
      <c r="AS331" s="1222"/>
      <c r="AT331" s="1222"/>
      <c r="AU331" s="1120"/>
      <c r="AV331" s="445"/>
      <c r="AW331" s="607"/>
      <c r="AX331" s="607"/>
      <c r="AY331" s="607"/>
      <c r="AZ331" s="1209"/>
      <c r="BA331" s="1209"/>
    </row>
    <row r="332" spans="2:53" s="256" customFormat="1" ht="24.95" customHeight="1">
      <c r="B332" s="445"/>
      <c r="C332" s="204"/>
      <c r="D332" s="204"/>
      <c r="E332" s="204"/>
      <c r="F332" s="368"/>
      <c r="G332" s="1134"/>
      <c r="H332" s="401"/>
      <c r="I332" s="317"/>
      <c r="N332" s="317"/>
      <c r="O332" s="1135"/>
      <c r="P332" s="1136"/>
      <c r="Q332" s="1137"/>
      <c r="R332" s="1120"/>
      <c r="S332" s="1120"/>
      <c r="T332" s="1120"/>
      <c r="U332" s="1120"/>
      <c r="V332" s="1120"/>
      <c r="W332" s="1120"/>
      <c r="Z332" s="1145"/>
      <c r="AA332" s="1120"/>
      <c r="AB332" s="1120"/>
      <c r="AC332" s="1120"/>
      <c r="AD332" s="1212"/>
      <c r="AE332" s="1212"/>
      <c r="AF332" s="1186"/>
      <c r="AG332" s="1186"/>
      <c r="AH332" s="1222"/>
      <c r="AI332" s="1222"/>
      <c r="AJ332" s="1222"/>
      <c r="AK332" s="1222"/>
      <c r="AL332" s="1222"/>
      <c r="AM332" s="1222"/>
      <c r="AN332" s="1222"/>
      <c r="AO332" s="1222"/>
      <c r="AP332" s="1222"/>
      <c r="AQ332" s="1222"/>
      <c r="AR332" s="1222"/>
      <c r="AS332" s="1222"/>
      <c r="AT332" s="1222"/>
      <c r="AU332" s="1120"/>
      <c r="AV332" s="445"/>
      <c r="AW332" s="607"/>
      <c r="AX332" s="607"/>
      <c r="AY332" s="607"/>
      <c r="AZ332" s="1209"/>
      <c r="BA332" s="1209"/>
    </row>
    <row r="333" spans="2:53" s="256" customFormat="1" ht="24.95" customHeight="1">
      <c r="B333" s="445"/>
      <c r="C333" s="204"/>
      <c r="D333" s="204"/>
      <c r="E333" s="204"/>
      <c r="F333" s="368"/>
      <c r="G333" s="1134"/>
      <c r="H333" s="401"/>
      <c r="I333" s="317"/>
      <c r="N333" s="317"/>
      <c r="O333" s="1135"/>
      <c r="P333" s="1136"/>
      <c r="Q333" s="1137"/>
      <c r="R333" s="1120"/>
      <c r="S333" s="1120"/>
      <c r="T333" s="1120"/>
      <c r="U333" s="1120"/>
      <c r="V333" s="1120"/>
      <c r="W333" s="1120"/>
      <c r="Z333" s="1145"/>
      <c r="AA333" s="1120"/>
      <c r="AB333" s="1120"/>
      <c r="AC333" s="1120"/>
      <c r="AD333" s="1212"/>
      <c r="AE333" s="1212"/>
      <c r="AF333" s="1186"/>
      <c r="AG333" s="1186"/>
      <c r="AH333" s="1222"/>
      <c r="AI333" s="1222"/>
      <c r="AJ333" s="1222"/>
      <c r="AK333" s="1222"/>
      <c r="AL333" s="1222"/>
      <c r="AM333" s="1222"/>
      <c r="AN333" s="1222"/>
      <c r="AO333" s="1222"/>
      <c r="AP333" s="1222"/>
      <c r="AQ333" s="1222"/>
      <c r="AR333" s="1222"/>
      <c r="AS333" s="1222"/>
      <c r="AT333" s="1222"/>
      <c r="AU333" s="1120"/>
      <c r="AV333" s="445"/>
      <c r="AW333" s="607"/>
      <c r="AX333" s="607"/>
      <c r="AY333" s="607"/>
      <c r="AZ333" s="1209"/>
      <c r="BA333" s="1209"/>
    </row>
    <row r="334" spans="2:53" s="256" customFormat="1" ht="24.95" customHeight="1">
      <c r="B334" s="445"/>
      <c r="C334" s="204"/>
      <c r="D334" s="204"/>
      <c r="E334" s="204"/>
      <c r="F334" s="368"/>
      <c r="G334" s="1134"/>
      <c r="H334" s="401"/>
      <c r="I334" s="317"/>
      <c r="N334" s="317"/>
      <c r="O334" s="1135"/>
      <c r="P334" s="1136"/>
      <c r="Q334" s="1137"/>
      <c r="R334" s="1120"/>
      <c r="S334" s="1120"/>
      <c r="T334" s="1120"/>
      <c r="U334" s="1120"/>
      <c r="V334" s="1120"/>
      <c r="W334" s="1120"/>
      <c r="Z334" s="1145"/>
      <c r="AA334" s="1120"/>
      <c r="AB334" s="1120"/>
      <c r="AC334" s="1120"/>
      <c r="AD334" s="1212"/>
      <c r="AE334" s="1212"/>
      <c r="AF334" s="1186"/>
      <c r="AG334" s="1186"/>
      <c r="AH334" s="1222"/>
      <c r="AI334" s="1222"/>
      <c r="AJ334" s="1222"/>
      <c r="AK334" s="1222"/>
      <c r="AL334" s="1222"/>
      <c r="AM334" s="1222"/>
      <c r="AN334" s="1222"/>
      <c r="AO334" s="1222"/>
      <c r="AP334" s="1222"/>
      <c r="AQ334" s="1222"/>
      <c r="AR334" s="1222"/>
      <c r="AS334" s="1222"/>
      <c r="AT334" s="1222"/>
      <c r="AU334" s="1120"/>
      <c r="AV334" s="445"/>
      <c r="AW334" s="607"/>
      <c r="AX334" s="607"/>
      <c r="AY334" s="607"/>
      <c r="AZ334" s="1209"/>
      <c r="BA334" s="1209"/>
    </row>
    <row r="335" spans="2:53" s="256" customFormat="1" ht="24.95" customHeight="1">
      <c r="B335" s="445"/>
      <c r="C335" s="204"/>
      <c r="D335" s="204"/>
      <c r="E335" s="204"/>
      <c r="F335" s="368"/>
      <c r="G335" s="1134"/>
      <c r="H335" s="401"/>
      <c r="I335" s="317"/>
      <c r="N335" s="317"/>
      <c r="O335" s="1135"/>
      <c r="P335" s="1136"/>
      <c r="Q335" s="1137"/>
      <c r="R335" s="1120"/>
      <c r="S335" s="1120"/>
      <c r="T335" s="1120"/>
      <c r="U335" s="1120"/>
      <c r="V335" s="1120"/>
      <c r="W335" s="1120"/>
      <c r="Z335" s="1145"/>
      <c r="AA335" s="1120"/>
      <c r="AB335" s="1120"/>
      <c r="AC335" s="1120"/>
      <c r="AD335" s="1212"/>
      <c r="AE335" s="1212"/>
      <c r="AF335" s="1186"/>
      <c r="AG335" s="1186"/>
      <c r="AH335" s="1222"/>
      <c r="AI335" s="1222"/>
      <c r="AJ335" s="1222"/>
      <c r="AK335" s="1222"/>
      <c r="AL335" s="1222"/>
      <c r="AM335" s="1222"/>
      <c r="AN335" s="1222"/>
      <c r="AO335" s="1222"/>
      <c r="AP335" s="1222"/>
      <c r="AQ335" s="1222"/>
      <c r="AR335" s="1222"/>
      <c r="AS335" s="1222"/>
      <c r="AT335" s="1222"/>
      <c r="AU335" s="1120"/>
      <c r="AV335" s="445"/>
      <c r="AW335" s="607"/>
      <c r="AX335" s="607"/>
      <c r="AY335" s="607"/>
      <c r="AZ335" s="1209"/>
      <c r="BA335" s="1209"/>
    </row>
    <row r="336" spans="2:53" s="256" customFormat="1" ht="24.95" customHeight="1">
      <c r="B336" s="445"/>
      <c r="C336" s="204"/>
      <c r="D336" s="204"/>
      <c r="E336" s="204"/>
      <c r="F336" s="368"/>
      <c r="G336" s="1134"/>
      <c r="H336" s="401"/>
      <c r="I336" s="317"/>
      <c r="N336" s="317"/>
      <c r="O336" s="1135"/>
      <c r="P336" s="1136"/>
      <c r="Q336" s="1137"/>
      <c r="R336" s="1120"/>
      <c r="S336" s="1120"/>
      <c r="T336" s="1120"/>
      <c r="U336" s="1120"/>
      <c r="V336" s="1120"/>
      <c r="W336" s="1120"/>
      <c r="Z336" s="1145"/>
      <c r="AA336" s="1120"/>
      <c r="AB336" s="1120"/>
      <c r="AC336" s="1120"/>
      <c r="AD336" s="1212"/>
      <c r="AE336" s="1212"/>
      <c r="AF336" s="1186"/>
      <c r="AG336" s="1186"/>
      <c r="AH336" s="1222"/>
      <c r="AI336" s="1222"/>
      <c r="AJ336" s="1222"/>
      <c r="AK336" s="1222"/>
      <c r="AL336" s="1222"/>
      <c r="AM336" s="1222"/>
      <c r="AN336" s="1222"/>
      <c r="AO336" s="1222"/>
      <c r="AP336" s="1222"/>
      <c r="AQ336" s="1222"/>
      <c r="AR336" s="1222"/>
      <c r="AS336" s="1222"/>
      <c r="AT336" s="1222"/>
      <c r="AU336" s="1120"/>
      <c r="AV336" s="445"/>
      <c r="AW336" s="607"/>
      <c r="AX336" s="607"/>
      <c r="AY336" s="607"/>
      <c r="AZ336" s="1209"/>
      <c r="BA336" s="1209"/>
    </row>
    <row r="337" spans="2:53" s="256" customFormat="1" ht="24.95" customHeight="1">
      <c r="B337" s="445"/>
      <c r="C337" s="204"/>
      <c r="D337" s="204"/>
      <c r="E337" s="204"/>
      <c r="F337" s="368"/>
      <c r="G337" s="1134"/>
      <c r="H337" s="401"/>
      <c r="I337" s="317"/>
      <c r="N337" s="317"/>
      <c r="O337" s="1135"/>
      <c r="P337" s="1136"/>
      <c r="Q337" s="1137"/>
      <c r="R337" s="1120"/>
      <c r="S337" s="1120"/>
      <c r="T337" s="1120"/>
      <c r="U337" s="1120"/>
      <c r="V337" s="1120"/>
      <c r="W337" s="1120"/>
      <c r="Z337" s="1145"/>
      <c r="AA337" s="1120"/>
      <c r="AB337" s="1120"/>
      <c r="AC337" s="1120"/>
      <c r="AD337" s="1212"/>
      <c r="AE337" s="1212"/>
      <c r="AF337" s="1186"/>
      <c r="AG337" s="1186"/>
      <c r="AH337" s="1222"/>
      <c r="AI337" s="1222"/>
      <c r="AJ337" s="1222"/>
      <c r="AK337" s="1222"/>
      <c r="AL337" s="1222"/>
      <c r="AM337" s="1222"/>
      <c r="AN337" s="1222"/>
      <c r="AO337" s="1222"/>
      <c r="AP337" s="1222"/>
      <c r="AQ337" s="1222"/>
      <c r="AR337" s="1222"/>
      <c r="AS337" s="1222"/>
      <c r="AT337" s="1222"/>
      <c r="AU337" s="1120"/>
      <c r="AV337" s="445"/>
      <c r="AW337" s="607"/>
      <c r="AX337" s="607"/>
      <c r="AY337" s="607"/>
      <c r="AZ337" s="1209"/>
      <c r="BA337" s="1209"/>
    </row>
    <row r="338" spans="2:53" s="256" customFormat="1" ht="24.95" customHeight="1">
      <c r="B338" s="445"/>
      <c r="C338" s="204"/>
      <c r="D338" s="204"/>
      <c r="E338" s="204"/>
      <c r="F338" s="368"/>
      <c r="G338" s="1134"/>
      <c r="H338" s="401"/>
      <c r="I338" s="317"/>
      <c r="N338" s="317"/>
      <c r="O338" s="1135"/>
      <c r="P338" s="1136"/>
      <c r="Q338" s="1137"/>
      <c r="R338" s="1120"/>
      <c r="S338" s="1120"/>
      <c r="T338" s="1120"/>
      <c r="U338" s="1120"/>
      <c r="V338" s="1120"/>
      <c r="W338" s="1120"/>
      <c r="Z338" s="1145"/>
      <c r="AA338" s="1120"/>
      <c r="AB338" s="1120"/>
      <c r="AC338" s="1120"/>
      <c r="AD338" s="1212"/>
      <c r="AE338" s="1212"/>
      <c r="AF338" s="1186"/>
      <c r="AG338" s="1186"/>
      <c r="AH338" s="1222"/>
      <c r="AI338" s="1222"/>
      <c r="AJ338" s="1222"/>
      <c r="AK338" s="1222"/>
      <c r="AL338" s="1222"/>
      <c r="AM338" s="1222"/>
      <c r="AN338" s="1222"/>
      <c r="AO338" s="1222"/>
      <c r="AP338" s="1222"/>
      <c r="AQ338" s="1222"/>
      <c r="AR338" s="1222"/>
      <c r="AS338" s="1222"/>
      <c r="AT338" s="1222"/>
      <c r="AU338" s="1120"/>
      <c r="AV338" s="445"/>
      <c r="AW338" s="607"/>
      <c r="AX338" s="607"/>
      <c r="AY338" s="607"/>
      <c r="AZ338" s="1209"/>
      <c r="BA338" s="1209"/>
    </row>
    <row r="339" spans="2:53" s="256" customFormat="1" ht="24.95" customHeight="1">
      <c r="B339" s="445"/>
      <c r="C339" s="204"/>
      <c r="D339" s="204"/>
      <c r="E339" s="204"/>
      <c r="F339" s="368"/>
      <c r="G339" s="1134"/>
      <c r="H339" s="401"/>
      <c r="I339" s="317"/>
      <c r="N339" s="317"/>
      <c r="O339" s="1135"/>
      <c r="P339" s="1136"/>
      <c r="Q339" s="1137"/>
      <c r="R339" s="1120"/>
      <c r="S339" s="1120"/>
      <c r="T339" s="1120"/>
      <c r="U339" s="1120"/>
      <c r="V339" s="1120"/>
      <c r="W339" s="1120"/>
      <c r="Z339" s="1145"/>
      <c r="AA339" s="1120"/>
      <c r="AB339" s="1120"/>
      <c r="AC339" s="1120"/>
      <c r="AD339" s="1212"/>
      <c r="AE339" s="1212"/>
      <c r="AF339" s="1186"/>
      <c r="AG339" s="1186"/>
      <c r="AH339" s="1222"/>
      <c r="AI339" s="1222"/>
      <c r="AJ339" s="1222"/>
      <c r="AK339" s="1222"/>
      <c r="AL339" s="1222"/>
      <c r="AM339" s="1222"/>
      <c r="AN339" s="1222"/>
      <c r="AO339" s="1222"/>
      <c r="AP339" s="1222"/>
      <c r="AQ339" s="1222"/>
      <c r="AR339" s="1222"/>
      <c r="AS339" s="1222"/>
      <c r="AT339" s="1222"/>
      <c r="AU339" s="1120"/>
      <c r="AV339" s="445"/>
      <c r="AW339" s="607"/>
      <c r="AX339" s="607"/>
      <c r="AY339" s="607"/>
      <c r="AZ339" s="1209"/>
      <c r="BA339" s="1209"/>
    </row>
    <row r="340" spans="2:53" s="256" customFormat="1" ht="24.95" customHeight="1">
      <c r="B340" s="445"/>
      <c r="C340" s="204"/>
      <c r="D340" s="204"/>
      <c r="E340" s="204"/>
      <c r="F340" s="368"/>
      <c r="G340" s="1134"/>
      <c r="H340" s="401"/>
      <c r="I340" s="317"/>
      <c r="N340" s="317"/>
      <c r="O340" s="1135"/>
      <c r="P340" s="1136"/>
      <c r="Q340" s="1137"/>
      <c r="R340" s="1120"/>
      <c r="S340" s="1120"/>
      <c r="T340" s="1120"/>
      <c r="U340" s="1120"/>
      <c r="V340" s="1120"/>
      <c r="W340" s="1120"/>
      <c r="Z340" s="1145"/>
      <c r="AA340" s="1120"/>
      <c r="AB340" s="1120"/>
      <c r="AC340" s="1120"/>
      <c r="AD340" s="1212"/>
      <c r="AE340" s="1212"/>
      <c r="AF340" s="1186"/>
      <c r="AG340" s="1186"/>
      <c r="AH340" s="1222"/>
      <c r="AI340" s="1222"/>
      <c r="AJ340" s="1222"/>
      <c r="AK340" s="1222"/>
      <c r="AL340" s="1222"/>
      <c r="AM340" s="1222"/>
      <c r="AN340" s="1222"/>
      <c r="AO340" s="1222"/>
      <c r="AP340" s="1222"/>
      <c r="AQ340" s="1222"/>
      <c r="AR340" s="1222"/>
      <c r="AS340" s="1222"/>
      <c r="AT340" s="1222"/>
      <c r="AU340" s="1120"/>
      <c r="AV340" s="445"/>
      <c r="AW340" s="607"/>
      <c r="AX340" s="607"/>
      <c r="AY340" s="607"/>
      <c r="AZ340" s="1209"/>
      <c r="BA340" s="1209"/>
    </row>
    <row r="341" spans="2:53" s="256" customFormat="1" ht="24.95" customHeight="1">
      <c r="B341" s="445"/>
      <c r="C341" s="204"/>
      <c r="D341" s="204"/>
      <c r="E341" s="204"/>
      <c r="F341" s="368"/>
      <c r="G341" s="1134"/>
      <c r="H341" s="401"/>
      <c r="I341" s="317"/>
      <c r="N341" s="317"/>
      <c r="O341" s="1135"/>
      <c r="P341" s="1136"/>
      <c r="Q341" s="1137"/>
      <c r="R341" s="1120"/>
      <c r="S341" s="1120"/>
      <c r="T341" s="1120"/>
      <c r="U341" s="1120"/>
      <c r="V341" s="1120"/>
      <c r="W341" s="1120"/>
      <c r="Z341" s="1145"/>
      <c r="AA341" s="1120"/>
      <c r="AB341" s="1120"/>
      <c r="AC341" s="1120"/>
      <c r="AD341" s="1212"/>
      <c r="AE341" s="1212"/>
      <c r="AF341" s="1186"/>
      <c r="AG341" s="1186"/>
      <c r="AH341" s="1222"/>
      <c r="AI341" s="1222"/>
      <c r="AJ341" s="1222"/>
      <c r="AK341" s="1222"/>
      <c r="AL341" s="1222"/>
      <c r="AM341" s="1222"/>
      <c r="AN341" s="1222"/>
      <c r="AO341" s="1222"/>
      <c r="AP341" s="1222"/>
      <c r="AQ341" s="1222"/>
      <c r="AR341" s="1222"/>
      <c r="AS341" s="1222"/>
      <c r="AT341" s="1222"/>
      <c r="AU341" s="1120"/>
      <c r="AV341" s="445"/>
      <c r="AW341" s="607"/>
      <c r="AX341" s="607"/>
      <c r="AY341" s="607"/>
      <c r="AZ341" s="1209"/>
      <c r="BA341" s="1209"/>
    </row>
    <row r="342" spans="2:53" s="256" customFormat="1" ht="24.95" customHeight="1">
      <c r="B342" s="445"/>
      <c r="C342" s="204"/>
      <c r="D342" s="204"/>
      <c r="E342" s="204"/>
      <c r="F342" s="368"/>
      <c r="G342" s="1134"/>
      <c r="H342" s="401"/>
      <c r="I342" s="317"/>
      <c r="N342" s="317"/>
      <c r="O342" s="1135"/>
      <c r="P342" s="1136"/>
      <c r="Q342" s="1137"/>
      <c r="R342" s="1120"/>
      <c r="S342" s="1120"/>
      <c r="T342" s="1120"/>
      <c r="U342" s="1120"/>
      <c r="V342" s="1120"/>
      <c r="W342" s="1120"/>
      <c r="Z342" s="1145"/>
      <c r="AA342" s="1120"/>
      <c r="AB342" s="1120"/>
      <c r="AC342" s="1120"/>
      <c r="AD342" s="1212"/>
      <c r="AE342" s="1212"/>
      <c r="AF342" s="1186"/>
      <c r="AG342" s="1186"/>
      <c r="AH342" s="1222"/>
      <c r="AI342" s="1222"/>
      <c r="AJ342" s="1222"/>
      <c r="AK342" s="1222"/>
      <c r="AL342" s="1222"/>
      <c r="AM342" s="1222"/>
      <c r="AN342" s="1222"/>
      <c r="AO342" s="1222"/>
      <c r="AP342" s="1222"/>
      <c r="AQ342" s="1222"/>
      <c r="AR342" s="1222"/>
      <c r="AS342" s="1222"/>
      <c r="AT342" s="1222"/>
      <c r="AU342" s="1120"/>
      <c r="AV342" s="445"/>
      <c r="AW342" s="607"/>
      <c r="AX342" s="607"/>
      <c r="AY342" s="607"/>
      <c r="AZ342" s="1209"/>
      <c r="BA342" s="1209"/>
    </row>
    <row r="343" spans="2:53" s="256" customFormat="1" ht="24.95" customHeight="1">
      <c r="B343" s="445"/>
      <c r="C343" s="204"/>
      <c r="D343" s="204"/>
      <c r="E343" s="204"/>
      <c r="F343" s="368"/>
      <c r="G343" s="1134"/>
      <c r="H343" s="401"/>
      <c r="I343" s="317"/>
      <c r="N343" s="317"/>
      <c r="O343" s="1135"/>
      <c r="P343" s="1136"/>
      <c r="Q343" s="1137"/>
      <c r="R343" s="1120"/>
      <c r="S343" s="1120"/>
      <c r="T343" s="1120"/>
      <c r="U343" s="1120"/>
      <c r="V343" s="1120"/>
      <c r="W343" s="1120"/>
      <c r="Z343" s="1145"/>
      <c r="AA343" s="1120"/>
      <c r="AB343" s="1120"/>
      <c r="AC343" s="1120"/>
      <c r="AD343" s="1212"/>
      <c r="AE343" s="1212"/>
      <c r="AF343" s="1186"/>
      <c r="AG343" s="1186"/>
      <c r="AH343" s="1222"/>
      <c r="AI343" s="1222"/>
      <c r="AJ343" s="1222"/>
      <c r="AK343" s="1222"/>
      <c r="AL343" s="1222"/>
      <c r="AM343" s="1222"/>
      <c r="AN343" s="1222"/>
      <c r="AO343" s="1222"/>
      <c r="AP343" s="1222"/>
      <c r="AQ343" s="1222"/>
      <c r="AR343" s="1222"/>
      <c r="AS343" s="1222"/>
      <c r="AT343" s="1222"/>
      <c r="AU343" s="1120"/>
      <c r="AV343" s="445"/>
      <c r="AW343" s="607"/>
      <c r="AX343" s="607"/>
      <c r="AY343" s="607"/>
      <c r="AZ343" s="1209"/>
      <c r="BA343" s="1209"/>
    </row>
    <row r="344" spans="2:53" s="256" customFormat="1" ht="24.95" customHeight="1">
      <c r="B344" s="445"/>
      <c r="C344" s="204"/>
      <c r="D344" s="204"/>
      <c r="E344" s="204"/>
      <c r="F344" s="368"/>
      <c r="G344" s="1134"/>
      <c r="H344" s="401"/>
      <c r="I344" s="317"/>
      <c r="N344" s="317"/>
      <c r="O344" s="1135"/>
      <c r="P344" s="1136"/>
      <c r="Q344" s="1137"/>
      <c r="R344" s="1120"/>
      <c r="S344" s="1120"/>
      <c r="T344" s="1120"/>
      <c r="U344" s="1120"/>
      <c r="V344" s="1120"/>
      <c r="W344" s="1120"/>
      <c r="Z344" s="1145"/>
      <c r="AA344" s="1120"/>
      <c r="AB344" s="1120"/>
      <c r="AC344" s="1120"/>
      <c r="AD344" s="1212"/>
      <c r="AE344" s="1212"/>
      <c r="AF344" s="1186"/>
      <c r="AG344" s="1186"/>
      <c r="AH344" s="1222"/>
      <c r="AI344" s="1222"/>
      <c r="AJ344" s="1222"/>
      <c r="AK344" s="1222"/>
      <c r="AL344" s="1222"/>
      <c r="AM344" s="1222"/>
      <c r="AN344" s="1222"/>
      <c r="AO344" s="1222"/>
      <c r="AP344" s="1222"/>
      <c r="AQ344" s="1222"/>
      <c r="AR344" s="1222"/>
      <c r="AS344" s="1222"/>
      <c r="AT344" s="1222"/>
      <c r="AU344" s="1120"/>
      <c r="AV344" s="445"/>
      <c r="AW344" s="607"/>
      <c r="AX344" s="607"/>
      <c r="AY344" s="607"/>
      <c r="AZ344" s="1209"/>
      <c r="BA344" s="1209"/>
    </row>
    <row r="345" spans="2:53" s="256" customFormat="1" ht="24.95" customHeight="1">
      <c r="B345" s="445"/>
      <c r="C345" s="204"/>
      <c r="D345" s="204"/>
      <c r="E345" s="204"/>
      <c r="F345" s="368"/>
      <c r="G345" s="1134"/>
      <c r="H345" s="401"/>
      <c r="I345" s="317"/>
      <c r="N345" s="317"/>
      <c r="O345" s="1135"/>
      <c r="P345" s="1136"/>
      <c r="Q345" s="1137"/>
      <c r="R345" s="1120"/>
      <c r="S345" s="1120"/>
      <c r="T345" s="1120"/>
      <c r="U345" s="1120"/>
      <c r="V345" s="1120"/>
      <c r="W345" s="1120"/>
      <c r="Z345" s="1145"/>
      <c r="AA345" s="1120"/>
      <c r="AB345" s="1120"/>
      <c r="AC345" s="1120"/>
      <c r="AD345" s="1212"/>
      <c r="AE345" s="1212"/>
      <c r="AF345" s="1186"/>
      <c r="AG345" s="1186"/>
      <c r="AH345" s="1222"/>
      <c r="AI345" s="1222"/>
      <c r="AJ345" s="1222"/>
      <c r="AK345" s="1222"/>
      <c r="AL345" s="1222"/>
      <c r="AM345" s="1222"/>
      <c r="AN345" s="1222"/>
      <c r="AO345" s="1222"/>
      <c r="AP345" s="1222"/>
      <c r="AQ345" s="1222"/>
      <c r="AR345" s="1222"/>
      <c r="AS345" s="1222"/>
      <c r="AT345" s="1222"/>
      <c r="AU345" s="1120"/>
      <c r="AV345" s="445"/>
      <c r="AW345" s="607"/>
      <c r="AX345" s="607"/>
      <c r="AY345" s="607"/>
      <c r="AZ345" s="1209"/>
      <c r="BA345" s="1209"/>
    </row>
    <row r="346" spans="2:53" s="256" customFormat="1" ht="24.95" customHeight="1">
      <c r="B346" s="445"/>
      <c r="C346" s="204"/>
      <c r="D346" s="204"/>
      <c r="E346" s="204"/>
      <c r="F346" s="368"/>
      <c r="G346" s="1134"/>
      <c r="H346" s="401"/>
      <c r="I346" s="317"/>
      <c r="N346" s="317"/>
      <c r="O346" s="1135"/>
      <c r="P346" s="1136"/>
      <c r="Q346" s="1137"/>
      <c r="R346" s="1120"/>
      <c r="S346" s="1120"/>
      <c r="T346" s="1120"/>
      <c r="U346" s="1120"/>
      <c r="V346" s="1120"/>
      <c r="W346" s="1120"/>
      <c r="Z346" s="1145"/>
      <c r="AA346" s="1120"/>
      <c r="AB346" s="1120"/>
      <c r="AC346" s="1120"/>
      <c r="AD346" s="1212"/>
      <c r="AE346" s="1212"/>
      <c r="AF346" s="1186"/>
      <c r="AG346" s="1186"/>
      <c r="AH346" s="1222"/>
      <c r="AI346" s="1222"/>
      <c r="AJ346" s="1222"/>
      <c r="AK346" s="1222"/>
      <c r="AL346" s="1222"/>
      <c r="AM346" s="1222"/>
      <c r="AN346" s="1222"/>
      <c r="AO346" s="1222"/>
      <c r="AP346" s="1222"/>
      <c r="AQ346" s="1222"/>
      <c r="AR346" s="1222"/>
      <c r="AS346" s="1222"/>
      <c r="AT346" s="1222"/>
      <c r="AU346" s="1120"/>
      <c r="AV346" s="445"/>
      <c r="AW346" s="607"/>
      <c r="AX346" s="607"/>
      <c r="AY346" s="607"/>
      <c r="AZ346" s="1209"/>
      <c r="BA346" s="1209"/>
    </row>
    <row r="347" spans="2:53" s="256" customFormat="1" ht="24.95" customHeight="1">
      <c r="B347" s="445"/>
      <c r="C347" s="204"/>
      <c r="D347" s="204"/>
      <c r="E347" s="204"/>
      <c r="F347" s="368"/>
      <c r="G347" s="1134"/>
      <c r="H347" s="401"/>
      <c r="I347" s="317"/>
      <c r="N347" s="317"/>
      <c r="O347" s="1135"/>
      <c r="P347" s="1136"/>
      <c r="Q347" s="1137"/>
      <c r="R347" s="1120"/>
      <c r="S347" s="1120"/>
      <c r="T347" s="1120"/>
      <c r="U347" s="1120"/>
      <c r="V347" s="1120"/>
      <c r="W347" s="1120"/>
      <c r="Z347" s="1145"/>
      <c r="AA347" s="1120"/>
      <c r="AB347" s="1120"/>
      <c r="AC347" s="1120"/>
      <c r="AD347" s="1212"/>
      <c r="AE347" s="1212"/>
      <c r="AF347" s="1186"/>
      <c r="AG347" s="1186"/>
      <c r="AH347" s="1222"/>
      <c r="AI347" s="1222"/>
      <c r="AJ347" s="1222"/>
      <c r="AK347" s="1222"/>
      <c r="AL347" s="1222"/>
      <c r="AM347" s="1222"/>
      <c r="AN347" s="1222"/>
      <c r="AO347" s="1222"/>
      <c r="AP347" s="1222"/>
      <c r="AQ347" s="1222"/>
      <c r="AR347" s="1222"/>
      <c r="AS347" s="1222"/>
      <c r="AT347" s="1222"/>
      <c r="AU347" s="1120"/>
      <c r="AV347" s="445"/>
      <c r="AW347" s="607"/>
      <c r="AX347" s="607"/>
      <c r="AY347" s="607"/>
      <c r="AZ347" s="1209"/>
      <c r="BA347" s="1209"/>
    </row>
    <row r="348" spans="2:53" s="256" customFormat="1" ht="24.95" customHeight="1">
      <c r="B348" s="445"/>
      <c r="C348" s="204"/>
      <c r="D348" s="204"/>
      <c r="E348" s="204"/>
      <c r="F348" s="368"/>
      <c r="G348" s="1134"/>
      <c r="H348" s="401"/>
      <c r="I348" s="317"/>
      <c r="N348" s="317"/>
      <c r="O348" s="1135"/>
      <c r="P348" s="1136"/>
      <c r="Q348" s="1137"/>
      <c r="R348" s="1120"/>
      <c r="S348" s="1120"/>
      <c r="T348" s="1120"/>
      <c r="U348" s="1120"/>
      <c r="V348" s="1120"/>
      <c r="W348" s="1120"/>
      <c r="Z348" s="1145"/>
      <c r="AA348" s="1120"/>
      <c r="AB348" s="1120"/>
      <c r="AC348" s="1120"/>
      <c r="AD348" s="1212"/>
      <c r="AE348" s="1212"/>
      <c r="AF348" s="1186"/>
      <c r="AG348" s="1186"/>
      <c r="AH348" s="1222"/>
      <c r="AI348" s="1222"/>
      <c r="AJ348" s="1222"/>
      <c r="AK348" s="1222"/>
      <c r="AL348" s="1222"/>
      <c r="AM348" s="1222"/>
      <c r="AN348" s="1222"/>
      <c r="AO348" s="1222"/>
      <c r="AP348" s="1222"/>
      <c r="AQ348" s="1222"/>
      <c r="AR348" s="1222"/>
      <c r="AS348" s="1222"/>
      <c r="AT348" s="1222"/>
      <c r="AU348" s="1120"/>
      <c r="AV348" s="445"/>
      <c r="AW348" s="607"/>
      <c r="AX348" s="607"/>
      <c r="AY348" s="607"/>
      <c r="AZ348" s="1209"/>
      <c r="BA348" s="1209"/>
    </row>
    <row r="349" spans="2:53" s="256" customFormat="1" ht="24.95" customHeight="1">
      <c r="B349" s="445"/>
      <c r="C349" s="204"/>
      <c r="D349" s="204"/>
      <c r="E349" s="204"/>
      <c r="F349" s="368"/>
      <c r="G349" s="1134"/>
      <c r="H349" s="401"/>
      <c r="I349" s="317"/>
      <c r="N349" s="317"/>
      <c r="O349" s="1135"/>
      <c r="P349" s="1136"/>
      <c r="Q349" s="1137"/>
      <c r="R349" s="1120"/>
      <c r="S349" s="1120"/>
      <c r="T349" s="1120"/>
      <c r="U349" s="1120"/>
      <c r="V349" s="1120"/>
      <c r="W349" s="1120"/>
      <c r="Z349" s="1145"/>
      <c r="AA349" s="1120"/>
      <c r="AB349" s="1120"/>
      <c r="AC349" s="1120"/>
      <c r="AD349" s="1212"/>
      <c r="AE349" s="1212"/>
      <c r="AF349" s="1186"/>
      <c r="AG349" s="1186"/>
      <c r="AH349" s="1222"/>
      <c r="AI349" s="1222"/>
      <c r="AJ349" s="1222"/>
      <c r="AK349" s="1222"/>
      <c r="AL349" s="1222"/>
      <c r="AM349" s="1222"/>
      <c r="AN349" s="1222"/>
      <c r="AO349" s="1222"/>
      <c r="AP349" s="1222"/>
      <c r="AQ349" s="1222"/>
      <c r="AR349" s="1222"/>
      <c r="AS349" s="1222"/>
      <c r="AT349" s="1222"/>
      <c r="AU349" s="1120"/>
      <c r="AV349" s="445"/>
      <c r="AW349" s="607"/>
      <c r="AX349" s="607"/>
      <c r="AY349" s="607"/>
      <c r="AZ349" s="1209"/>
      <c r="BA349" s="1209"/>
    </row>
    <row r="350" spans="2:53" s="256" customFormat="1" ht="24.95" customHeight="1">
      <c r="B350" s="445"/>
      <c r="C350" s="204"/>
      <c r="D350" s="204"/>
      <c r="E350" s="204"/>
      <c r="F350" s="368"/>
      <c r="G350" s="1134"/>
      <c r="H350" s="401"/>
      <c r="I350" s="317"/>
      <c r="N350" s="317"/>
      <c r="O350" s="1135"/>
      <c r="P350" s="1136"/>
      <c r="Q350" s="1137"/>
      <c r="R350" s="1120"/>
      <c r="S350" s="1120"/>
      <c r="T350" s="1120"/>
      <c r="U350" s="1120"/>
      <c r="V350" s="1120"/>
      <c r="W350" s="1120"/>
      <c r="Z350" s="1145"/>
      <c r="AA350" s="1120"/>
      <c r="AB350" s="1120"/>
      <c r="AC350" s="1120"/>
      <c r="AD350" s="1212"/>
      <c r="AE350" s="1212"/>
      <c r="AF350" s="1186"/>
      <c r="AG350" s="1186"/>
      <c r="AH350" s="1222"/>
      <c r="AI350" s="1222"/>
      <c r="AJ350" s="1222"/>
      <c r="AK350" s="1222"/>
      <c r="AL350" s="1222"/>
      <c r="AM350" s="1222"/>
      <c r="AN350" s="1222"/>
      <c r="AO350" s="1222"/>
      <c r="AP350" s="1222"/>
      <c r="AQ350" s="1222"/>
      <c r="AR350" s="1222"/>
      <c r="AS350" s="1222"/>
      <c r="AT350" s="1222"/>
      <c r="AU350" s="1120"/>
      <c r="AV350" s="445"/>
      <c r="AW350" s="607"/>
      <c r="AX350" s="607"/>
      <c r="AY350" s="607"/>
      <c r="AZ350" s="1209"/>
      <c r="BA350" s="1209"/>
    </row>
    <row r="351" spans="2:53" s="256" customFormat="1" ht="24.95" customHeight="1">
      <c r="B351" s="445"/>
      <c r="C351" s="204"/>
      <c r="D351" s="204"/>
      <c r="E351" s="204"/>
      <c r="F351" s="368"/>
      <c r="G351" s="1134"/>
      <c r="H351" s="401"/>
      <c r="I351" s="317"/>
      <c r="N351" s="317"/>
      <c r="O351" s="1135"/>
      <c r="P351" s="1136"/>
      <c r="Q351" s="1137"/>
      <c r="R351" s="1120"/>
      <c r="S351" s="1120"/>
      <c r="T351" s="1120"/>
      <c r="U351" s="1120"/>
      <c r="V351" s="1120"/>
      <c r="W351" s="1120"/>
      <c r="Z351" s="1145"/>
      <c r="AA351" s="1120"/>
      <c r="AB351" s="1120"/>
      <c r="AC351" s="1120"/>
      <c r="AD351" s="1212"/>
      <c r="AE351" s="1212"/>
      <c r="AF351" s="1186"/>
      <c r="AG351" s="1186"/>
      <c r="AH351" s="1222"/>
      <c r="AI351" s="1222"/>
      <c r="AJ351" s="1222"/>
      <c r="AK351" s="1222"/>
      <c r="AL351" s="1222"/>
      <c r="AM351" s="1222"/>
      <c r="AN351" s="1222"/>
      <c r="AO351" s="1222"/>
      <c r="AP351" s="1222"/>
      <c r="AQ351" s="1222"/>
      <c r="AR351" s="1222"/>
      <c r="AS351" s="1222"/>
      <c r="AT351" s="1222"/>
      <c r="AU351" s="1120"/>
      <c r="AV351" s="445"/>
      <c r="AW351" s="607"/>
      <c r="AX351" s="607"/>
      <c r="AY351" s="607"/>
      <c r="AZ351" s="1209"/>
      <c r="BA351" s="1209"/>
    </row>
    <row r="352" spans="2:53" s="256" customFormat="1" ht="24.95" customHeight="1">
      <c r="B352" s="445"/>
      <c r="C352" s="204"/>
      <c r="D352" s="204"/>
      <c r="E352" s="204"/>
      <c r="F352" s="368"/>
      <c r="G352" s="1134"/>
      <c r="H352" s="401"/>
      <c r="I352" s="317"/>
      <c r="N352" s="317"/>
      <c r="O352" s="1135"/>
      <c r="P352" s="1136"/>
      <c r="Q352" s="1137"/>
      <c r="R352" s="1120"/>
      <c r="S352" s="1120"/>
      <c r="T352" s="1120"/>
      <c r="U352" s="1120"/>
      <c r="V352" s="1120"/>
      <c r="W352" s="1120"/>
      <c r="Z352" s="1145"/>
      <c r="AA352" s="1120"/>
      <c r="AB352" s="1120"/>
      <c r="AC352" s="1120"/>
      <c r="AD352" s="1212"/>
      <c r="AE352" s="1212"/>
      <c r="AF352" s="1186"/>
      <c r="AG352" s="1186"/>
      <c r="AH352" s="1222"/>
      <c r="AI352" s="1222"/>
      <c r="AJ352" s="1222"/>
      <c r="AK352" s="1222"/>
      <c r="AL352" s="1222"/>
      <c r="AM352" s="1222"/>
      <c r="AN352" s="1222"/>
      <c r="AO352" s="1222"/>
      <c r="AP352" s="1222"/>
      <c r="AQ352" s="1222"/>
      <c r="AR352" s="1222"/>
      <c r="AS352" s="1222"/>
      <c r="AT352" s="1222"/>
      <c r="AU352" s="1120"/>
      <c r="AV352" s="445"/>
      <c r="AW352" s="607"/>
      <c r="AX352" s="607"/>
      <c r="AY352" s="607"/>
      <c r="AZ352" s="1209"/>
      <c r="BA352" s="1209"/>
    </row>
    <row r="353" spans="2:53" s="256" customFormat="1" ht="24.95" customHeight="1">
      <c r="B353" s="445"/>
      <c r="C353" s="204"/>
      <c r="D353" s="204"/>
      <c r="E353" s="204"/>
      <c r="F353" s="368"/>
      <c r="G353" s="1134"/>
      <c r="H353" s="401"/>
      <c r="I353" s="317"/>
      <c r="N353" s="317"/>
      <c r="O353" s="1135"/>
      <c r="P353" s="1136"/>
      <c r="Q353" s="1137"/>
      <c r="R353" s="1120"/>
      <c r="S353" s="1120"/>
      <c r="T353" s="1120"/>
      <c r="U353" s="1120"/>
      <c r="V353" s="1120"/>
      <c r="W353" s="1120"/>
      <c r="Z353" s="1145"/>
      <c r="AA353" s="1120"/>
      <c r="AB353" s="1120"/>
      <c r="AC353" s="1120"/>
      <c r="AD353" s="1212"/>
      <c r="AE353" s="1212"/>
      <c r="AF353" s="1186"/>
      <c r="AG353" s="1186"/>
      <c r="AH353" s="1222"/>
      <c r="AI353" s="1222"/>
      <c r="AJ353" s="1222"/>
      <c r="AK353" s="1222"/>
      <c r="AL353" s="1222"/>
      <c r="AM353" s="1222"/>
      <c r="AN353" s="1222"/>
      <c r="AO353" s="1222"/>
      <c r="AP353" s="1222"/>
      <c r="AQ353" s="1222"/>
      <c r="AR353" s="1222"/>
      <c r="AS353" s="1222"/>
      <c r="AT353" s="1222"/>
      <c r="AU353" s="1120"/>
      <c r="AV353" s="445"/>
      <c r="AW353" s="607"/>
      <c r="AX353" s="607"/>
      <c r="AY353" s="607"/>
      <c r="AZ353" s="1209"/>
      <c r="BA353" s="1209"/>
    </row>
    <row r="354" spans="2:53" s="256" customFormat="1" ht="24.95" customHeight="1">
      <c r="B354" s="445"/>
      <c r="C354" s="204"/>
      <c r="D354" s="204"/>
      <c r="E354" s="204"/>
      <c r="F354" s="368"/>
      <c r="G354" s="1134"/>
      <c r="H354" s="401"/>
      <c r="I354" s="317"/>
      <c r="N354" s="317"/>
      <c r="O354" s="1135"/>
      <c r="P354" s="1136"/>
      <c r="Q354" s="1137"/>
      <c r="R354" s="1120"/>
      <c r="S354" s="1120"/>
      <c r="T354" s="1120"/>
      <c r="U354" s="1120"/>
      <c r="V354" s="1120"/>
      <c r="W354" s="1120"/>
      <c r="Z354" s="1145"/>
      <c r="AA354" s="1120"/>
      <c r="AB354" s="1120"/>
      <c r="AC354" s="1120"/>
      <c r="AD354" s="1212"/>
      <c r="AE354" s="1212"/>
      <c r="AF354" s="1186"/>
      <c r="AG354" s="1186"/>
      <c r="AH354" s="1222"/>
      <c r="AI354" s="1222"/>
      <c r="AJ354" s="1222"/>
      <c r="AK354" s="1222"/>
      <c r="AL354" s="1222"/>
      <c r="AM354" s="1222"/>
      <c r="AN354" s="1222"/>
      <c r="AO354" s="1222"/>
      <c r="AP354" s="1222"/>
      <c r="AQ354" s="1222"/>
      <c r="AR354" s="1222"/>
      <c r="AS354" s="1222"/>
      <c r="AT354" s="1222"/>
      <c r="AU354" s="1120"/>
      <c r="AV354" s="445"/>
      <c r="AW354" s="607"/>
      <c r="AX354" s="607"/>
      <c r="AY354" s="607"/>
      <c r="AZ354" s="1209"/>
      <c r="BA354" s="1209"/>
    </row>
    <row r="355" spans="2:53" s="256" customFormat="1" ht="24.95" customHeight="1">
      <c r="B355" s="445"/>
      <c r="C355" s="204"/>
      <c r="D355" s="204"/>
      <c r="E355" s="204"/>
      <c r="F355" s="368"/>
      <c r="G355" s="1134"/>
      <c r="H355" s="401"/>
      <c r="I355" s="317"/>
      <c r="N355" s="317"/>
      <c r="O355" s="1135"/>
      <c r="P355" s="1136"/>
      <c r="Q355" s="1137"/>
      <c r="R355" s="1120"/>
      <c r="S355" s="1120"/>
      <c r="T355" s="1120"/>
      <c r="U355" s="1120"/>
      <c r="V355" s="1120"/>
      <c r="W355" s="1120"/>
      <c r="Z355" s="1145"/>
      <c r="AA355" s="1120"/>
      <c r="AB355" s="1120"/>
      <c r="AC355" s="1120"/>
      <c r="AD355" s="1212"/>
      <c r="AE355" s="1212"/>
      <c r="AF355" s="1186"/>
      <c r="AG355" s="1186"/>
      <c r="AH355" s="1222"/>
      <c r="AI355" s="1222"/>
      <c r="AJ355" s="1222"/>
      <c r="AK355" s="1222"/>
      <c r="AL355" s="1222"/>
      <c r="AM355" s="1222"/>
      <c r="AN355" s="1222"/>
      <c r="AO355" s="1222"/>
      <c r="AP355" s="1222"/>
      <c r="AQ355" s="1222"/>
      <c r="AR355" s="1222"/>
      <c r="AS355" s="1222"/>
      <c r="AT355" s="1222"/>
      <c r="AU355" s="1120"/>
      <c r="AV355" s="445"/>
      <c r="AW355" s="607"/>
      <c r="AX355" s="607"/>
      <c r="AY355" s="607"/>
      <c r="AZ355" s="1209"/>
      <c r="BA355" s="1209"/>
    </row>
    <row r="356" spans="2:53" s="256" customFormat="1" ht="24.95" customHeight="1">
      <c r="B356" s="445"/>
      <c r="C356" s="204"/>
      <c r="D356" s="204"/>
      <c r="E356" s="204"/>
      <c r="F356" s="368"/>
      <c r="G356" s="1134"/>
      <c r="H356" s="401"/>
      <c r="I356" s="317"/>
      <c r="N356" s="317"/>
      <c r="O356" s="1135"/>
      <c r="P356" s="1136"/>
      <c r="Q356" s="1137"/>
      <c r="R356" s="1120"/>
      <c r="S356" s="1120"/>
      <c r="T356" s="1120"/>
      <c r="U356" s="1120"/>
      <c r="V356" s="1120"/>
      <c r="W356" s="1120"/>
      <c r="Z356" s="1145"/>
      <c r="AA356" s="1120"/>
      <c r="AB356" s="1120"/>
      <c r="AC356" s="1120"/>
      <c r="AD356" s="1212"/>
      <c r="AE356" s="1212"/>
      <c r="AF356" s="1186"/>
      <c r="AG356" s="1186"/>
      <c r="AH356" s="1222"/>
      <c r="AI356" s="1222"/>
      <c r="AJ356" s="1222"/>
      <c r="AK356" s="1222"/>
      <c r="AL356" s="1222"/>
      <c r="AM356" s="1222"/>
      <c r="AN356" s="1222"/>
      <c r="AO356" s="1222"/>
      <c r="AP356" s="1222"/>
      <c r="AQ356" s="1222"/>
      <c r="AR356" s="1222"/>
      <c r="AS356" s="1222"/>
      <c r="AT356" s="1222"/>
      <c r="AU356" s="1120"/>
      <c r="AV356" s="445"/>
      <c r="AW356" s="607"/>
      <c r="AX356" s="607"/>
      <c r="AY356" s="607"/>
      <c r="AZ356" s="1209"/>
      <c r="BA356" s="1209"/>
    </row>
    <row r="357" spans="2:53" s="256" customFormat="1" ht="24.95" customHeight="1">
      <c r="B357" s="445"/>
      <c r="C357" s="204"/>
      <c r="D357" s="204"/>
      <c r="E357" s="204"/>
      <c r="F357" s="368"/>
      <c r="G357" s="1134"/>
      <c r="H357" s="401"/>
      <c r="I357" s="317"/>
      <c r="N357" s="317"/>
      <c r="O357" s="1135"/>
      <c r="P357" s="1136"/>
      <c r="Q357" s="1137"/>
      <c r="R357" s="1120"/>
      <c r="S357" s="1120"/>
      <c r="T357" s="1120"/>
      <c r="U357" s="1120"/>
      <c r="V357" s="1120"/>
      <c r="W357" s="1120"/>
      <c r="Z357" s="1145"/>
      <c r="AA357" s="1120"/>
      <c r="AB357" s="1120"/>
      <c r="AC357" s="1120"/>
      <c r="AD357" s="1212"/>
      <c r="AE357" s="1212"/>
      <c r="AF357" s="1186"/>
      <c r="AG357" s="1186"/>
      <c r="AH357" s="1222"/>
      <c r="AI357" s="1222"/>
      <c r="AJ357" s="1222"/>
      <c r="AK357" s="1222"/>
      <c r="AL357" s="1222"/>
      <c r="AM357" s="1222"/>
      <c r="AN357" s="1222"/>
      <c r="AO357" s="1222"/>
      <c r="AP357" s="1222"/>
      <c r="AQ357" s="1222"/>
      <c r="AR357" s="1222"/>
      <c r="AS357" s="1222"/>
      <c r="AT357" s="1222"/>
      <c r="AU357" s="1120"/>
      <c r="AV357" s="445"/>
      <c r="AW357" s="607"/>
      <c r="AX357" s="607"/>
      <c r="AY357" s="607"/>
      <c r="AZ357" s="1209"/>
      <c r="BA357" s="1209"/>
    </row>
    <row r="358" spans="2:53" s="256" customFormat="1" ht="24.95" customHeight="1">
      <c r="B358" s="445"/>
      <c r="C358" s="204"/>
      <c r="D358" s="204"/>
      <c r="E358" s="204"/>
      <c r="F358" s="368"/>
      <c r="G358" s="1134"/>
      <c r="H358" s="401"/>
      <c r="I358" s="317"/>
      <c r="N358" s="317"/>
      <c r="O358" s="1135"/>
      <c r="P358" s="1136"/>
      <c r="Q358" s="1137"/>
      <c r="R358" s="1120"/>
      <c r="S358" s="1120"/>
      <c r="T358" s="1120"/>
      <c r="U358" s="1120"/>
      <c r="V358" s="1120"/>
      <c r="W358" s="1120"/>
      <c r="Z358" s="1145"/>
      <c r="AA358" s="1120"/>
      <c r="AB358" s="1120"/>
      <c r="AC358" s="1120"/>
      <c r="AD358" s="1212"/>
      <c r="AE358" s="1212"/>
      <c r="AF358" s="1186"/>
      <c r="AG358" s="1186"/>
      <c r="AH358" s="1222"/>
      <c r="AI358" s="1222"/>
      <c r="AJ358" s="1222"/>
      <c r="AK358" s="1222"/>
      <c r="AL358" s="1222"/>
      <c r="AM358" s="1222"/>
      <c r="AN358" s="1222"/>
      <c r="AO358" s="1222"/>
      <c r="AP358" s="1222"/>
      <c r="AQ358" s="1222"/>
      <c r="AR358" s="1222"/>
      <c r="AS358" s="1222"/>
      <c r="AT358" s="1222"/>
      <c r="AU358" s="1120"/>
      <c r="AV358" s="445"/>
      <c r="AW358" s="607"/>
      <c r="AX358" s="607"/>
      <c r="AY358" s="607"/>
      <c r="AZ358" s="1209"/>
      <c r="BA358" s="1209"/>
    </row>
    <row r="359" spans="2:53" s="256" customFormat="1" ht="24.95" customHeight="1">
      <c r="B359" s="445"/>
      <c r="C359" s="204"/>
      <c r="D359" s="204"/>
      <c r="E359" s="204"/>
      <c r="F359" s="368"/>
      <c r="G359" s="1134"/>
      <c r="H359" s="401"/>
      <c r="I359" s="317"/>
      <c r="N359" s="317"/>
      <c r="O359" s="1135"/>
      <c r="P359" s="1136"/>
      <c r="Q359" s="1137"/>
      <c r="R359" s="1120"/>
      <c r="S359" s="1120"/>
      <c r="T359" s="1120"/>
      <c r="U359" s="1120"/>
      <c r="V359" s="1120"/>
      <c r="W359" s="1120"/>
      <c r="Z359" s="1145"/>
      <c r="AA359" s="1120"/>
      <c r="AB359" s="1120"/>
      <c r="AC359" s="1120"/>
      <c r="AD359" s="1212"/>
      <c r="AE359" s="1212"/>
      <c r="AF359" s="1186"/>
      <c r="AG359" s="1186"/>
      <c r="AH359" s="1222"/>
      <c r="AI359" s="1222"/>
      <c r="AJ359" s="1222"/>
      <c r="AK359" s="1222"/>
      <c r="AL359" s="1222"/>
      <c r="AM359" s="1222"/>
      <c r="AN359" s="1222"/>
      <c r="AO359" s="1222"/>
      <c r="AP359" s="1222"/>
      <c r="AQ359" s="1222"/>
      <c r="AR359" s="1222"/>
      <c r="AS359" s="1222"/>
      <c r="AT359" s="1222"/>
      <c r="AU359" s="1120"/>
      <c r="AV359" s="445"/>
      <c r="AW359" s="607"/>
      <c r="AX359" s="607"/>
      <c r="AY359" s="607"/>
      <c r="AZ359" s="1209"/>
      <c r="BA359" s="1209"/>
    </row>
    <row r="360" spans="2:53" s="256" customFormat="1" ht="24.95" customHeight="1">
      <c r="B360" s="445"/>
      <c r="C360" s="204"/>
      <c r="D360" s="204"/>
      <c r="E360" s="204"/>
      <c r="F360" s="368"/>
      <c r="G360" s="1134"/>
      <c r="H360" s="401"/>
      <c r="I360" s="317"/>
      <c r="N360" s="317"/>
      <c r="O360" s="1135"/>
      <c r="P360" s="1136"/>
      <c r="Q360" s="1137"/>
      <c r="R360" s="1120"/>
      <c r="S360" s="1120"/>
      <c r="T360" s="1120"/>
      <c r="U360" s="1120"/>
      <c r="V360" s="1120"/>
      <c r="W360" s="1120"/>
      <c r="Z360" s="1145"/>
      <c r="AA360" s="1120"/>
      <c r="AB360" s="1120"/>
      <c r="AC360" s="1120"/>
      <c r="AD360" s="1212"/>
      <c r="AE360" s="1212"/>
      <c r="AF360" s="1186"/>
      <c r="AG360" s="1186"/>
      <c r="AH360" s="1222"/>
      <c r="AI360" s="1222"/>
      <c r="AJ360" s="1222"/>
      <c r="AK360" s="1222"/>
      <c r="AL360" s="1222"/>
      <c r="AM360" s="1222"/>
      <c r="AN360" s="1222"/>
      <c r="AO360" s="1222"/>
      <c r="AP360" s="1222"/>
      <c r="AQ360" s="1222"/>
      <c r="AR360" s="1222"/>
      <c r="AS360" s="1222"/>
      <c r="AT360" s="1222"/>
      <c r="AU360" s="1120"/>
      <c r="AV360" s="445"/>
      <c r="AW360" s="607"/>
      <c r="AX360" s="607"/>
      <c r="AY360" s="607"/>
      <c r="AZ360" s="1209"/>
      <c r="BA360" s="1209"/>
    </row>
    <row r="361" spans="2:53" s="256" customFormat="1" ht="24.95" customHeight="1">
      <c r="B361" s="445"/>
      <c r="C361" s="204"/>
      <c r="D361" s="204"/>
      <c r="E361" s="204"/>
      <c r="F361" s="368"/>
      <c r="G361" s="1134"/>
      <c r="H361" s="401"/>
      <c r="I361" s="317"/>
      <c r="N361" s="317"/>
      <c r="O361" s="1135"/>
      <c r="P361" s="1136"/>
      <c r="Q361" s="1137"/>
      <c r="R361" s="1120"/>
      <c r="S361" s="1120"/>
      <c r="T361" s="1120"/>
      <c r="U361" s="1120"/>
      <c r="V361" s="1120"/>
      <c r="W361" s="1120"/>
      <c r="Z361" s="1145"/>
      <c r="AA361" s="1120"/>
      <c r="AB361" s="1120"/>
      <c r="AC361" s="1120"/>
      <c r="AD361" s="1212"/>
      <c r="AE361" s="1212"/>
      <c r="AF361" s="1186"/>
      <c r="AG361" s="1186"/>
      <c r="AH361" s="1222"/>
      <c r="AI361" s="1222"/>
      <c r="AJ361" s="1222"/>
      <c r="AK361" s="1222"/>
      <c r="AL361" s="1222"/>
      <c r="AM361" s="1222"/>
      <c r="AN361" s="1222"/>
      <c r="AO361" s="1222"/>
      <c r="AP361" s="1222"/>
      <c r="AQ361" s="1222"/>
      <c r="AR361" s="1222"/>
      <c r="AS361" s="1222"/>
      <c r="AT361" s="1222"/>
      <c r="AU361" s="1120"/>
      <c r="AV361" s="445"/>
      <c r="AW361" s="607"/>
      <c r="AX361" s="607"/>
      <c r="AY361" s="607"/>
      <c r="AZ361" s="1209"/>
      <c r="BA361" s="1209"/>
    </row>
    <row r="362" spans="2:53" s="256" customFormat="1" ht="24.95" customHeight="1">
      <c r="B362" s="445"/>
      <c r="C362" s="204"/>
      <c r="D362" s="204"/>
      <c r="E362" s="204"/>
      <c r="F362" s="368"/>
      <c r="G362" s="1134"/>
      <c r="H362" s="401"/>
      <c r="I362" s="317"/>
      <c r="N362" s="317"/>
      <c r="O362" s="1135"/>
      <c r="P362" s="1136"/>
      <c r="Q362" s="1137"/>
      <c r="R362" s="1120"/>
      <c r="S362" s="1120"/>
      <c r="T362" s="1120"/>
      <c r="U362" s="1120"/>
      <c r="V362" s="1120"/>
      <c r="W362" s="1120"/>
      <c r="Z362" s="1145"/>
      <c r="AA362" s="1120"/>
      <c r="AB362" s="1120"/>
      <c r="AC362" s="1120"/>
      <c r="AD362" s="1212"/>
      <c r="AE362" s="1212"/>
      <c r="AF362" s="1186"/>
      <c r="AG362" s="1186"/>
      <c r="AH362" s="1222"/>
      <c r="AI362" s="1222"/>
      <c r="AJ362" s="1222"/>
      <c r="AK362" s="1222"/>
      <c r="AL362" s="1222"/>
      <c r="AM362" s="1222"/>
      <c r="AN362" s="1222"/>
      <c r="AO362" s="1222"/>
      <c r="AP362" s="1222"/>
      <c r="AQ362" s="1222"/>
      <c r="AR362" s="1222"/>
      <c r="AS362" s="1222"/>
      <c r="AT362" s="1222"/>
      <c r="AU362" s="1120"/>
      <c r="AV362" s="445"/>
      <c r="AW362" s="607"/>
      <c r="AX362" s="607"/>
      <c r="AY362" s="607"/>
      <c r="AZ362" s="1209"/>
      <c r="BA362" s="1209"/>
    </row>
    <row r="363" spans="2:53" s="256" customFormat="1" ht="24.95" customHeight="1">
      <c r="B363" s="445"/>
      <c r="C363" s="204"/>
      <c r="D363" s="204"/>
      <c r="E363" s="204"/>
      <c r="F363" s="368"/>
      <c r="G363" s="1134"/>
      <c r="H363" s="401"/>
      <c r="I363" s="317"/>
      <c r="N363" s="317"/>
      <c r="O363" s="1135"/>
      <c r="P363" s="1136"/>
      <c r="Q363" s="1137"/>
      <c r="R363" s="1120"/>
      <c r="S363" s="1120"/>
      <c r="T363" s="1120"/>
      <c r="U363" s="1120"/>
      <c r="V363" s="1120"/>
      <c r="W363" s="1120"/>
      <c r="Z363" s="1145"/>
      <c r="AA363" s="1120"/>
      <c r="AB363" s="1120"/>
      <c r="AC363" s="1120"/>
      <c r="AD363" s="1212"/>
      <c r="AE363" s="1212"/>
      <c r="AF363" s="1186"/>
      <c r="AG363" s="1186"/>
      <c r="AH363" s="1222"/>
      <c r="AI363" s="1222"/>
      <c r="AJ363" s="1222"/>
      <c r="AK363" s="1222"/>
      <c r="AL363" s="1222"/>
      <c r="AM363" s="1222"/>
      <c r="AN363" s="1222"/>
      <c r="AO363" s="1222"/>
      <c r="AP363" s="1222"/>
      <c r="AQ363" s="1222"/>
      <c r="AR363" s="1222"/>
      <c r="AS363" s="1222"/>
      <c r="AT363" s="1222"/>
      <c r="AU363" s="1120"/>
      <c r="AV363" s="445"/>
      <c r="AW363" s="607"/>
      <c r="AX363" s="607"/>
      <c r="AY363" s="607"/>
      <c r="AZ363" s="1209"/>
      <c r="BA363" s="1209"/>
    </row>
    <row r="364" spans="2:53" s="256" customFormat="1" ht="24.95" customHeight="1">
      <c r="B364" s="445"/>
      <c r="C364" s="204"/>
      <c r="D364" s="204"/>
      <c r="E364" s="204"/>
      <c r="F364" s="368"/>
      <c r="G364" s="1134"/>
      <c r="H364" s="401"/>
      <c r="I364" s="317"/>
      <c r="N364" s="317"/>
      <c r="O364" s="1135"/>
      <c r="P364" s="1136"/>
      <c r="Q364" s="1137"/>
      <c r="R364" s="1120"/>
      <c r="S364" s="1120"/>
      <c r="T364" s="1120"/>
      <c r="U364" s="1120"/>
      <c r="V364" s="1120"/>
      <c r="W364" s="1120"/>
      <c r="Z364" s="1145"/>
      <c r="AA364" s="1120"/>
      <c r="AB364" s="1120"/>
      <c r="AC364" s="1120"/>
      <c r="AD364" s="1212"/>
      <c r="AE364" s="1212"/>
      <c r="AF364" s="1186"/>
      <c r="AG364" s="1186"/>
      <c r="AH364" s="1222"/>
      <c r="AI364" s="1222"/>
      <c r="AJ364" s="1222"/>
      <c r="AK364" s="1222"/>
      <c r="AL364" s="1222"/>
      <c r="AM364" s="1222"/>
      <c r="AN364" s="1222"/>
      <c r="AO364" s="1222"/>
      <c r="AP364" s="1222"/>
      <c r="AQ364" s="1222"/>
      <c r="AR364" s="1222"/>
      <c r="AS364" s="1222"/>
      <c r="AT364" s="1222"/>
      <c r="AU364" s="1120"/>
      <c r="AV364" s="445"/>
      <c r="AW364" s="607"/>
      <c r="AX364" s="607"/>
      <c r="AY364" s="607"/>
      <c r="AZ364" s="1209"/>
      <c r="BA364" s="1209"/>
    </row>
    <row r="365" spans="2:53" s="256" customFormat="1" ht="24.95" customHeight="1">
      <c r="B365" s="445"/>
      <c r="C365" s="204"/>
      <c r="D365" s="204"/>
      <c r="E365" s="204"/>
      <c r="F365" s="368"/>
      <c r="G365" s="1134"/>
      <c r="H365" s="401"/>
      <c r="I365" s="317"/>
      <c r="N365" s="317"/>
      <c r="O365" s="1135"/>
      <c r="P365" s="1136"/>
      <c r="Q365" s="1137"/>
      <c r="R365" s="1120"/>
      <c r="S365" s="1120"/>
      <c r="T365" s="1120"/>
      <c r="U365" s="1120"/>
      <c r="V365" s="1120"/>
      <c r="W365" s="1120"/>
      <c r="Z365" s="1145"/>
      <c r="AA365" s="1120"/>
      <c r="AB365" s="1120"/>
      <c r="AC365" s="1120"/>
      <c r="AD365" s="1212"/>
      <c r="AE365" s="1212"/>
      <c r="AF365" s="1186"/>
      <c r="AG365" s="1186"/>
      <c r="AH365" s="1222"/>
      <c r="AI365" s="1222"/>
      <c r="AJ365" s="1222"/>
      <c r="AK365" s="1222"/>
      <c r="AL365" s="1222"/>
      <c r="AM365" s="1222"/>
      <c r="AN365" s="1222"/>
      <c r="AO365" s="1222"/>
      <c r="AP365" s="1222"/>
      <c r="AQ365" s="1222"/>
      <c r="AR365" s="1222"/>
      <c r="AS365" s="1222"/>
      <c r="AT365" s="1222"/>
      <c r="AU365" s="1120"/>
      <c r="AV365" s="445"/>
      <c r="AW365" s="607"/>
      <c r="AX365" s="607"/>
      <c r="AY365" s="607"/>
      <c r="AZ365" s="1209"/>
      <c r="BA365" s="1209"/>
    </row>
    <row r="366" spans="2:53" s="256" customFormat="1" ht="24.95" customHeight="1">
      <c r="B366" s="445"/>
      <c r="C366" s="204"/>
      <c r="D366" s="204"/>
      <c r="E366" s="204"/>
      <c r="F366" s="368"/>
      <c r="G366" s="1134"/>
      <c r="H366" s="401"/>
      <c r="I366" s="317"/>
      <c r="N366" s="317"/>
      <c r="O366" s="1135"/>
      <c r="P366" s="1136"/>
      <c r="Q366" s="1137"/>
      <c r="R366" s="1120"/>
      <c r="S366" s="1120"/>
      <c r="T366" s="1120"/>
      <c r="U366" s="1120"/>
      <c r="V366" s="1120"/>
      <c r="W366" s="1120"/>
      <c r="Z366" s="1145"/>
      <c r="AA366" s="1120"/>
      <c r="AB366" s="1120"/>
      <c r="AC366" s="1120"/>
      <c r="AD366" s="1212"/>
      <c r="AE366" s="1212"/>
      <c r="AF366" s="1186"/>
      <c r="AG366" s="1186"/>
      <c r="AH366" s="1222"/>
      <c r="AI366" s="1222"/>
      <c r="AJ366" s="1222"/>
      <c r="AK366" s="1222"/>
      <c r="AL366" s="1222"/>
      <c r="AM366" s="1222"/>
      <c r="AN366" s="1222"/>
      <c r="AO366" s="1222"/>
      <c r="AP366" s="1222"/>
      <c r="AQ366" s="1222"/>
      <c r="AR366" s="1222"/>
      <c r="AS366" s="1222"/>
      <c r="AT366" s="1222"/>
      <c r="AU366" s="1120"/>
      <c r="AV366" s="445"/>
      <c r="AW366" s="607"/>
      <c r="AX366" s="607"/>
      <c r="AY366" s="607"/>
      <c r="AZ366" s="1209"/>
      <c r="BA366" s="1209"/>
    </row>
    <row r="367" spans="2:53" s="256" customFormat="1" ht="24.95" customHeight="1">
      <c r="B367" s="445"/>
      <c r="C367" s="204"/>
      <c r="D367" s="204"/>
      <c r="E367" s="204"/>
      <c r="F367" s="368"/>
      <c r="G367" s="1134"/>
      <c r="H367" s="401"/>
      <c r="I367" s="317"/>
      <c r="N367" s="317"/>
      <c r="O367" s="1135"/>
      <c r="P367" s="1136"/>
      <c r="Q367" s="1137"/>
      <c r="R367" s="1120"/>
      <c r="S367" s="1120"/>
      <c r="T367" s="1120"/>
      <c r="U367" s="1120"/>
      <c r="V367" s="1120"/>
      <c r="W367" s="1120"/>
      <c r="Z367" s="1145"/>
      <c r="AA367" s="1120"/>
      <c r="AB367" s="1120"/>
      <c r="AC367" s="1120"/>
      <c r="AD367" s="1212"/>
      <c r="AE367" s="1212"/>
      <c r="AF367" s="1186"/>
      <c r="AG367" s="1186"/>
      <c r="AH367" s="1222"/>
      <c r="AI367" s="1222"/>
      <c r="AJ367" s="1222"/>
      <c r="AK367" s="1222"/>
      <c r="AL367" s="1222"/>
      <c r="AM367" s="1222"/>
      <c r="AN367" s="1222"/>
      <c r="AO367" s="1222"/>
      <c r="AP367" s="1222"/>
      <c r="AQ367" s="1222"/>
      <c r="AR367" s="1222"/>
      <c r="AS367" s="1222"/>
      <c r="AT367" s="1222"/>
      <c r="AU367" s="1120"/>
      <c r="AV367" s="445"/>
      <c r="AW367" s="607"/>
      <c r="AX367" s="607"/>
      <c r="AY367" s="607"/>
      <c r="AZ367" s="1209"/>
      <c r="BA367" s="1209"/>
    </row>
    <row r="368" spans="2:53" s="256" customFormat="1" ht="24.95" customHeight="1">
      <c r="B368" s="445"/>
      <c r="C368" s="204"/>
      <c r="D368" s="204"/>
      <c r="E368" s="204"/>
      <c r="F368" s="368"/>
      <c r="G368" s="1134"/>
      <c r="H368" s="401"/>
      <c r="I368" s="317"/>
      <c r="N368" s="317"/>
      <c r="O368" s="1135"/>
      <c r="P368" s="1136"/>
      <c r="Q368" s="1137"/>
      <c r="R368" s="1120"/>
      <c r="S368" s="1120"/>
      <c r="T368" s="1120"/>
      <c r="U368" s="1120"/>
      <c r="V368" s="1120"/>
      <c r="W368" s="1120"/>
      <c r="Z368" s="1145"/>
      <c r="AA368" s="1120"/>
      <c r="AB368" s="1120"/>
      <c r="AC368" s="1120"/>
      <c r="AD368" s="1212"/>
      <c r="AE368" s="1212"/>
      <c r="AF368" s="1186"/>
      <c r="AG368" s="1186"/>
      <c r="AH368" s="1222"/>
      <c r="AI368" s="1222"/>
      <c r="AJ368" s="1222"/>
      <c r="AK368" s="1222"/>
      <c r="AL368" s="1222"/>
      <c r="AM368" s="1222"/>
      <c r="AN368" s="1222"/>
      <c r="AO368" s="1222"/>
      <c r="AP368" s="1222"/>
      <c r="AQ368" s="1222"/>
      <c r="AR368" s="1222"/>
      <c r="AS368" s="1222"/>
      <c r="AT368" s="1222"/>
      <c r="AU368" s="1120"/>
      <c r="AV368" s="445"/>
      <c r="AW368" s="607"/>
      <c r="AX368" s="607"/>
      <c r="AY368" s="607"/>
      <c r="AZ368" s="1209"/>
      <c r="BA368" s="1209"/>
    </row>
    <row r="369" spans="2:53" s="256" customFormat="1" ht="24.95" customHeight="1">
      <c r="B369" s="445"/>
      <c r="C369" s="204"/>
      <c r="D369" s="204"/>
      <c r="E369" s="204"/>
      <c r="F369" s="368"/>
      <c r="G369" s="1134"/>
      <c r="H369" s="401"/>
      <c r="I369" s="317"/>
      <c r="N369" s="317"/>
      <c r="O369" s="1135"/>
      <c r="P369" s="1136"/>
      <c r="Q369" s="1137"/>
      <c r="R369" s="1120"/>
      <c r="S369" s="1120"/>
      <c r="T369" s="1120"/>
      <c r="U369" s="1120"/>
      <c r="V369" s="1120"/>
      <c r="W369" s="1120"/>
      <c r="Z369" s="1145"/>
      <c r="AA369" s="1120"/>
      <c r="AB369" s="1120"/>
      <c r="AC369" s="1120"/>
      <c r="AD369" s="1212"/>
      <c r="AE369" s="1212"/>
      <c r="AF369" s="1186"/>
      <c r="AG369" s="1186"/>
      <c r="AH369" s="1222"/>
      <c r="AI369" s="1222"/>
      <c r="AJ369" s="1222"/>
      <c r="AK369" s="1222"/>
      <c r="AL369" s="1222"/>
      <c r="AM369" s="1222"/>
      <c r="AN369" s="1222"/>
      <c r="AO369" s="1222"/>
      <c r="AP369" s="1222"/>
      <c r="AQ369" s="1222"/>
      <c r="AR369" s="1222"/>
      <c r="AS369" s="1222"/>
      <c r="AT369" s="1222"/>
      <c r="AU369" s="1120"/>
      <c r="AV369" s="445"/>
      <c r="AW369" s="607"/>
      <c r="AX369" s="607"/>
      <c r="AY369" s="607"/>
      <c r="AZ369" s="1209"/>
      <c r="BA369" s="1209"/>
    </row>
    <row r="370" spans="2:53" s="256" customFormat="1" ht="24.95" customHeight="1">
      <c r="B370" s="445"/>
      <c r="C370" s="204"/>
      <c r="D370" s="204"/>
      <c r="E370" s="204"/>
      <c r="F370" s="368"/>
      <c r="G370" s="1134"/>
      <c r="H370" s="401"/>
      <c r="I370" s="317"/>
      <c r="N370" s="317"/>
      <c r="O370" s="1135"/>
      <c r="P370" s="1136"/>
      <c r="Q370" s="1137"/>
      <c r="R370" s="1120"/>
      <c r="S370" s="1120"/>
      <c r="T370" s="1120"/>
      <c r="U370" s="1120"/>
      <c r="V370" s="1120"/>
      <c r="W370" s="1120"/>
      <c r="Z370" s="1145"/>
      <c r="AA370" s="1120"/>
      <c r="AB370" s="1120"/>
      <c r="AC370" s="1120"/>
      <c r="AD370" s="1212"/>
      <c r="AE370" s="1212"/>
      <c r="AF370" s="1186"/>
      <c r="AG370" s="1186"/>
      <c r="AH370" s="1222"/>
      <c r="AI370" s="1222"/>
      <c r="AJ370" s="1222"/>
      <c r="AK370" s="1222"/>
      <c r="AL370" s="1222"/>
      <c r="AM370" s="1222"/>
      <c r="AN370" s="1222"/>
      <c r="AO370" s="1222"/>
      <c r="AP370" s="1222"/>
      <c r="AQ370" s="1222"/>
      <c r="AR370" s="1222"/>
      <c r="AS370" s="1222"/>
      <c r="AT370" s="1222"/>
      <c r="AU370" s="1120"/>
      <c r="AV370" s="445"/>
      <c r="AW370" s="607"/>
      <c r="AX370" s="607"/>
      <c r="AY370" s="607"/>
      <c r="AZ370" s="1209"/>
      <c r="BA370" s="1209"/>
    </row>
    <row r="371" spans="2:53" s="256" customFormat="1" ht="24.95" customHeight="1">
      <c r="B371" s="445"/>
      <c r="C371" s="204"/>
      <c r="D371" s="204"/>
      <c r="E371" s="204"/>
      <c r="F371" s="368"/>
      <c r="G371" s="1134"/>
      <c r="H371" s="401"/>
      <c r="I371" s="317"/>
      <c r="N371" s="317"/>
      <c r="O371" s="1135"/>
      <c r="P371" s="1136"/>
      <c r="Q371" s="1137"/>
      <c r="R371" s="1120"/>
      <c r="S371" s="1120"/>
      <c r="T371" s="1120"/>
      <c r="U371" s="1120"/>
      <c r="V371" s="1120"/>
      <c r="W371" s="1120"/>
      <c r="Z371" s="1145"/>
      <c r="AA371" s="1120"/>
      <c r="AB371" s="1120"/>
      <c r="AC371" s="1120"/>
      <c r="AD371" s="1212"/>
      <c r="AE371" s="1212"/>
      <c r="AF371" s="1186"/>
      <c r="AG371" s="1186"/>
      <c r="AH371" s="1222"/>
      <c r="AI371" s="1222"/>
      <c r="AJ371" s="1222"/>
      <c r="AK371" s="1222"/>
      <c r="AL371" s="1222"/>
      <c r="AM371" s="1222"/>
      <c r="AN371" s="1222"/>
      <c r="AO371" s="1222"/>
      <c r="AP371" s="1222"/>
      <c r="AQ371" s="1222"/>
      <c r="AR371" s="1222"/>
      <c r="AS371" s="1222"/>
      <c r="AT371" s="1222"/>
      <c r="AU371" s="1120"/>
      <c r="AV371" s="445"/>
      <c r="AW371" s="607"/>
      <c r="AX371" s="607"/>
      <c r="AY371" s="607"/>
      <c r="AZ371" s="1209"/>
      <c r="BA371" s="1209"/>
    </row>
    <row r="372" spans="2:53" s="256" customFormat="1" ht="24.95" customHeight="1">
      <c r="B372" s="445"/>
      <c r="C372" s="204"/>
      <c r="D372" s="204"/>
      <c r="E372" s="204"/>
      <c r="F372" s="368"/>
      <c r="G372" s="1134"/>
      <c r="H372" s="401"/>
      <c r="I372" s="317"/>
      <c r="N372" s="317"/>
      <c r="O372" s="1135"/>
      <c r="P372" s="1136"/>
      <c r="Q372" s="1137"/>
      <c r="R372" s="1120"/>
      <c r="S372" s="1120"/>
      <c r="T372" s="1120"/>
      <c r="U372" s="1120"/>
      <c r="V372" s="1120"/>
      <c r="W372" s="1120"/>
      <c r="Z372" s="1145"/>
      <c r="AA372" s="1120"/>
      <c r="AB372" s="1120"/>
      <c r="AC372" s="1120"/>
      <c r="AD372" s="1212"/>
      <c r="AE372" s="1212"/>
      <c r="AF372" s="1186"/>
      <c r="AG372" s="1186"/>
      <c r="AH372" s="1222"/>
      <c r="AI372" s="1222"/>
      <c r="AJ372" s="1222"/>
      <c r="AK372" s="1222"/>
      <c r="AL372" s="1222"/>
      <c r="AM372" s="1222"/>
      <c r="AN372" s="1222"/>
      <c r="AO372" s="1222"/>
      <c r="AP372" s="1222"/>
      <c r="AQ372" s="1222"/>
      <c r="AR372" s="1222"/>
      <c r="AS372" s="1222"/>
      <c r="AT372" s="1222"/>
      <c r="AU372" s="1120"/>
      <c r="AV372" s="445"/>
      <c r="AW372" s="607"/>
      <c r="AX372" s="607"/>
      <c r="AY372" s="607"/>
      <c r="AZ372" s="1209"/>
      <c r="BA372" s="1209"/>
    </row>
    <row r="373" spans="2:53" s="256" customFormat="1" ht="24.95" customHeight="1">
      <c r="B373" s="445"/>
      <c r="C373" s="204"/>
      <c r="D373" s="204"/>
      <c r="E373" s="204"/>
      <c r="F373" s="368"/>
      <c r="G373" s="1134"/>
      <c r="H373" s="401"/>
      <c r="I373" s="317"/>
      <c r="N373" s="317"/>
      <c r="O373" s="1135"/>
      <c r="P373" s="1136"/>
      <c r="Q373" s="1137"/>
      <c r="R373" s="1120"/>
      <c r="S373" s="1120"/>
      <c r="T373" s="1120"/>
      <c r="U373" s="1120"/>
      <c r="V373" s="1120"/>
      <c r="W373" s="1120"/>
      <c r="Z373" s="1145"/>
      <c r="AA373" s="1120"/>
      <c r="AB373" s="1120"/>
      <c r="AC373" s="1120"/>
      <c r="AD373" s="1212"/>
      <c r="AE373" s="1212"/>
      <c r="AF373" s="1186"/>
      <c r="AG373" s="1186"/>
      <c r="AH373" s="1222"/>
      <c r="AI373" s="1222"/>
      <c r="AJ373" s="1222"/>
      <c r="AK373" s="1222"/>
      <c r="AL373" s="1222"/>
      <c r="AM373" s="1222"/>
      <c r="AN373" s="1222"/>
      <c r="AO373" s="1222"/>
      <c r="AP373" s="1222"/>
      <c r="AQ373" s="1222"/>
      <c r="AR373" s="1222"/>
      <c r="AS373" s="1222"/>
      <c r="AT373" s="1222"/>
      <c r="AU373" s="1120"/>
      <c r="AV373" s="445"/>
      <c r="AW373" s="607"/>
      <c r="AX373" s="607"/>
      <c r="AY373" s="607"/>
      <c r="AZ373" s="1209"/>
      <c r="BA373" s="1209"/>
    </row>
    <row r="374" spans="2:53" s="256" customFormat="1" ht="24.95" customHeight="1">
      <c r="B374" s="445"/>
      <c r="C374" s="204"/>
      <c r="D374" s="204"/>
      <c r="E374" s="204"/>
      <c r="F374" s="368"/>
      <c r="G374" s="1134"/>
      <c r="H374" s="401"/>
      <c r="I374" s="317"/>
      <c r="N374" s="317"/>
      <c r="O374" s="1135"/>
      <c r="P374" s="1136"/>
      <c r="Q374" s="1137"/>
      <c r="R374" s="1120"/>
      <c r="S374" s="1120"/>
      <c r="T374" s="1120"/>
      <c r="U374" s="1120"/>
      <c r="V374" s="1120"/>
      <c r="W374" s="1120"/>
      <c r="Z374" s="1145"/>
      <c r="AA374" s="1120"/>
      <c r="AB374" s="1120"/>
      <c r="AC374" s="1120"/>
      <c r="AD374" s="1212"/>
      <c r="AE374" s="1212"/>
      <c r="AF374" s="1186"/>
      <c r="AG374" s="1186"/>
      <c r="AH374" s="1222"/>
      <c r="AI374" s="1222"/>
      <c r="AJ374" s="1222"/>
      <c r="AK374" s="1222"/>
      <c r="AL374" s="1222"/>
      <c r="AM374" s="1222"/>
      <c r="AN374" s="1222"/>
      <c r="AO374" s="1222"/>
      <c r="AP374" s="1222"/>
      <c r="AQ374" s="1222"/>
      <c r="AR374" s="1222"/>
      <c r="AS374" s="1222"/>
      <c r="AT374" s="1222"/>
      <c r="AU374" s="1120"/>
      <c r="AV374" s="445"/>
      <c r="AW374" s="607"/>
      <c r="AX374" s="607"/>
      <c r="AY374" s="607"/>
      <c r="AZ374" s="1209"/>
      <c r="BA374" s="1209"/>
    </row>
    <row r="375" spans="2:53" s="256" customFormat="1" ht="24.95" customHeight="1">
      <c r="B375" s="445"/>
      <c r="C375" s="204"/>
      <c r="D375" s="204"/>
      <c r="E375" s="204"/>
      <c r="F375" s="368"/>
      <c r="G375" s="1134"/>
      <c r="H375" s="401"/>
      <c r="I375" s="317"/>
      <c r="N375" s="317"/>
      <c r="O375" s="1135"/>
      <c r="P375" s="1136"/>
      <c r="Q375" s="1137"/>
      <c r="R375" s="1120"/>
      <c r="S375" s="1120"/>
      <c r="T375" s="1120"/>
      <c r="U375" s="1120"/>
      <c r="V375" s="1120"/>
      <c r="W375" s="1120"/>
      <c r="Z375" s="1145"/>
      <c r="AA375" s="1120"/>
      <c r="AB375" s="1120"/>
      <c r="AC375" s="1120"/>
      <c r="AD375" s="1212"/>
      <c r="AE375" s="1212"/>
      <c r="AF375" s="1186"/>
      <c r="AG375" s="1186"/>
      <c r="AH375" s="1222"/>
      <c r="AI375" s="1222"/>
      <c r="AJ375" s="1222"/>
      <c r="AK375" s="1222"/>
      <c r="AL375" s="1222"/>
      <c r="AM375" s="1222"/>
      <c r="AN375" s="1222"/>
      <c r="AO375" s="1222"/>
      <c r="AP375" s="1222"/>
      <c r="AQ375" s="1222"/>
      <c r="AR375" s="1222"/>
      <c r="AS375" s="1222"/>
      <c r="AT375" s="1222"/>
      <c r="AU375" s="1120"/>
      <c r="AV375" s="445"/>
      <c r="AW375" s="607"/>
      <c r="AX375" s="607"/>
      <c r="AY375" s="607"/>
      <c r="AZ375" s="1209"/>
      <c r="BA375" s="1209"/>
    </row>
    <row r="376" spans="2:53" s="256" customFormat="1" ht="24.95" customHeight="1">
      <c r="B376" s="445"/>
      <c r="C376" s="204"/>
      <c r="D376" s="204"/>
      <c r="E376" s="204"/>
      <c r="F376" s="368"/>
      <c r="G376" s="1134"/>
      <c r="H376" s="401"/>
      <c r="I376" s="317"/>
      <c r="N376" s="317"/>
      <c r="O376" s="1135"/>
      <c r="P376" s="1136"/>
      <c r="Q376" s="1137"/>
      <c r="R376" s="1120"/>
      <c r="S376" s="1120"/>
      <c r="T376" s="1120"/>
      <c r="U376" s="1120"/>
      <c r="V376" s="1120"/>
      <c r="W376" s="1120"/>
      <c r="Z376" s="1145"/>
      <c r="AA376" s="1120"/>
      <c r="AB376" s="1120"/>
      <c r="AC376" s="1120"/>
      <c r="AD376" s="1212"/>
      <c r="AE376" s="1212"/>
      <c r="AF376" s="1186"/>
      <c r="AG376" s="1186"/>
      <c r="AH376" s="1222"/>
      <c r="AI376" s="1222"/>
      <c r="AJ376" s="1222"/>
      <c r="AK376" s="1222"/>
      <c r="AL376" s="1222"/>
      <c r="AM376" s="1222"/>
      <c r="AN376" s="1222"/>
      <c r="AO376" s="1222"/>
      <c r="AP376" s="1222"/>
      <c r="AQ376" s="1222"/>
      <c r="AR376" s="1222"/>
      <c r="AS376" s="1222"/>
      <c r="AT376" s="1222"/>
      <c r="AU376" s="1120"/>
      <c r="AV376" s="445"/>
      <c r="AW376" s="607"/>
      <c r="AX376" s="607"/>
      <c r="AY376" s="607"/>
      <c r="AZ376" s="1209"/>
      <c r="BA376" s="1209"/>
    </row>
    <row r="377" spans="2:53" s="256" customFormat="1" ht="24.95" customHeight="1">
      <c r="B377" s="445"/>
      <c r="C377" s="204"/>
      <c r="D377" s="204"/>
      <c r="E377" s="204"/>
      <c r="F377" s="368"/>
      <c r="G377" s="1134"/>
      <c r="H377" s="401"/>
      <c r="I377" s="317"/>
      <c r="N377" s="317"/>
      <c r="O377" s="1135"/>
      <c r="P377" s="1136"/>
      <c r="Q377" s="1137"/>
      <c r="R377" s="1120"/>
      <c r="S377" s="1120"/>
      <c r="T377" s="1120"/>
      <c r="U377" s="1120"/>
      <c r="V377" s="1120"/>
      <c r="W377" s="1120"/>
      <c r="Z377" s="1145"/>
      <c r="AA377" s="1120"/>
      <c r="AB377" s="1120"/>
      <c r="AC377" s="1120"/>
      <c r="AD377" s="1212"/>
      <c r="AE377" s="1212"/>
      <c r="AF377" s="1186"/>
      <c r="AG377" s="1186"/>
      <c r="AH377" s="1222"/>
      <c r="AI377" s="1222"/>
      <c r="AJ377" s="1222"/>
      <c r="AK377" s="1222"/>
      <c r="AL377" s="1222"/>
      <c r="AM377" s="1222"/>
      <c r="AN377" s="1222"/>
      <c r="AO377" s="1222"/>
      <c r="AP377" s="1222"/>
      <c r="AQ377" s="1222"/>
      <c r="AR377" s="1222"/>
      <c r="AS377" s="1222"/>
      <c r="AT377" s="1222"/>
      <c r="AU377" s="1120"/>
      <c r="AV377" s="445"/>
      <c r="AW377" s="607"/>
      <c r="AX377" s="607"/>
      <c r="AY377" s="607"/>
      <c r="AZ377" s="1209"/>
      <c r="BA377" s="1209"/>
    </row>
    <row r="378" spans="2:53" s="256" customFormat="1" ht="24.95" customHeight="1">
      <c r="B378" s="445"/>
      <c r="C378" s="204"/>
      <c r="D378" s="204"/>
      <c r="E378" s="204"/>
      <c r="F378" s="368"/>
      <c r="G378" s="1134"/>
      <c r="H378" s="401"/>
      <c r="I378" s="317"/>
      <c r="N378" s="317"/>
      <c r="O378" s="1135"/>
      <c r="P378" s="1136"/>
      <c r="Q378" s="1137"/>
      <c r="R378" s="1120"/>
      <c r="S378" s="1120"/>
      <c r="T378" s="1120"/>
      <c r="U378" s="1120"/>
      <c r="V378" s="1120"/>
      <c r="W378" s="1120"/>
      <c r="Z378" s="1145"/>
      <c r="AA378" s="1120"/>
      <c r="AB378" s="1120"/>
      <c r="AC378" s="1120"/>
      <c r="AD378" s="1212"/>
      <c r="AE378" s="1212"/>
      <c r="AF378" s="1186"/>
      <c r="AG378" s="1186"/>
      <c r="AH378" s="1222"/>
      <c r="AI378" s="1222"/>
      <c r="AJ378" s="1222"/>
      <c r="AK378" s="1222"/>
      <c r="AL378" s="1222"/>
      <c r="AM378" s="1222"/>
      <c r="AN378" s="1222"/>
      <c r="AO378" s="1222"/>
      <c r="AP378" s="1222"/>
      <c r="AQ378" s="1222"/>
      <c r="AR378" s="1222"/>
      <c r="AS378" s="1222"/>
      <c r="AT378" s="1222"/>
      <c r="AU378" s="1120"/>
      <c r="AV378" s="445"/>
      <c r="AW378" s="607"/>
      <c r="AX378" s="607"/>
      <c r="AY378" s="607"/>
      <c r="AZ378" s="1209"/>
      <c r="BA378" s="1209"/>
    </row>
    <row r="379" spans="2:53" s="256" customFormat="1" ht="24.95" customHeight="1">
      <c r="B379" s="445"/>
      <c r="C379" s="204"/>
      <c r="D379" s="204"/>
      <c r="E379" s="204"/>
      <c r="F379" s="368"/>
      <c r="G379" s="1134"/>
      <c r="H379" s="401"/>
      <c r="I379" s="317"/>
      <c r="N379" s="317"/>
      <c r="O379" s="1135"/>
      <c r="P379" s="1136"/>
      <c r="Q379" s="1137"/>
      <c r="R379" s="1120"/>
      <c r="S379" s="1120"/>
      <c r="T379" s="1120"/>
      <c r="U379" s="1120"/>
      <c r="V379" s="1120"/>
      <c r="W379" s="1120"/>
      <c r="Z379" s="1145"/>
      <c r="AA379" s="1120"/>
      <c r="AB379" s="1120"/>
      <c r="AC379" s="1120"/>
      <c r="AD379" s="1212"/>
      <c r="AE379" s="1212"/>
      <c r="AF379" s="1186"/>
      <c r="AG379" s="1186"/>
      <c r="AH379" s="1222"/>
      <c r="AI379" s="1222"/>
      <c r="AJ379" s="1222"/>
      <c r="AK379" s="1222"/>
      <c r="AL379" s="1222"/>
      <c r="AM379" s="1222"/>
      <c r="AN379" s="1222"/>
      <c r="AO379" s="1222"/>
      <c r="AP379" s="1222"/>
      <c r="AQ379" s="1222"/>
      <c r="AR379" s="1222"/>
      <c r="AS379" s="1222"/>
      <c r="AT379" s="1222"/>
      <c r="AU379" s="1120"/>
      <c r="AV379" s="445"/>
      <c r="AW379" s="607"/>
      <c r="AX379" s="607"/>
      <c r="AY379" s="607"/>
      <c r="AZ379" s="1209"/>
      <c r="BA379" s="1209"/>
    </row>
    <row r="380" spans="2:53" s="256" customFormat="1" ht="24.95" customHeight="1">
      <c r="B380" s="445"/>
      <c r="C380" s="204"/>
      <c r="D380" s="204"/>
      <c r="E380" s="204"/>
      <c r="F380" s="368"/>
      <c r="G380" s="1134"/>
      <c r="H380" s="401"/>
      <c r="I380" s="317"/>
      <c r="N380" s="317"/>
      <c r="O380" s="1135"/>
      <c r="P380" s="1136"/>
      <c r="Q380" s="1137"/>
      <c r="R380" s="1120"/>
      <c r="S380" s="1120"/>
      <c r="T380" s="1120"/>
      <c r="U380" s="1120"/>
      <c r="V380" s="1120"/>
      <c r="W380" s="1120"/>
      <c r="Z380" s="1145"/>
      <c r="AA380" s="1120"/>
      <c r="AB380" s="1120"/>
      <c r="AC380" s="1120"/>
      <c r="AD380" s="1212"/>
      <c r="AE380" s="1212"/>
      <c r="AF380" s="1186"/>
      <c r="AG380" s="1186"/>
      <c r="AH380" s="1222"/>
      <c r="AI380" s="1222"/>
      <c r="AJ380" s="1222"/>
      <c r="AK380" s="1222"/>
      <c r="AL380" s="1222"/>
      <c r="AM380" s="1222"/>
      <c r="AN380" s="1222"/>
      <c r="AO380" s="1222"/>
      <c r="AP380" s="1222"/>
      <c r="AQ380" s="1222"/>
      <c r="AR380" s="1222"/>
      <c r="AS380" s="1222"/>
      <c r="AT380" s="1222"/>
      <c r="AU380" s="1120"/>
      <c r="AV380" s="445"/>
      <c r="AW380" s="607"/>
      <c r="AX380" s="607"/>
      <c r="AY380" s="607"/>
      <c r="AZ380" s="1209"/>
      <c r="BA380" s="1209"/>
    </row>
    <row r="381" spans="2:53" s="256" customFormat="1" ht="24.95" customHeight="1">
      <c r="B381" s="445"/>
      <c r="C381" s="204"/>
      <c r="D381" s="204"/>
      <c r="E381" s="204"/>
      <c r="F381" s="368"/>
      <c r="G381" s="1134"/>
      <c r="H381" s="401"/>
      <c r="I381" s="317"/>
      <c r="N381" s="317"/>
      <c r="O381" s="1135"/>
      <c r="P381" s="1136"/>
      <c r="Q381" s="1137"/>
      <c r="R381" s="1120"/>
      <c r="S381" s="1120"/>
      <c r="T381" s="1120"/>
      <c r="U381" s="1120"/>
      <c r="V381" s="1120"/>
      <c r="W381" s="1120"/>
      <c r="Z381" s="1145"/>
      <c r="AA381" s="1120"/>
      <c r="AB381" s="1120"/>
      <c r="AC381" s="1120"/>
      <c r="AD381" s="1212"/>
      <c r="AE381" s="1212"/>
      <c r="AF381" s="1186"/>
      <c r="AG381" s="1186"/>
      <c r="AH381" s="1222"/>
      <c r="AI381" s="1222"/>
      <c r="AJ381" s="1222"/>
      <c r="AK381" s="1222"/>
      <c r="AL381" s="1222"/>
      <c r="AM381" s="1222"/>
      <c r="AN381" s="1222"/>
      <c r="AO381" s="1222"/>
      <c r="AP381" s="1222"/>
      <c r="AQ381" s="1222"/>
      <c r="AR381" s="1222"/>
      <c r="AS381" s="1222"/>
      <c r="AT381" s="1222"/>
      <c r="AU381" s="1120"/>
      <c r="AV381" s="445"/>
      <c r="AW381" s="607"/>
      <c r="AX381" s="607"/>
      <c r="AY381" s="607"/>
      <c r="AZ381" s="1209"/>
      <c r="BA381" s="1209"/>
    </row>
    <row r="382" spans="2:53" s="256" customFormat="1" ht="24.95" customHeight="1">
      <c r="B382" s="445"/>
      <c r="C382" s="204"/>
      <c r="D382" s="204"/>
      <c r="E382" s="204"/>
      <c r="F382" s="368"/>
      <c r="G382" s="1134"/>
      <c r="H382" s="401"/>
      <c r="I382" s="317"/>
      <c r="N382" s="317"/>
      <c r="O382" s="1135"/>
      <c r="P382" s="1136"/>
      <c r="Q382" s="1137"/>
      <c r="R382" s="1120"/>
      <c r="S382" s="1120"/>
      <c r="T382" s="1120"/>
      <c r="U382" s="1120"/>
      <c r="V382" s="1120"/>
      <c r="W382" s="1120"/>
      <c r="Z382" s="1145"/>
      <c r="AA382" s="1120"/>
      <c r="AB382" s="1120"/>
      <c r="AC382" s="1120"/>
      <c r="AD382" s="1212"/>
      <c r="AE382" s="1212"/>
      <c r="AF382" s="1186"/>
      <c r="AG382" s="1186"/>
      <c r="AH382" s="1222"/>
      <c r="AI382" s="1222"/>
      <c r="AJ382" s="1222"/>
      <c r="AK382" s="1222"/>
      <c r="AL382" s="1222"/>
      <c r="AM382" s="1222"/>
      <c r="AN382" s="1222"/>
      <c r="AO382" s="1222"/>
      <c r="AP382" s="1222"/>
      <c r="AQ382" s="1222"/>
      <c r="AR382" s="1222"/>
      <c r="AS382" s="1222"/>
      <c r="AT382" s="1222"/>
      <c r="AU382" s="1120"/>
      <c r="AV382" s="445"/>
      <c r="AW382" s="607"/>
      <c r="AX382" s="607"/>
      <c r="AY382" s="607"/>
      <c r="AZ382" s="1209"/>
      <c r="BA382" s="1209"/>
    </row>
    <row r="383" spans="2:53" s="256" customFormat="1" ht="24.95" customHeight="1">
      <c r="B383" s="445"/>
      <c r="C383" s="204"/>
      <c r="D383" s="204"/>
      <c r="E383" s="204"/>
      <c r="F383" s="368"/>
      <c r="G383" s="1134"/>
      <c r="H383" s="401"/>
      <c r="I383" s="317"/>
      <c r="N383" s="317"/>
      <c r="O383" s="1135"/>
      <c r="P383" s="1136"/>
      <c r="Q383" s="1137"/>
      <c r="R383" s="1120"/>
      <c r="S383" s="1120"/>
      <c r="T383" s="1120"/>
      <c r="U383" s="1120"/>
      <c r="V383" s="1120"/>
      <c r="W383" s="1120"/>
      <c r="Z383" s="1145"/>
      <c r="AA383" s="1120"/>
      <c r="AB383" s="1120"/>
      <c r="AC383" s="1120"/>
      <c r="AD383" s="1212"/>
      <c r="AE383" s="1212"/>
      <c r="AF383" s="1186"/>
      <c r="AG383" s="1186"/>
      <c r="AH383" s="1222"/>
      <c r="AI383" s="1222"/>
      <c r="AJ383" s="1222"/>
      <c r="AK383" s="1222"/>
      <c r="AL383" s="1222"/>
      <c r="AM383" s="1222"/>
      <c r="AN383" s="1222"/>
      <c r="AO383" s="1222"/>
      <c r="AP383" s="1222"/>
      <c r="AQ383" s="1222"/>
      <c r="AR383" s="1222"/>
      <c r="AS383" s="1222"/>
      <c r="AT383" s="1222"/>
      <c r="AU383" s="1120"/>
      <c r="AV383" s="445"/>
      <c r="AW383" s="607"/>
      <c r="AX383" s="607"/>
      <c r="AY383" s="607"/>
      <c r="AZ383" s="1209"/>
      <c r="BA383" s="1209"/>
    </row>
    <row r="384" spans="2:53" s="256" customFormat="1" ht="24.95" customHeight="1">
      <c r="B384" s="445"/>
      <c r="C384" s="204"/>
      <c r="D384" s="204"/>
      <c r="E384" s="204"/>
      <c r="F384" s="368"/>
      <c r="G384" s="1134"/>
      <c r="H384" s="401"/>
      <c r="I384" s="317"/>
      <c r="N384" s="317"/>
      <c r="O384" s="1135"/>
      <c r="P384" s="1136"/>
      <c r="Q384" s="1137"/>
      <c r="R384" s="1120"/>
      <c r="S384" s="1120"/>
      <c r="T384" s="1120"/>
      <c r="U384" s="1120"/>
      <c r="V384" s="1120"/>
      <c r="W384" s="1120"/>
      <c r="Z384" s="1145"/>
      <c r="AA384" s="1120"/>
      <c r="AB384" s="1120"/>
      <c r="AC384" s="1120"/>
      <c r="AD384" s="1212"/>
      <c r="AE384" s="1212"/>
      <c r="AF384" s="1186"/>
      <c r="AG384" s="1186"/>
      <c r="AH384" s="1222"/>
      <c r="AI384" s="1222"/>
      <c r="AJ384" s="1222"/>
      <c r="AK384" s="1222"/>
      <c r="AL384" s="1222"/>
      <c r="AM384" s="1222"/>
      <c r="AN384" s="1222"/>
      <c r="AO384" s="1222"/>
      <c r="AP384" s="1222"/>
      <c r="AQ384" s="1222"/>
      <c r="AR384" s="1222"/>
      <c r="AS384" s="1222"/>
      <c r="AT384" s="1222"/>
      <c r="AU384" s="1120"/>
      <c r="AV384" s="445"/>
      <c r="AW384" s="607"/>
      <c r="AX384" s="607"/>
      <c r="AY384" s="607"/>
      <c r="AZ384" s="1209"/>
      <c r="BA384" s="1209"/>
    </row>
    <row r="385" spans="2:53" s="256" customFormat="1" ht="24.95" customHeight="1">
      <c r="B385" s="445"/>
      <c r="C385" s="204"/>
      <c r="D385" s="204"/>
      <c r="E385" s="204"/>
      <c r="F385" s="368"/>
      <c r="G385" s="1134"/>
      <c r="H385" s="401"/>
      <c r="I385" s="317"/>
      <c r="N385" s="317"/>
      <c r="O385" s="1135"/>
      <c r="P385" s="1136"/>
      <c r="Q385" s="1137"/>
      <c r="R385" s="1120"/>
      <c r="S385" s="1120"/>
      <c r="T385" s="1120"/>
      <c r="U385" s="1120"/>
      <c r="V385" s="1120"/>
      <c r="W385" s="1120"/>
      <c r="Z385" s="1145"/>
      <c r="AA385" s="1120"/>
      <c r="AB385" s="1120"/>
      <c r="AC385" s="1120"/>
      <c r="AD385" s="1212"/>
      <c r="AE385" s="1212"/>
      <c r="AF385" s="1186"/>
      <c r="AG385" s="1186"/>
      <c r="AH385" s="1222"/>
      <c r="AI385" s="1222"/>
      <c r="AJ385" s="1222"/>
      <c r="AK385" s="1222"/>
      <c r="AL385" s="1222"/>
      <c r="AM385" s="1222"/>
      <c r="AN385" s="1222"/>
      <c r="AO385" s="1222"/>
      <c r="AP385" s="1222"/>
      <c r="AQ385" s="1222"/>
      <c r="AR385" s="1222"/>
      <c r="AS385" s="1222"/>
      <c r="AT385" s="1222"/>
      <c r="AU385" s="1120"/>
      <c r="AV385" s="445"/>
      <c r="AW385" s="607"/>
      <c r="AX385" s="607"/>
      <c r="AY385" s="607"/>
      <c r="AZ385" s="1209"/>
      <c r="BA385" s="1209"/>
    </row>
    <row r="386" spans="2:53" s="256" customFormat="1" ht="24.95" customHeight="1">
      <c r="B386" s="445"/>
      <c r="C386" s="204"/>
      <c r="D386" s="204"/>
      <c r="E386" s="204"/>
      <c r="F386" s="368"/>
      <c r="G386" s="1134"/>
      <c r="H386" s="401"/>
      <c r="I386" s="317"/>
      <c r="N386" s="317"/>
      <c r="O386" s="1135"/>
      <c r="P386" s="1136"/>
      <c r="Q386" s="1137"/>
      <c r="R386" s="1120"/>
      <c r="S386" s="1120"/>
      <c r="T386" s="1120"/>
      <c r="U386" s="1120"/>
      <c r="V386" s="1120"/>
      <c r="W386" s="1120"/>
      <c r="Z386" s="1145"/>
      <c r="AA386" s="1120"/>
      <c r="AB386" s="1120"/>
      <c r="AC386" s="1120"/>
      <c r="AD386" s="1212"/>
      <c r="AE386" s="1212"/>
      <c r="AF386" s="1186"/>
      <c r="AG386" s="1186"/>
      <c r="AH386" s="1222"/>
      <c r="AI386" s="1222"/>
      <c r="AJ386" s="1222"/>
      <c r="AK386" s="1222"/>
      <c r="AL386" s="1222"/>
      <c r="AM386" s="1222"/>
      <c r="AN386" s="1222"/>
      <c r="AO386" s="1222"/>
      <c r="AP386" s="1222"/>
      <c r="AQ386" s="1222"/>
      <c r="AR386" s="1222"/>
      <c r="AS386" s="1222"/>
      <c r="AT386" s="1222"/>
      <c r="AU386" s="1120"/>
      <c r="AV386" s="445"/>
      <c r="AW386" s="607"/>
      <c r="AX386" s="607"/>
      <c r="AY386" s="607"/>
      <c r="AZ386" s="1209"/>
      <c r="BA386" s="1209"/>
    </row>
    <row r="387" spans="2:53" s="256" customFormat="1" ht="24.95" customHeight="1">
      <c r="B387" s="445"/>
      <c r="C387" s="204"/>
      <c r="D387" s="204"/>
      <c r="E387" s="204"/>
      <c r="F387" s="368"/>
      <c r="G387" s="1134"/>
      <c r="H387" s="401"/>
      <c r="I387" s="317"/>
      <c r="N387" s="317"/>
      <c r="O387" s="1135"/>
      <c r="P387" s="1136"/>
      <c r="Q387" s="1137"/>
      <c r="R387" s="1120"/>
      <c r="S387" s="1120"/>
      <c r="T387" s="1120"/>
      <c r="U387" s="1120"/>
      <c r="V387" s="1120"/>
      <c r="W387" s="1120"/>
      <c r="Z387" s="1145"/>
      <c r="AA387" s="1120"/>
      <c r="AB387" s="1120"/>
      <c r="AC387" s="1120"/>
      <c r="AD387" s="1212"/>
      <c r="AE387" s="1212"/>
      <c r="AF387" s="1186"/>
      <c r="AG387" s="1186"/>
      <c r="AH387" s="1222"/>
      <c r="AI387" s="1222"/>
      <c r="AJ387" s="1222"/>
      <c r="AK387" s="1222"/>
      <c r="AL387" s="1222"/>
      <c r="AM387" s="1222"/>
      <c r="AN387" s="1222"/>
      <c r="AO387" s="1222"/>
      <c r="AP387" s="1222"/>
      <c r="AQ387" s="1222"/>
      <c r="AR387" s="1222"/>
      <c r="AS387" s="1222"/>
      <c r="AT387" s="1222"/>
      <c r="AU387" s="1120"/>
      <c r="AV387" s="445"/>
      <c r="AW387" s="607"/>
      <c r="AX387" s="607"/>
      <c r="AY387" s="607"/>
      <c r="AZ387" s="1209"/>
      <c r="BA387" s="1209"/>
    </row>
    <row r="388" spans="2:53" s="256" customFormat="1" ht="24.95" customHeight="1">
      <c r="B388" s="445"/>
      <c r="C388" s="204"/>
      <c r="D388" s="204"/>
      <c r="E388" s="204"/>
      <c r="F388" s="368"/>
      <c r="G388" s="1134"/>
      <c r="H388" s="401"/>
      <c r="I388" s="317"/>
      <c r="N388" s="317"/>
      <c r="O388" s="1135"/>
      <c r="P388" s="1136"/>
      <c r="Q388" s="1137"/>
      <c r="R388" s="1120"/>
      <c r="S388" s="1120"/>
      <c r="T388" s="1120"/>
      <c r="U388" s="1120"/>
      <c r="V388" s="1120"/>
      <c r="W388" s="1120"/>
      <c r="Z388" s="1145"/>
      <c r="AA388" s="1120"/>
      <c r="AB388" s="1120"/>
      <c r="AC388" s="1120"/>
      <c r="AD388" s="1212"/>
      <c r="AE388" s="1212"/>
      <c r="AF388" s="1186"/>
      <c r="AG388" s="1186"/>
      <c r="AH388" s="1222"/>
      <c r="AI388" s="1222"/>
      <c r="AJ388" s="1222"/>
      <c r="AK388" s="1222"/>
      <c r="AL388" s="1222"/>
      <c r="AM388" s="1222"/>
      <c r="AN388" s="1222"/>
      <c r="AO388" s="1222"/>
      <c r="AP388" s="1222"/>
      <c r="AQ388" s="1222"/>
      <c r="AR388" s="1222"/>
      <c r="AS388" s="1222"/>
      <c r="AT388" s="1222"/>
      <c r="AU388" s="1120"/>
      <c r="AV388" s="445"/>
      <c r="AW388" s="607"/>
      <c r="AX388" s="607"/>
      <c r="AY388" s="607"/>
      <c r="AZ388" s="1209"/>
      <c r="BA388" s="1209"/>
    </row>
    <row r="389" spans="2:53" s="256" customFormat="1" ht="24.95" customHeight="1">
      <c r="B389" s="445"/>
      <c r="C389" s="204"/>
      <c r="D389" s="204"/>
      <c r="E389" s="204"/>
      <c r="F389" s="368"/>
      <c r="G389" s="1134"/>
      <c r="H389" s="401"/>
      <c r="I389" s="317"/>
      <c r="N389" s="317"/>
      <c r="O389" s="1135"/>
      <c r="P389" s="1136"/>
      <c r="Q389" s="1137"/>
      <c r="R389" s="1120"/>
      <c r="S389" s="1120"/>
      <c r="T389" s="1120"/>
      <c r="U389" s="1120"/>
      <c r="V389" s="1120"/>
      <c r="W389" s="1120"/>
      <c r="Z389" s="1145"/>
      <c r="AA389" s="1120"/>
      <c r="AB389" s="1120"/>
      <c r="AC389" s="1120"/>
      <c r="AD389" s="1212"/>
      <c r="AE389" s="1212"/>
      <c r="AF389" s="1186"/>
      <c r="AG389" s="1186"/>
      <c r="AH389" s="1222"/>
      <c r="AI389" s="1222"/>
      <c r="AJ389" s="1222"/>
      <c r="AK389" s="1222"/>
      <c r="AL389" s="1222"/>
      <c r="AM389" s="1222"/>
      <c r="AN389" s="1222"/>
      <c r="AO389" s="1222"/>
      <c r="AP389" s="1222"/>
      <c r="AQ389" s="1222"/>
      <c r="AR389" s="1222"/>
      <c r="AS389" s="1222"/>
      <c r="AT389" s="1222"/>
      <c r="AU389" s="1120"/>
      <c r="AV389" s="445"/>
      <c r="AW389" s="607"/>
      <c r="AX389" s="607"/>
      <c r="AY389" s="607"/>
      <c r="AZ389" s="1209"/>
      <c r="BA389" s="1209"/>
    </row>
    <row r="390" spans="2:53" s="256" customFormat="1" ht="24.95" customHeight="1">
      <c r="B390" s="445"/>
      <c r="C390" s="204"/>
      <c r="D390" s="204"/>
      <c r="E390" s="204"/>
      <c r="F390" s="368"/>
      <c r="G390" s="1134"/>
      <c r="H390" s="401"/>
      <c r="I390" s="317"/>
      <c r="N390" s="317"/>
      <c r="O390" s="1135"/>
      <c r="P390" s="1136"/>
      <c r="Q390" s="1137"/>
      <c r="R390" s="1120"/>
      <c r="S390" s="1120"/>
      <c r="T390" s="1120"/>
      <c r="U390" s="1120"/>
      <c r="V390" s="1120"/>
      <c r="W390" s="1120"/>
      <c r="Z390" s="1145"/>
      <c r="AA390" s="1120"/>
      <c r="AB390" s="1120"/>
      <c r="AC390" s="1120"/>
      <c r="AD390" s="1212"/>
      <c r="AE390" s="1212"/>
      <c r="AF390" s="1186"/>
      <c r="AG390" s="1186"/>
      <c r="AH390" s="1222"/>
      <c r="AI390" s="1222"/>
      <c r="AJ390" s="1222"/>
      <c r="AK390" s="1222"/>
      <c r="AL390" s="1222"/>
      <c r="AM390" s="1222"/>
      <c r="AN390" s="1222"/>
      <c r="AO390" s="1222"/>
      <c r="AP390" s="1222"/>
      <c r="AQ390" s="1222"/>
      <c r="AR390" s="1222"/>
      <c r="AS390" s="1222"/>
      <c r="AT390" s="1222"/>
      <c r="AU390" s="1120"/>
      <c r="AV390" s="445"/>
      <c r="AW390" s="607"/>
      <c r="AX390" s="607"/>
      <c r="AY390" s="607"/>
      <c r="AZ390" s="1209"/>
      <c r="BA390" s="1209"/>
    </row>
    <row r="391" spans="2:53" s="256" customFormat="1" ht="24.95" customHeight="1">
      <c r="B391" s="445"/>
      <c r="C391" s="204"/>
      <c r="D391" s="204"/>
      <c r="E391" s="204"/>
      <c r="F391" s="368"/>
      <c r="G391" s="1134"/>
      <c r="H391" s="401"/>
      <c r="I391" s="317"/>
      <c r="N391" s="317"/>
      <c r="O391" s="1135"/>
      <c r="P391" s="1136"/>
      <c r="Q391" s="1137"/>
      <c r="R391" s="1120"/>
      <c r="S391" s="1120"/>
      <c r="T391" s="1120"/>
      <c r="U391" s="1120"/>
      <c r="V391" s="1120"/>
      <c r="W391" s="1120"/>
      <c r="Z391" s="1145"/>
      <c r="AA391" s="1120"/>
      <c r="AB391" s="1120"/>
      <c r="AC391" s="1120"/>
      <c r="AD391" s="1212"/>
      <c r="AE391" s="1212"/>
      <c r="AF391" s="1186"/>
      <c r="AG391" s="1186"/>
      <c r="AH391" s="1222"/>
      <c r="AI391" s="1222"/>
      <c r="AJ391" s="1222"/>
      <c r="AK391" s="1222"/>
      <c r="AL391" s="1222"/>
      <c r="AM391" s="1222"/>
      <c r="AN391" s="1222"/>
      <c r="AO391" s="1222"/>
      <c r="AP391" s="1222"/>
      <c r="AQ391" s="1222"/>
      <c r="AR391" s="1222"/>
      <c r="AS391" s="1222"/>
      <c r="AT391" s="1222"/>
      <c r="AU391" s="1120"/>
      <c r="AV391" s="445"/>
      <c r="AW391" s="607"/>
      <c r="AX391" s="607"/>
      <c r="AY391" s="607"/>
      <c r="AZ391" s="1209"/>
      <c r="BA391" s="1209"/>
    </row>
    <row r="392" spans="2:53" s="256" customFormat="1" ht="24.95" customHeight="1">
      <c r="B392" s="445"/>
      <c r="C392" s="204"/>
      <c r="D392" s="204"/>
      <c r="E392" s="204"/>
      <c r="F392" s="368"/>
      <c r="G392" s="1134"/>
      <c r="H392" s="401"/>
      <c r="I392" s="317"/>
      <c r="N392" s="317"/>
      <c r="O392" s="1135"/>
      <c r="P392" s="1136"/>
      <c r="Q392" s="1137"/>
      <c r="R392" s="1120"/>
      <c r="S392" s="1120"/>
      <c r="T392" s="1120"/>
      <c r="U392" s="1120"/>
      <c r="V392" s="1120"/>
      <c r="W392" s="1120"/>
      <c r="Z392" s="1145"/>
      <c r="AA392" s="1120"/>
      <c r="AB392" s="1120"/>
      <c r="AC392" s="1120"/>
      <c r="AD392" s="1212"/>
      <c r="AE392" s="1212"/>
      <c r="AF392" s="1186"/>
      <c r="AG392" s="1186"/>
      <c r="AH392" s="1222"/>
      <c r="AI392" s="1222"/>
      <c r="AJ392" s="1222"/>
      <c r="AK392" s="1222"/>
      <c r="AL392" s="1222"/>
      <c r="AM392" s="1222"/>
      <c r="AN392" s="1222"/>
      <c r="AO392" s="1222"/>
      <c r="AP392" s="1222"/>
      <c r="AQ392" s="1222"/>
      <c r="AR392" s="1222"/>
      <c r="AS392" s="1222"/>
      <c r="AT392" s="1222"/>
      <c r="AU392" s="1120"/>
      <c r="AV392" s="445"/>
      <c r="AW392" s="607"/>
      <c r="AX392" s="607"/>
      <c r="AY392" s="607"/>
      <c r="AZ392" s="1209"/>
      <c r="BA392" s="1209"/>
    </row>
    <row r="393" spans="2:53" s="256" customFormat="1" ht="24.95" customHeight="1">
      <c r="B393" s="445"/>
      <c r="C393" s="204"/>
      <c r="D393" s="204"/>
      <c r="E393" s="204"/>
      <c r="F393" s="368"/>
      <c r="G393" s="1134"/>
      <c r="H393" s="401"/>
      <c r="I393" s="317"/>
      <c r="N393" s="317"/>
      <c r="O393" s="1135"/>
      <c r="P393" s="1136"/>
      <c r="Q393" s="1137"/>
      <c r="R393" s="1120"/>
      <c r="S393" s="1120"/>
      <c r="T393" s="1120"/>
      <c r="U393" s="1120"/>
      <c r="V393" s="1120"/>
      <c r="W393" s="1120"/>
      <c r="Z393" s="1145"/>
      <c r="AA393" s="1120"/>
      <c r="AB393" s="1120"/>
      <c r="AC393" s="1120"/>
      <c r="AD393" s="1212"/>
      <c r="AE393" s="1212"/>
      <c r="AF393" s="1186"/>
      <c r="AG393" s="1186"/>
      <c r="AH393" s="1222"/>
      <c r="AI393" s="1222"/>
      <c r="AJ393" s="1222"/>
      <c r="AK393" s="1222"/>
      <c r="AL393" s="1222"/>
      <c r="AM393" s="1222"/>
      <c r="AN393" s="1222"/>
      <c r="AO393" s="1222"/>
      <c r="AP393" s="1222"/>
      <c r="AQ393" s="1222"/>
      <c r="AR393" s="1222"/>
      <c r="AS393" s="1222"/>
      <c r="AT393" s="1222"/>
      <c r="AU393" s="1120"/>
      <c r="AV393" s="445"/>
      <c r="AW393" s="607"/>
      <c r="AX393" s="607"/>
      <c r="AY393" s="607"/>
      <c r="AZ393" s="1209"/>
      <c r="BA393" s="1209"/>
    </row>
    <row r="394" spans="2:53" s="256" customFormat="1" ht="24.95" customHeight="1">
      <c r="B394" s="445"/>
      <c r="C394" s="204"/>
      <c r="D394" s="204"/>
      <c r="E394" s="204"/>
      <c r="F394" s="368"/>
      <c r="G394" s="1134"/>
      <c r="H394" s="401"/>
      <c r="I394" s="317"/>
      <c r="N394" s="317"/>
      <c r="O394" s="1135"/>
      <c r="P394" s="1136"/>
      <c r="Q394" s="1137"/>
      <c r="R394" s="1120"/>
      <c r="S394" s="1120"/>
      <c r="T394" s="1120"/>
      <c r="U394" s="1120"/>
      <c r="V394" s="1120"/>
      <c r="W394" s="1120"/>
      <c r="Z394" s="1145"/>
      <c r="AA394" s="1120"/>
      <c r="AB394" s="1120"/>
      <c r="AC394" s="1120"/>
      <c r="AD394" s="1212"/>
      <c r="AE394" s="1212"/>
      <c r="AF394" s="1186"/>
      <c r="AG394" s="1186"/>
      <c r="AH394" s="1222"/>
      <c r="AI394" s="1222"/>
      <c r="AJ394" s="1222"/>
      <c r="AK394" s="1222"/>
      <c r="AL394" s="1222"/>
      <c r="AM394" s="1222"/>
      <c r="AN394" s="1222"/>
      <c r="AO394" s="1222"/>
      <c r="AP394" s="1222"/>
      <c r="AQ394" s="1222"/>
      <c r="AR394" s="1222"/>
      <c r="AS394" s="1222"/>
      <c r="AT394" s="1222"/>
      <c r="AU394" s="1120"/>
      <c r="AV394" s="445"/>
      <c r="AW394" s="607"/>
      <c r="AX394" s="607"/>
      <c r="AY394" s="607"/>
      <c r="AZ394" s="1209"/>
      <c r="BA394" s="1209"/>
    </row>
    <row r="395" spans="2:53" s="256" customFormat="1" ht="24.95" customHeight="1">
      <c r="B395" s="445"/>
      <c r="C395" s="204"/>
      <c r="D395" s="204"/>
      <c r="E395" s="204"/>
      <c r="F395" s="368"/>
      <c r="G395" s="1134"/>
      <c r="H395" s="401"/>
      <c r="I395" s="317"/>
      <c r="N395" s="317"/>
      <c r="O395" s="1135"/>
      <c r="P395" s="1136"/>
      <c r="Q395" s="1137"/>
      <c r="R395" s="1120"/>
      <c r="S395" s="1120"/>
      <c r="T395" s="1120"/>
      <c r="U395" s="1120"/>
      <c r="V395" s="1120"/>
      <c r="W395" s="1120"/>
      <c r="Z395" s="1145"/>
      <c r="AA395" s="1120"/>
      <c r="AB395" s="1120"/>
      <c r="AC395" s="1120"/>
      <c r="AD395" s="1212"/>
      <c r="AE395" s="1212"/>
      <c r="AF395" s="1186"/>
      <c r="AG395" s="1186"/>
      <c r="AH395" s="1222"/>
      <c r="AI395" s="1222"/>
      <c r="AJ395" s="1222"/>
      <c r="AK395" s="1222"/>
      <c r="AL395" s="1222"/>
      <c r="AM395" s="1222"/>
      <c r="AN395" s="1222"/>
      <c r="AO395" s="1222"/>
      <c r="AP395" s="1222"/>
      <c r="AQ395" s="1222"/>
      <c r="AR395" s="1222"/>
      <c r="AS395" s="1222"/>
      <c r="AT395" s="1222"/>
      <c r="AU395" s="1120"/>
      <c r="AV395" s="445"/>
      <c r="AW395" s="607"/>
      <c r="AX395" s="607"/>
      <c r="AY395" s="607"/>
      <c r="AZ395" s="1209"/>
      <c r="BA395" s="1209"/>
    </row>
    <row r="396" spans="2:53" s="256" customFormat="1" ht="24.95" customHeight="1">
      <c r="B396" s="445"/>
      <c r="C396" s="204"/>
      <c r="D396" s="204"/>
      <c r="E396" s="204"/>
      <c r="F396" s="368"/>
      <c r="G396" s="1134"/>
      <c r="H396" s="401"/>
      <c r="I396" s="317"/>
      <c r="N396" s="317"/>
      <c r="O396" s="1135"/>
      <c r="P396" s="1136"/>
      <c r="Q396" s="1137"/>
      <c r="R396" s="1120"/>
      <c r="S396" s="1120"/>
      <c r="T396" s="1120"/>
      <c r="U396" s="1120"/>
      <c r="V396" s="1120"/>
      <c r="W396" s="1120"/>
      <c r="Z396" s="1145"/>
      <c r="AA396" s="1120"/>
      <c r="AB396" s="1120"/>
      <c r="AC396" s="1120"/>
      <c r="AD396" s="1212"/>
      <c r="AE396" s="1212"/>
      <c r="AF396" s="1186"/>
      <c r="AG396" s="1186"/>
      <c r="AH396" s="1222"/>
      <c r="AI396" s="1222"/>
      <c r="AJ396" s="1222"/>
      <c r="AK396" s="1222"/>
      <c r="AL396" s="1222"/>
      <c r="AM396" s="1222"/>
      <c r="AN396" s="1222"/>
      <c r="AO396" s="1222"/>
      <c r="AP396" s="1222"/>
      <c r="AQ396" s="1222"/>
      <c r="AR396" s="1222"/>
      <c r="AS396" s="1222"/>
      <c r="AT396" s="1222"/>
      <c r="AU396" s="1120"/>
      <c r="AV396" s="445"/>
      <c r="AW396" s="607"/>
      <c r="AX396" s="607"/>
      <c r="AY396" s="607"/>
      <c r="AZ396" s="1209"/>
      <c r="BA396" s="1209"/>
    </row>
    <row r="397" spans="2:53" s="256" customFormat="1" ht="24.95" customHeight="1">
      <c r="B397" s="445"/>
      <c r="C397" s="204"/>
      <c r="D397" s="204"/>
      <c r="E397" s="204"/>
      <c r="F397" s="368"/>
      <c r="G397" s="1134"/>
      <c r="H397" s="401"/>
      <c r="I397" s="317"/>
      <c r="N397" s="317"/>
      <c r="O397" s="1135"/>
      <c r="P397" s="1136"/>
      <c r="Q397" s="1137"/>
      <c r="R397" s="1120"/>
      <c r="S397" s="1120"/>
      <c r="T397" s="1120"/>
      <c r="U397" s="1120"/>
      <c r="V397" s="1120"/>
      <c r="W397" s="1120"/>
      <c r="Z397" s="1145"/>
      <c r="AA397" s="1120"/>
      <c r="AB397" s="1120"/>
      <c r="AC397" s="1120"/>
      <c r="AD397" s="1212"/>
      <c r="AE397" s="1212"/>
      <c r="AF397" s="1186"/>
      <c r="AG397" s="1186"/>
      <c r="AH397" s="1222"/>
      <c r="AI397" s="1222"/>
      <c r="AJ397" s="1222"/>
      <c r="AK397" s="1222"/>
      <c r="AL397" s="1222"/>
      <c r="AM397" s="1222"/>
      <c r="AN397" s="1222"/>
      <c r="AO397" s="1222"/>
      <c r="AP397" s="1222"/>
      <c r="AQ397" s="1222"/>
      <c r="AR397" s="1222"/>
      <c r="AS397" s="1222"/>
      <c r="AT397" s="1222"/>
      <c r="AU397" s="1120"/>
      <c r="AV397" s="445"/>
      <c r="AW397" s="607"/>
      <c r="AX397" s="607"/>
      <c r="AY397" s="607"/>
      <c r="AZ397" s="1209"/>
      <c r="BA397" s="1209"/>
    </row>
    <row r="398" spans="2:53" s="256" customFormat="1" ht="24.95" customHeight="1">
      <c r="B398" s="445"/>
      <c r="C398" s="204"/>
      <c r="D398" s="204"/>
      <c r="E398" s="204"/>
      <c r="F398" s="368"/>
      <c r="G398" s="1134"/>
      <c r="H398" s="401"/>
      <c r="I398" s="317"/>
      <c r="N398" s="317"/>
      <c r="O398" s="1135"/>
      <c r="P398" s="1136"/>
      <c r="Q398" s="1137"/>
      <c r="R398" s="1120"/>
      <c r="S398" s="1120"/>
      <c r="T398" s="1120"/>
      <c r="U398" s="1120"/>
      <c r="V398" s="1120"/>
      <c r="W398" s="1120"/>
      <c r="Z398" s="1145"/>
      <c r="AA398" s="1120"/>
      <c r="AB398" s="1120"/>
      <c r="AC398" s="1120"/>
      <c r="AD398" s="1212"/>
      <c r="AE398" s="1212"/>
      <c r="AF398" s="1186"/>
      <c r="AG398" s="1186"/>
      <c r="AH398" s="1222"/>
      <c r="AI398" s="1222"/>
      <c r="AJ398" s="1222"/>
      <c r="AK398" s="1222"/>
      <c r="AL398" s="1222"/>
      <c r="AM398" s="1222"/>
      <c r="AN398" s="1222"/>
      <c r="AO398" s="1222"/>
      <c r="AP398" s="1222"/>
      <c r="AQ398" s="1222"/>
      <c r="AR398" s="1222"/>
      <c r="AS398" s="1222"/>
      <c r="AT398" s="1222"/>
      <c r="AU398" s="1120"/>
      <c r="AV398" s="445"/>
      <c r="AW398" s="607"/>
      <c r="AX398" s="607"/>
      <c r="AY398" s="607"/>
      <c r="AZ398" s="1209"/>
      <c r="BA398" s="1209"/>
    </row>
    <row r="399" spans="2:53" s="256" customFormat="1" ht="24.95" customHeight="1">
      <c r="B399" s="445"/>
      <c r="C399" s="204"/>
      <c r="D399" s="204"/>
      <c r="E399" s="204"/>
      <c r="F399" s="368"/>
      <c r="G399" s="1134"/>
      <c r="H399" s="401"/>
      <c r="I399" s="317"/>
      <c r="N399" s="317"/>
      <c r="O399" s="1135"/>
      <c r="P399" s="1136"/>
      <c r="Q399" s="1137"/>
      <c r="R399" s="1120"/>
      <c r="S399" s="1120"/>
      <c r="T399" s="1120"/>
      <c r="U399" s="1120"/>
      <c r="V399" s="1120"/>
      <c r="W399" s="1120"/>
      <c r="Z399" s="1145"/>
      <c r="AA399" s="1120"/>
      <c r="AB399" s="1120"/>
      <c r="AC399" s="1120"/>
      <c r="AD399" s="1212"/>
      <c r="AE399" s="1212"/>
      <c r="AF399" s="1186"/>
      <c r="AG399" s="1186"/>
      <c r="AH399" s="1222"/>
      <c r="AI399" s="1222"/>
      <c r="AJ399" s="1222"/>
      <c r="AK399" s="1222"/>
      <c r="AL399" s="1222"/>
      <c r="AM399" s="1222"/>
      <c r="AN399" s="1222"/>
      <c r="AO399" s="1222"/>
      <c r="AP399" s="1222"/>
      <c r="AQ399" s="1222"/>
      <c r="AR399" s="1222"/>
      <c r="AS399" s="1222"/>
      <c r="AT399" s="1222"/>
      <c r="AU399" s="1120"/>
      <c r="AV399" s="445"/>
      <c r="AW399" s="607"/>
      <c r="AX399" s="607"/>
      <c r="AY399" s="607"/>
      <c r="AZ399" s="1209"/>
      <c r="BA399" s="1209"/>
    </row>
    <row r="400" spans="2:53" s="256" customFormat="1" ht="24.95" customHeight="1">
      <c r="B400" s="445"/>
      <c r="C400" s="204"/>
      <c r="D400" s="204"/>
      <c r="E400" s="204"/>
      <c r="F400" s="368"/>
      <c r="G400" s="1134"/>
      <c r="H400" s="401"/>
      <c r="I400" s="317"/>
      <c r="N400" s="317"/>
      <c r="O400" s="1135"/>
      <c r="P400" s="1136"/>
      <c r="Q400" s="1137"/>
      <c r="R400" s="1120"/>
      <c r="S400" s="1120"/>
      <c r="T400" s="1120"/>
      <c r="U400" s="1120"/>
      <c r="V400" s="1120"/>
      <c r="W400" s="1120"/>
      <c r="Z400" s="1145"/>
      <c r="AA400" s="1120"/>
      <c r="AB400" s="1120"/>
      <c r="AC400" s="1120"/>
      <c r="AD400" s="1212"/>
      <c r="AE400" s="1212"/>
      <c r="AF400" s="1186"/>
      <c r="AG400" s="1186"/>
      <c r="AH400" s="1222"/>
      <c r="AI400" s="1222"/>
      <c r="AJ400" s="1222"/>
      <c r="AK400" s="1222"/>
      <c r="AL400" s="1222"/>
      <c r="AM400" s="1222"/>
      <c r="AN400" s="1222"/>
      <c r="AO400" s="1222"/>
      <c r="AP400" s="1222"/>
      <c r="AQ400" s="1222"/>
      <c r="AR400" s="1222"/>
      <c r="AS400" s="1222"/>
      <c r="AT400" s="1222"/>
      <c r="AU400" s="1120"/>
      <c r="AV400" s="445"/>
      <c r="AW400" s="607"/>
      <c r="AX400" s="607"/>
      <c r="AY400" s="607"/>
      <c r="AZ400" s="1209"/>
      <c r="BA400" s="1209"/>
    </row>
    <row r="401" spans="2:53" s="256" customFormat="1" ht="24.95" customHeight="1">
      <c r="B401" s="445"/>
      <c r="C401" s="204"/>
      <c r="D401" s="204"/>
      <c r="E401" s="204"/>
      <c r="F401" s="368"/>
      <c r="G401" s="1134"/>
      <c r="H401" s="401"/>
      <c r="I401" s="317"/>
      <c r="N401" s="317"/>
      <c r="O401" s="1135"/>
      <c r="P401" s="1136"/>
      <c r="Q401" s="1137"/>
      <c r="R401" s="1120"/>
      <c r="S401" s="1120"/>
      <c r="T401" s="1120"/>
      <c r="U401" s="1120"/>
      <c r="V401" s="1120"/>
      <c r="W401" s="1120"/>
      <c r="Z401" s="1145"/>
      <c r="AA401" s="1120"/>
      <c r="AB401" s="1120"/>
      <c r="AC401" s="1120"/>
      <c r="AD401" s="1212"/>
      <c r="AE401" s="1212"/>
      <c r="AF401" s="1186"/>
      <c r="AG401" s="1186"/>
      <c r="AH401" s="1222"/>
      <c r="AI401" s="1222"/>
      <c r="AJ401" s="1222"/>
      <c r="AK401" s="1222"/>
      <c r="AL401" s="1222"/>
      <c r="AM401" s="1222"/>
      <c r="AN401" s="1222"/>
      <c r="AO401" s="1222"/>
      <c r="AP401" s="1222"/>
      <c r="AQ401" s="1222"/>
      <c r="AR401" s="1222"/>
      <c r="AS401" s="1222"/>
      <c r="AT401" s="1222"/>
      <c r="AU401" s="1120"/>
      <c r="AV401" s="445"/>
      <c r="AW401" s="607"/>
      <c r="AX401" s="607"/>
      <c r="AY401" s="607"/>
      <c r="AZ401" s="1209"/>
      <c r="BA401" s="1209"/>
    </row>
    <row r="402" spans="2:53" s="256" customFormat="1" ht="24.95" customHeight="1">
      <c r="B402" s="445"/>
      <c r="C402" s="204"/>
      <c r="D402" s="204"/>
      <c r="E402" s="204"/>
      <c r="F402" s="368"/>
      <c r="G402" s="1134"/>
      <c r="H402" s="401"/>
      <c r="I402" s="317"/>
      <c r="N402" s="317"/>
      <c r="O402" s="1135"/>
      <c r="P402" s="1136"/>
      <c r="Q402" s="1137"/>
      <c r="R402" s="1120"/>
      <c r="S402" s="1120"/>
      <c r="T402" s="1120"/>
      <c r="U402" s="1120"/>
      <c r="V402" s="1120"/>
      <c r="W402" s="1120"/>
      <c r="Z402" s="1145"/>
      <c r="AA402" s="1120"/>
      <c r="AB402" s="1120"/>
      <c r="AC402" s="1120"/>
      <c r="AD402" s="1212"/>
      <c r="AE402" s="1212"/>
      <c r="AF402" s="1186"/>
      <c r="AG402" s="1186"/>
      <c r="AH402" s="1222"/>
      <c r="AI402" s="1222"/>
      <c r="AJ402" s="1222"/>
      <c r="AK402" s="1222"/>
      <c r="AL402" s="1222"/>
      <c r="AM402" s="1222"/>
      <c r="AN402" s="1222"/>
      <c r="AO402" s="1222"/>
      <c r="AP402" s="1222"/>
      <c r="AQ402" s="1222"/>
      <c r="AR402" s="1222"/>
      <c r="AS402" s="1222"/>
      <c r="AT402" s="1222"/>
      <c r="AU402" s="1120"/>
      <c r="AV402" s="445"/>
      <c r="AW402" s="607"/>
      <c r="AX402" s="607"/>
      <c r="AY402" s="607"/>
      <c r="AZ402" s="1209"/>
      <c r="BA402" s="1209"/>
    </row>
    <row r="403" spans="2:53" s="256" customFormat="1" ht="24.95" customHeight="1">
      <c r="B403" s="445"/>
      <c r="C403" s="204"/>
      <c r="D403" s="204"/>
      <c r="E403" s="204"/>
      <c r="F403" s="368"/>
      <c r="G403" s="1134"/>
      <c r="H403" s="401"/>
      <c r="I403" s="317"/>
      <c r="N403" s="317"/>
      <c r="O403" s="1135"/>
      <c r="P403" s="1136"/>
      <c r="Q403" s="1137"/>
      <c r="R403" s="1120"/>
      <c r="S403" s="1120"/>
      <c r="T403" s="1120"/>
      <c r="U403" s="1120"/>
      <c r="V403" s="1120"/>
      <c r="W403" s="1120"/>
      <c r="Z403" s="1145"/>
      <c r="AA403" s="1120"/>
      <c r="AB403" s="1120"/>
      <c r="AC403" s="1120"/>
      <c r="AD403" s="1212"/>
      <c r="AE403" s="1212"/>
      <c r="AF403" s="1186"/>
      <c r="AG403" s="1186"/>
      <c r="AH403" s="1222"/>
      <c r="AI403" s="1222"/>
      <c r="AJ403" s="1222"/>
      <c r="AK403" s="1222"/>
      <c r="AL403" s="1222"/>
      <c r="AM403" s="1222"/>
      <c r="AN403" s="1222"/>
      <c r="AO403" s="1222"/>
      <c r="AP403" s="1222"/>
      <c r="AQ403" s="1222"/>
      <c r="AR403" s="1222"/>
      <c r="AS403" s="1222"/>
      <c r="AT403" s="1222"/>
      <c r="AU403" s="1120"/>
      <c r="AV403" s="445"/>
      <c r="AW403" s="607"/>
      <c r="AX403" s="607"/>
      <c r="AY403" s="607"/>
      <c r="AZ403" s="1209"/>
      <c r="BA403" s="1209"/>
    </row>
    <row r="404" spans="2:53" s="256" customFormat="1" ht="24.95" customHeight="1">
      <c r="B404" s="445"/>
      <c r="C404" s="204"/>
      <c r="D404" s="204"/>
      <c r="E404" s="204"/>
      <c r="F404" s="368"/>
      <c r="G404" s="1134"/>
      <c r="H404" s="401"/>
      <c r="I404" s="317"/>
      <c r="N404" s="317"/>
      <c r="O404" s="1135"/>
      <c r="P404" s="1136"/>
      <c r="Q404" s="1137"/>
      <c r="R404" s="1120"/>
      <c r="S404" s="1120"/>
      <c r="T404" s="1120"/>
      <c r="U404" s="1120"/>
      <c r="V404" s="1120"/>
      <c r="W404" s="1120"/>
      <c r="Z404" s="1145"/>
      <c r="AA404" s="1120"/>
      <c r="AB404" s="1120"/>
      <c r="AC404" s="1120"/>
      <c r="AD404" s="1212"/>
      <c r="AE404" s="1212"/>
      <c r="AF404" s="1186"/>
      <c r="AG404" s="1186"/>
      <c r="AH404" s="1222"/>
      <c r="AI404" s="1222"/>
      <c r="AJ404" s="1222"/>
      <c r="AK404" s="1222"/>
      <c r="AL404" s="1222"/>
      <c r="AM404" s="1222"/>
      <c r="AN404" s="1222"/>
      <c r="AO404" s="1222"/>
      <c r="AP404" s="1222"/>
      <c r="AQ404" s="1222"/>
      <c r="AR404" s="1222"/>
      <c r="AS404" s="1222"/>
      <c r="AT404" s="1222"/>
      <c r="AU404" s="1120"/>
      <c r="AV404" s="445"/>
      <c r="AW404" s="607"/>
      <c r="AX404" s="607"/>
      <c r="AY404" s="607"/>
      <c r="AZ404" s="1209"/>
      <c r="BA404" s="1209"/>
    </row>
    <row r="405" spans="2:53" s="256" customFormat="1" ht="24.95" customHeight="1">
      <c r="B405" s="445"/>
      <c r="C405" s="204"/>
      <c r="D405" s="204"/>
      <c r="E405" s="204"/>
      <c r="F405" s="368"/>
      <c r="G405" s="1134"/>
      <c r="H405" s="401"/>
      <c r="I405" s="317"/>
      <c r="N405" s="317"/>
      <c r="O405" s="1135"/>
      <c r="P405" s="1136"/>
      <c r="Q405" s="1137"/>
      <c r="R405" s="1120"/>
      <c r="S405" s="1120"/>
      <c r="T405" s="1120"/>
      <c r="U405" s="1120"/>
      <c r="V405" s="1120"/>
      <c r="W405" s="1120"/>
      <c r="Z405" s="1145"/>
      <c r="AA405" s="1120"/>
      <c r="AB405" s="1120"/>
      <c r="AC405" s="1120"/>
      <c r="AD405" s="1212"/>
      <c r="AE405" s="1212"/>
      <c r="AF405" s="1186"/>
      <c r="AG405" s="1186"/>
      <c r="AH405" s="1222"/>
      <c r="AI405" s="1222"/>
      <c r="AJ405" s="1222"/>
      <c r="AK405" s="1222"/>
      <c r="AL405" s="1222"/>
      <c r="AM405" s="1222"/>
      <c r="AN405" s="1222"/>
      <c r="AO405" s="1222"/>
      <c r="AP405" s="1222"/>
      <c r="AQ405" s="1222"/>
      <c r="AR405" s="1222"/>
      <c r="AS405" s="1222"/>
      <c r="AT405" s="1222"/>
      <c r="AU405" s="1120"/>
      <c r="AV405" s="445"/>
      <c r="AW405" s="607"/>
      <c r="AX405" s="607"/>
      <c r="AY405" s="607"/>
      <c r="AZ405" s="1209"/>
      <c r="BA405" s="1209"/>
    </row>
    <row r="406" spans="2:53" s="256" customFormat="1" ht="24.95" customHeight="1">
      <c r="B406" s="445"/>
      <c r="C406" s="204"/>
      <c r="D406" s="204"/>
      <c r="E406" s="204"/>
      <c r="F406" s="368"/>
      <c r="G406" s="1134"/>
      <c r="H406" s="401"/>
      <c r="I406" s="317"/>
      <c r="N406" s="317"/>
      <c r="O406" s="1135"/>
      <c r="P406" s="1136"/>
      <c r="Q406" s="1137"/>
      <c r="R406" s="1120"/>
      <c r="S406" s="1120"/>
      <c r="T406" s="1120"/>
      <c r="U406" s="1120"/>
      <c r="V406" s="1120"/>
      <c r="W406" s="1120"/>
      <c r="Z406" s="1145"/>
      <c r="AA406" s="1120"/>
      <c r="AB406" s="1120"/>
      <c r="AC406" s="1120"/>
      <c r="AD406" s="1212"/>
      <c r="AE406" s="1212"/>
      <c r="AF406" s="1186"/>
      <c r="AG406" s="1186"/>
      <c r="AH406" s="1222"/>
      <c r="AI406" s="1222"/>
      <c r="AJ406" s="1222"/>
      <c r="AK406" s="1222"/>
      <c r="AL406" s="1222"/>
      <c r="AM406" s="1222"/>
      <c r="AN406" s="1222"/>
      <c r="AO406" s="1222"/>
      <c r="AP406" s="1222"/>
      <c r="AQ406" s="1222"/>
      <c r="AR406" s="1222"/>
      <c r="AS406" s="1222"/>
      <c r="AT406" s="1222"/>
      <c r="AU406" s="1120"/>
      <c r="AV406" s="445"/>
      <c r="AW406" s="607"/>
      <c r="AX406" s="607"/>
      <c r="AY406" s="607"/>
      <c r="AZ406" s="1209"/>
      <c r="BA406" s="1209"/>
    </row>
    <row r="407" spans="2:53" s="256" customFormat="1" ht="24.95" customHeight="1">
      <c r="B407" s="445"/>
      <c r="C407" s="204"/>
      <c r="D407" s="204"/>
      <c r="E407" s="204"/>
      <c r="F407" s="368"/>
      <c r="G407" s="1134"/>
      <c r="H407" s="401"/>
      <c r="I407" s="317"/>
      <c r="N407" s="317"/>
      <c r="O407" s="1135"/>
      <c r="P407" s="1136"/>
      <c r="Q407" s="1137"/>
      <c r="R407" s="1120"/>
      <c r="S407" s="1120"/>
      <c r="T407" s="1120"/>
      <c r="U407" s="1120"/>
      <c r="V407" s="1120"/>
      <c r="W407" s="1120"/>
      <c r="Z407" s="1145"/>
      <c r="AA407" s="1120"/>
      <c r="AB407" s="1120"/>
      <c r="AC407" s="1120"/>
      <c r="AD407" s="1212"/>
      <c r="AE407" s="1212"/>
      <c r="AF407" s="1186"/>
      <c r="AG407" s="1186"/>
      <c r="AH407" s="1222"/>
      <c r="AI407" s="1222"/>
      <c r="AJ407" s="1222"/>
      <c r="AK407" s="1222"/>
      <c r="AL407" s="1222"/>
      <c r="AM407" s="1222"/>
      <c r="AN407" s="1222"/>
      <c r="AO407" s="1222"/>
      <c r="AP407" s="1222"/>
      <c r="AQ407" s="1222"/>
      <c r="AR407" s="1222"/>
      <c r="AS407" s="1222"/>
      <c r="AT407" s="1222"/>
      <c r="AU407" s="1120"/>
      <c r="AV407" s="445"/>
      <c r="AW407" s="607"/>
      <c r="AX407" s="607"/>
      <c r="AY407" s="607"/>
      <c r="AZ407" s="1209"/>
      <c r="BA407" s="1209"/>
    </row>
    <row r="408" spans="2:53" s="256" customFormat="1" ht="24.95" customHeight="1">
      <c r="B408" s="445"/>
      <c r="C408" s="204"/>
      <c r="D408" s="204"/>
      <c r="E408" s="204"/>
      <c r="F408" s="368"/>
      <c r="G408" s="1134"/>
      <c r="H408" s="401"/>
      <c r="I408" s="317"/>
      <c r="N408" s="317"/>
      <c r="O408" s="1135"/>
      <c r="P408" s="1136"/>
      <c r="Q408" s="1137"/>
      <c r="R408" s="1120"/>
      <c r="S408" s="1120"/>
      <c r="T408" s="1120"/>
      <c r="U408" s="1120"/>
      <c r="V408" s="1120"/>
      <c r="W408" s="1120"/>
      <c r="Z408" s="1145"/>
      <c r="AA408" s="1120"/>
      <c r="AB408" s="1120"/>
      <c r="AC408" s="1120"/>
      <c r="AD408" s="1212"/>
      <c r="AE408" s="1212"/>
      <c r="AF408" s="1186"/>
      <c r="AG408" s="1186"/>
      <c r="AH408" s="1222"/>
      <c r="AI408" s="1222"/>
      <c r="AJ408" s="1222"/>
      <c r="AK408" s="1222"/>
      <c r="AL408" s="1222"/>
      <c r="AM408" s="1222"/>
      <c r="AN408" s="1222"/>
      <c r="AO408" s="1222"/>
      <c r="AP408" s="1222"/>
      <c r="AQ408" s="1222"/>
      <c r="AR408" s="1222"/>
      <c r="AS408" s="1222"/>
      <c r="AT408" s="1222"/>
      <c r="AU408" s="1120"/>
      <c r="AV408" s="445"/>
      <c r="AW408" s="607"/>
      <c r="AX408" s="607"/>
      <c r="AY408" s="607"/>
      <c r="AZ408" s="1209"/>
      <c r="BA408" s="1209"/>
    </row>
    <row r="409" spans="2:53" s="256" customFormat="1" ht="24.95" customHeight="1">
      <c r="B409" s="445"/>
      <c r="C409" s="204"/>
      <c r="D409" s="204"/>
      <c r="E409" s="204"/>
      <c r="F409" s="368"/>
      <c r="G409" s="1134"/>
      <c r="H409" s="401"/>
      <c r="I409" s="317"/>
      <c r="N409" s="317"/>
      <c r="O409" s="1135"/>
      <c r="P409" s="1136"/>
      <c r="Q409" s="1137"/>
      <c r="R409" s="1120"/>
      <c r="S409" s="1120"/>
      <c r="T409" s="1120"/>
      <c r="U409" s="1120"/>
      <c r="V409" s="1120"/>
      <c r="W409" s="1120"/>
      <c r="Z409" s="1145"/>
      <c r="AA409" s="1120"/>
      <c r="AB409" s="1120"/>
      <c r="AC409" s="1120"/>
      <c r="AD409" s="1212"/>
      <c r="AE409" s="1212"/>
      <c r="AF409" s="1186"/>
      <c r="AG409" s="1186"/>
      <c r="AH409" s="1222"/>
      <c r="AI409" s="1222"/>
      <c r="AJ409" s="1222"/>
      <c r="AK409" s="1222"/>
      <c r="AL409" s="1222"/>
      <c r="AM409" s="1222"/>
      <c r="AN409" s="1222"/>
      <c r="AO409" s="1222"/>
      <c r="AP409" s="1222"/>
      <c r="AQ409" s="1222"/>
      <c r="AR409" s="1222"/>
      <c r="AS409" s="1222"/>
      <c r="AT409" s="1222"/>
      <c r="AU409" s="1120"/>
      <c r="AV409" s="445"/>
      <c r="AW409" s="607"/>
      <c r="AX409" s="607"/>
      <c r="AY409" s="607"/>
      <c r="AZ409" s="1209"/>
      <c r="BA409" s="1209"/>
    </row>
    <row r="410" spans="2:53" s="256" customFormat="1" ht="24.95" customHeight="1">
      <c r="B410" s="445"/>
      <c r="C410" s="204"/>
      <c r="D410" s="204"/>
      <c r="E410" s="204"/>
      <c r="F410" s="368"/>
      <c r="G410" s="1134"/>
      <c r="H410" s="401"/>
      <c r="I410" s="317"/>
      <c r="N410" s="317"/>
      <c r="O410" s="1135"/>
      <c r="P410" s="1136"/>
      <c r="Q410" s="1137"/>
      <c r="R410" s="1120"/>
      <c r="S410" s="1120"/>
      <c r="T410" s="1120"/>
      <c r="U410" s="1120"/>
      <c r="V410" s="1120"/>
      <c r="W410" s="1120"/>
      <c r="Z410" s="1145"/>
      <c r="AA410" s="1120"/>
      <c r="AB410" s="1120"/>
      <c r="AC410" s="1120"/>
      <c r="AD410" s="1212"/>
      <c r="AE410" s="1212"/>
      <c r="AF410" s="1186"/>
      <c r="AG410" s="1186"/>
      <c r="AH410" s="1222"/>
      <c r="AI410" s="1222"/>
      <c r="AJ410" s="1222"/>
      <c r="AK410" s="1222"/>
      <c r="AL410" s="1222"/>
      <c r="AM410" s="1222"/>
      <c r="AN410" s="1222"/>
      <c r="AO410" s="1222"/>
      <c r="AP410" s="1222"/>
      <c r="AQ410" s="1222"/>
      <c r="AR410" s="1222"/>
      <c r="AS410" s="1222"/>
      <c r="AT410" s="1222"/>
      <c r="AU410" s="1120"/>
      <c r="AV410" s="445"/>
      <c r="AW410" s="607"/>
      <c r="AX410" s="607"/>
      <c r="AY410" s="607"/>
      <c r="AZ410" s="1209"/>
      <c r="BA410" s="1209"/>
    </row>
    <row r="411" spans="2:53" s="256" customFormat="1" ht="24.95" customHeight="1">
      <c r="B411" s="445"/>
      <c r="C411" s="204"/>
      <c r="D411" s="204"/>
      <c r="E411" s="204"/>
      <c r="F411" s="368"/>
      <c r="G411" s="1134"/>
      <c r="H411" s="401"/>
      <c r="I411" s="317"/>
      <c r="N411" s="317"/>
      <c r="O411" s="1135"/>
      <c r="P411" s="1136"/>
      <c r="Q411" s="1137"/>
      <c r="R411" s="1120"/>
      <c r="S411" s="1120"/>
      <c r="T411" s="1120"/>
      <c r="U411" s="1120"/>
      <c r="V411" s="1120"/>
      <c r="W411" s="1120"/>
      <c r="Z411" s="1145"/>
      <c r="AA411" s="1120"/>
      <c r="AB411" s="1120"/>
      <c r="AC411" s="1120"/>
      <c r="AD411" s="1212"/>
      <c r="AE411" s="1212"/>
      <c r="AF411" s="1186"/>
      <c r="AG411" s="1186"/>
      <c r="AH411" s="1222"/>
      <c r="AI411" s="1222"/>
      <c r="AJ411" s="1222"/>
      <c r="AK411" s="1222"/>
      <c r="AL411" s="1222"/>
      <c r="AM411" s="1222"/>
      <c r="AN411" s="1222"/>
      <c r="AO411" s="1222"/>
      <c r="AP411" s="1222"/>
      <c r="AQ411" s="1222"/>
      <c r="AR411" s="1222"/>
      <c r="AS411" s="1222"/>
      <c r="AT411" s="1222"/>
      <c r="AU411" s="1120"/>
      <c r="AV411" s="445"/>
      <c r="AW411" s="607"/>
      <c r="AX411" s="607"/>
      <c r="AY411" s="607"/>
      <c r="AZ411" s="1209"/>
      <c r="BA411" s="1209"/>
    </row>
    <row r="412" spans="2:53" s="256" customFormat="1" ht="24.95" customHeight="1">
      <c r="B412" s="445"/>
      <c r="C412" s="204"/>
      <c r="D412" s="204"/>
      <c r="E412" s="204"/>
      <c r="F412" s="368"/>
      <c r="G412" s="1134"/>
      <c r="H412" s="401"/>
      <c r="I412" s="317"/>
      <c r="N412" s="317"/>
      <c r="O412" s="1135"/>
      <c r="P412" s="1136"/>
      <c r="Q412" s="1137"/>
      <c r="R412" s="1120"/>
      <c r="S412" s="1120"/>
      <c r="T412" s="1120"/>
      <c r="U412" s="1120"/>
      <c r="V412" s="1120"/>
      <c r="W412" s="1120"/>
      <c r="Z412" s="1145"/>
      <c r="AA412" s="1120"/>
      <c r="AB412" s="1120"/>
      <c r="AC412" s="1120"/>
      <c r="AD412" s="1212"/>
      <c r="AE412" s="1212"/>
      <c r="AF412" s="1186"/>
      <c r="AG412" s="1186"/>
      <c r="AH412" s="1222"/>
      <c r="AI412" s="1222"/>
      <c r="AJ412" s="1222"/>
      <c r="AK412" s="1222"/>
      <c r="AL412" s="1222"/>
      <c r="AM412" s="1222"/>
      <c r="AN412" s="1222"/>
      <c r="AO412" s="1222"/>
      <c r="AP412" s="1222"/>
      <c r="AQ412" s="1222"/>
      <c r="AR412" s="1222"/>
      <c r="AS412" s="1222"/>
      <c r="AT412" s="1222"/>
      <c r="AU412" s="1120"/>
      <c r="AV412" s="445"/>
      <c r="AW412" s="607"/>
      <c r="AX412" s="607"/>
      <c r="AY412" s="607"/>
      <c r="AZ412" s="1209"/>
      <c r="BA412" s="1209"/>
    </row>
    <row r="413" spans="2:53" s="256" customFormat="1" ht="24.95" customHeight="1">
      <c r="B413" s="445"/>
      <c r="C413" s="204"/>
      <c r="D413" s="204"/>
      <c r="E413" s="204"/>
      <c r="F413" s="368"/>
      <c r="G413" s="1134"/>
      <c r="H413" s="401"/>
      <c r="I413" s="317"/>
      <c r="N413" s="317"/>
      <c r="O413" s="1135"/>
      <c r="P413" s="1136"/>
      <c r="Q413" s="1137"/>
      <c r="R413" s="1120"/>
      <c r="S413" s="1120"/>
      <c r="T413" s="1120"/>
      <c r="U413" s="1120"/>
      <c r="V413" s="1120"/>
      <c r="W413" s="1120"/>
      <c r="Z413" s="1145"/>
      <c r="AA413" s="1120"/>
      <c r="AB413" s="1120"/>
      <c r="AC413" s="1120"/>
      <c r="AD413" s="1212"/>
      <c r="AE413" s="1212"/>
      <c r="AF413" s="1186"/>
      <c r="AG413" s="1186"/>
      <c r="AH413" s="1222"/>
      <c r="AI413" s="1222"/>
      <c r="AJ413" s="1222"/>
      <c r="AK413" s="1222"/>
      <c r="AL413" s="1222"/>
      <c r="AM413" s="1222"/>
      <c r="AN413" s="1222"/>
      <c r="AO413" s="1222"/>
      <c r="AP413" s="1222"/>
      <c r="AQ413" s="1222"/>
      <c r="AR413" s="1222"/>
      <c r="AS413" s="1222"/>
      <c r="AT413" s="1222"/>
      <c r="AU413" s="1120"/>
      <c r="AV413" s="445"/>
      <c r="AW413" s="607"/>
      <c r="AX413" s="607"/>
      <c r="AY413" s="607"/>
      <c r="AZ413" s="1209"/>
      <c r="BA413" s="1209"/>
    </row>
    <row r="414" spans="2:53" s="256" customFormat="1" ht="24.95" customHeight="1">
      <c r="B414" s="445"/>
      <c r="C414" s="204"/>
      <c r="D414" s="204"/>
      <c r="E414" s="204"/>
      <c r="F414" s="368"/>
      <c r="G414" s="1134"/>
      <c r="H414" s="401"/>
      <c r="I414" s="317"/>
      <c r="N414" s="317"/>
      <c r="O414" s="1135"/>
      <c r="P414" s="1136"/>
      <c r="Q414" s="1137"/>
      <c r="R414" s="1120"/>
      <c r="S414" s="1120"/>
      <c r="T414" s="1120"/>
      <c r="U414" s="1120"/>
      <c r="V414" s="1120"/>
      <c r="W414" s="1120"/>
      <c r="Z414" s="1145"/>
      <c r="AA414" s="1120"/>
      <c r="AB414" s="1120"/>
      <c r="AC414" s="1120"/>
      <c r="AD414" s="1212"/>
      <c r="AE414" s="1212"/>
      <c r="AF414" s="1186"/>
      <c r="AG414" s="1186"/>
      <c r="AH414" s="1222"/>
      <c r="AI414" s="1222"/>
      <c r="AJ414" s="1222"/>
      <c r="AK414" s="1222"/>
      <c r="AL414" s="1222"/>
      <c r="AM414" s="1222"/>
      <c r="AN414" s="1222"/>
      <c r="AO414" s="1222"/>
      <c r="AP414" s="1222"/>
      <c r="AQ414" s="1222"/>
      <c r="AR414" s="1222"/>
      <c r="AS414" s="1222"/>
      <c r="AT414" s="1222"/>
      <c r="AU414" s="1120"/>
      <c r="AV414" s="445"/>
      <c r="AW414" s="607"/>
      <c r="AX414" s="607"/>
      <c r="AY414" s="607"/>
      <c r="AZ414" s="1209"/>
      <c r="BA414" s="1209"/>
    </row>
    <row r="415" spans="2:53" s="256" customFormat="1" ht="24.95" customHeight="1">
      <c r="B415" s="445"/>
      <c r="C415" s="204"/>
      <c r="D415" s="204"/>
      <c r="E415" s="204"/>
      <c r="F415" s="368"/>
      <c r="G415" s="1134"/>
      <c r="H415" s="401"/>
      <c r="I415" s="317"/>
      <c r="N415" s="317"/>
      <c r="O415" s="1135"/>
      <c r="P415" s="1136"/>
      <c r="Q415" s="1137"/>
      <c r="R415" s="1120"/>
      <c r="S415" s="1120"/>
      <c r="T415" s="1120"/>
      <c r="U415" s="1120"/>
      <c r="V415" s="1120"/>
      <c r="W415" s="1120"/>
      <c r="Z415" s="1145"/>
      <c r="AA415" s="1120"/>
      <c r="AB415" s="1120"/>
      <c r="AC415" s="1120"/>
      <c r="AD415" s="1212"/>
      <c r="AE415" s="1212"/>
      <c r="AF415" s="1186"/>
      <c r="AG415" s="1186"/>
      <c r="AH415" s="1222"/>
      <c r="AI415" s="1222"/>
      <c r="AJ415" s="1222"/>
      <c r="AK415" s="1222"/>
      <c r="AL415" s="1222"/>
      <c r="AM415" s="1222"/>
      <c r="AN415" s="1222"/>
      <c r="AO415" s="1222"/>
      <c r="AP415" s="1222"/>
      <c r="AQ415" s="1222"/>
      <c r="AR415" s="1222"/>
      <c r="AS415" s="1222"/>
      <c r="AT415" s="1222"/>
      <c r="AU415" s="1120"/>
      <c r="AV415" s="445"/>
      <c r="AW415" s="607"/>
      <c r="AX415" s="607"/>
      <c r="AY415" s="607"/>
      <c r="AZ415" s="1209"/>
      <c r="BA415" s="1209"/>
    </row>
    <row r="416" spans="2:53" s="256" customFormat="1" ht="24.95" customHeight="1">
      <c r="B416" s="445"/>
      <c r="C416" s="204"/>
      <c r="D416" s="204"/>
      <c r="E416" s="204"/>
      <c r="F416" s="368"/>
      <c r="G416" s="1134"/>
      <c r="H416" s="401"/>
      <c r="I416" s="317"/>
      <c r="N416" s="317"/>
      <c r="O416" s="1135"/>
      <c r="P416" s="1136"/>
      <c r="Q416" s="1137"/>
      <c r="R416" s="1120"/>
      <c r="S416" s="1120"/>
      <c r="T416" s="1120"/>
      <c r="U416" s="1120"/>
      <c r="V416" s="1120"/>
      <c r="W416" s="1120"/>
      <c r="Z416" s="1145"/>
      <c r="AA416" s="1120"/>
      <c r="AB416" s="1120"/>
      <c r="AC416" s="1120"/>
      <c r="AD416" s="1212"/>
      <c r="AE416" s="1212"/>
      <c r="AF416" s="1186"/>
      <c r="AG416" s="1186"/>
      <c r="AH416" s="1222"/>
      <c r="AI416" s="1222"/>
      <c r="AJ416" s="1222"/>
      <c r="AK416" s="1222"/>
      <c r="AL416" s="1222"/>
      <c r="AM416" s="1222"/>
      <c r="AN416" s="1222"/>
      <c r="AO416" s="1222"/>
      <c r="AP416" s="1222"/>
      <c r="AQ416" s="1222"/>
      <c r="AR416" s="1222"/>
      <c r="AS416" s="1222"/>
      <c r="AT416" s="1222"/>
      <c r="AU416" s="1120"/>
      <c r="AV416" s="445"/>
      <c r="AW416" s="607"/>
      <c r="AX416" s="607"/>
      <c r="AY416" s="607"/>
      <c r="AZ416" s="1209"/>
      <c r="BA416" s="1209"/>
    </row>
    <row r="417" spans="2:53" s="256" customFormat="1" ht="24.95" customHeight="1">
      <c r="B417" s="445"/>
      <c r="C417" s="204"/>
      <c r="D417" s="204"/>
      <c r="E417" s="204"/>
      <c r="F417" s="368"/>
      <c r="G417" s="1134"/>
      <c r="H417" s="401"/>
      <c r="I417" s="317"/>
      <c r="N417" s="317"/>
      <c r="O417" s="1135"/>
      <c r="P417" s="1136"/>
      <c r="Q417" s="1137"/>
      <c r="R417" s="1120"/>
      <c r="S417" s="1120"/>
      <c r="T417" s="1120"/>
      <c r="U417" s="1120"/>
      <c r="V417" s="1120"/>
      <c r="W417" s="1120"/>
      <c r="Z417" s="1145"/>
      <c r="AA417" s="1120"/>
      <c r="AB417" s="1120"/>
      <c r="AC417" s="1120"/>
      <c r="AD417" s="1212"/>
      <c r="AE417" s="1212"/>
      <c r="AF417" s="1186"/>
      <c r="AG417" s="1186"/>
      <c r="AH417" s="1222"/>
      <c r="AI417" s="1222"/>
      <c r="AJ417" s="1222"/>
      <c r="AK417" s="1222"/>
      <c r="AL417" s="1222"/>
      <c r="AM417" s="1222"/>
      <c r="AN417" s="1222"/>
      <c r="AO417" s="1222"/>
      <c r="AP417" s="1222"/>
      <c r="AQ417" s="1222"/>
      <c r="AR417" s="1222"/>
      <c r="AS417" s="1222"/>
      <c r="AT417" s="1222"/>
      <c r="AU417" s="1120"/>
      <c r="AV417" s="445"/>
      <c r="AW417" s="607"/>
      <c r="AX417" s="607"/>
      <c r="AY417" s="607"/>
      <c r="AZ417" s="1209"/>
      <c r="BA417" s="1209"/>
    </row>
    <row r="418" spans="2:53" s="256" customFormat="1" ht="24.95" customHeight="1">
      <c r="B418" s="445"/>
      <c r="C418" s="204"/>
      <c r="D418" s="204"/>
      <c r="E418" s="204"/>
      <c r="F418" s="368"/>
      <c r="G418" s="1134"/>
      <c r="H418" s="401"/>
      <c r="I418" s="317"/>
      <c r="N418" s="317"/>
      <c r="O418" s="1135"/>
      <c r="P418" s="1136"/>
      <c r="Q418" s="1137"/>
      <c r="R418" s="1120"/>
      <c r="S418" s="1120"/>
      <c r="T418" s="1120"/>
      <c r="U418" s="1120"/>
      <c r="V418" s="1120"/>
      <c r="W418" s="1120"/>
      <c r="Z418" s="1145"/>
      <c r="AA418" s="1120"/>
      <c r="AB418" s="1120"/>
      <c r="AC418" s="1120"/>
      <c r="AD418" s="1212"/>
      <c r="AE418" s="1212"/>
      <c r="AF418" s="1186"/>
      <c r="AG418" s="1186"/>
      <c r="AH418" s="1222"/>
      <c r="AI418" s="1222"/>
      <c r="AJ418" s="1222"/>
      <c r="AK418" s="1222"/>
      <c r="AL418" s="1222"/>
      <c r="AM418" s="1222"/>
      <c r="AN418" s="1222"/>
      <c r="AO418" s="1222"/>
      <c r="AP418" s="1222"/>
      <c r="AQ418" s="1222"/>
      <c r="AR418" s="1222"/>
      <c r="AS418" s="1222"/>
      <c r="AT418" s="1222"/>
      <c r="AU418" s="1120"/>
      <c r="AV418" s="445"/>
      <c r="AW418" s="607"/>
      <c r="AX418" s="607"/>
      <c r="AY418" s="607"/>
      <c r="AZ418" s="1209"/>
      <c r="BA418" s="1209"/>
    </row>
    <row r="419" spans="2:53" s="256" customFormat="1" ht="24.95" customHeight="1">
      <c r="B419" s="445"/>
      <c r="C419" s="204"/>
      <c r="D419" s="204"/>
      <c r="E419" s="204"/>
      <c r="F419" s="368"/>
      <c r="G419" s="1134"/>
      <c r="H419" s="401"/>
      <c r="I419" s="317"/>
      <c r="N419" s="317"/>
      <c r="O419" s="1135"/>
      <c r="P419" s="1136"/>
      <c r="Q419" s="1137"/>
      <c r="R419" s="1120"/>
      <c r="S419" s="1120"/>
      <c r="T419" s="1120"/>
      <c r="U419" s="1120"/>
      <c r="V419" s="1120"/>
      <c r="W419" s="1120"/>
      <c r="Z419" s="1145"/>
      <c r="AA419" s="1120"/>
      <c r="AB419" s="1120"/>
      <c r="AC419" s="1120"/>
      <c r="AD419" s="1212"/>
      <c r="AE419" s="1212"/>
      <c r="AF419" s="1186"/>
      <c r="AG419" s="1186"/>
      <c r="AH419" s="1222"/>
      <c r="AI419" s="1222"/>
      <c r="AJ419" s="1222"/>
      <c r="AK419" s="1222"/>
      <c r="AL419" s="1222"/>
      <c r="AM419" s="1222"/>
      <c r="AN419" s="1222"/>
      <c r="AO419" s="1222"/>
      <c r="AP419" s="1222"/>
      <c r="AQ419" s="1222"/>
      <c r="AR419" s="1222"/>
      <c r="AS419" s="1222"/>
      <c r="AT419" s="1222"/>
      <c r="AU419" s="1120"/>
      <c r="AV419" s="445"/>
      <c r="AW419" s="607"/>
      <c r="AX419" s="607"/>
      <c r="AY419" s="607"/>
      <c r="AZ419" s="1209"/>
      <c r="BA419" s="1209"/>
    </row>
    <row r="420" spans="2:53" s="256" customFormat="1" ht="24.95" customHeight="1">
      <c r="B420" s="445"/>
      <c r="C420" s="204"/>
      <c r="D420" s="204"/>
      <c r="E420" s="204"/>
      <c r="F420" s="368"/>
      <c r="G420" s="1134"/>
      <c r="H420" s="401"/>
      <c r="I420" s="317"/>
      <c r="N420" s="317"/>
      <c r="O420" s="1135"/>
      <c r="P420" s="1136"/>
      <c r="Q420" s="1137"/>
      <c r="R420" s="1120"/>
      <c r="S420" s="1120"/>
      <c r="T420" s="1120"/>
      <c r="U420" s="1120"/>
      <c r="V420" s="1120"/>
      <c r="W420" s="1120"/>
      <c r="Z420" s="1145"/>
      <c r="AA420" s="1120"/>
      <c r="AB420" s="1120"/>
      <c r="AC420" s="1120"/>
      <c r="AD420" s="1212"/>
      <c r="AE420" s="1212"/>
      <c r="AF420" s="1186"/>
      <c r="AG420" s="1186"/>
      <c r="AH420" s="1222"/>
      <c r="AI420" s="1222"/>
      <c r="AJ420" s="1222"/>
      <c r="AK420" s="1222"/>
      <c r="AL420" s="1222"/>
      <c r="AM420" s="1222"/>
      <c r="AN420" s="1222"/>
      <c r="AO420" s="1222"/>
      <c r="AP420" s="1222"/>
      <c r="AQ420" s="1222"/>
      <c r="AR420" s="1222"/>
      <c r="AS420" s="1222"/>
      <c r="AT420" s="1222"/>
      <c r="AU420" s="1120"/>
      <c r="AV420" s="445"/>
      <c r="AW420" s="607"/>
      <c r="AX420" s="607"/>
      <c r="AY420" s="607"/>
      <c r="AZ420" s="1209"/>
      <c r="BA420" s="1209"/>
    </row>
    <row r="421" spans="2:53" s="256" customFormat="1" ht="24.95" customHeight="1">
      <c r="B421" s="445"/>
      <c r="C421" s="204"/>
      <c r="D421" s="204"/>
      <c r="E421" s="204"/>
      <c r="F421" s="368"/>
      <c r="G421" s="1134"/>
      <c r="H421" s="401"/>
      <c r="I421" s="317"/>
      <c r="N421" s="317"/>
      <c r="O421" s="1135"/>
      <c r="P421" s="1136"/>
      <c r="Q421" s="1137"/>
      <c r="R421" s="1120"/>
      <c r="S421" s="1120"/>
      <c r="T421" s="1120"/>
      <c r="U421" s="1120"/>
      <c r="V421" s="1120"/>
      <c r="W421" s="1120"/>
      <c r="Z421" s="1145"/>
      <c r="AA421" s="1120"/>
      <c r="AB421" s="1120"/>
      <c r="AC421" s="1120"/>
      <c r="AD421" s="1212"/>
      <c r="AE421" s="1212"/>
      <c r="AF421" s="1186"/>
      <c r="AG421" s="1186"/>
      <c r="AH421" s="1222"/>
      <c r="AI421" s="1222"/>
      <c r="AJ421" s="1222"/>
      <c r="AK421" s="1222"/>
      <c r="AL421" s="1222"/>
      <c r="AM421" s="1222"/>
      <c r="AN421" s="1222"/>
      <c r="AO421" s="1222"/>
      <c r="AP421" s="1222"/>
      <c r="AQ421" s="1222"/>
      <c r="AR421" s="1222"/>
      <c r="AS421" s="1222"/>
      <c r="AT421" s="1222"/>
      <c r="AU421" s="1120"/>
      <c r="AV421" s="445"/>
      <c r="AW421" s="607"/>
      <c r="AX421" s="607"/>
      <c r="AY421" s="607"/>
      <c r="AZ421" s="1209"/>
      <c r="BA421" s="1209"/>
    </row>
    <row r="422" spans="2:53" s="256" customFormat="1" ht="24.95" customHeight="1">
      <c r="B422" s="445"/>
      <c r="C422" s="204"/>
      <c r="D422" s="204"/>
      <c r="E422" s="204"/>
      <c r="F422" s="368"/>
      <c r="G422" s="1134"/>
      <c r="H422" s="401"/>
      <c r="I422" s="317"/>
      <c r="N422" s="317"/>
      <c r="O422" s="1135"/>
      <c r="P422" s="1136"/>
      <c r="Q422" s="1137"/>
      <c r="R422" s="1120"/>
      <c r="S422" s="1120"/>
      <c r="T422" s="1120"/>
      <c r="U422" s="1120"/>
      <c r="V422" s="1120"/>
      <c r="W422" s="1120"/>
      <c r="Z422" s="1145"/>
      <c r="AA422" s="1120"/>
      <c r="AB422" s="1120"/>
      <c r="AC422" s="1120"/>
      <c r="AD422" s="1212"/>
      <c r="AE422" s="1212"/>
      <c r="AF422" s="1186"/>
      <c r="AG422" s="1186"/>
      <c r="AH422" s="1222"/>
      <c r="AI422" s="1222"/>
      <c r="AJ422" s="1222"/>
      <c r="AK422" s="1222"/>
      <c r="AL422" s="1222"/>
      <c r="AM422" s="1222"/>
      <c r="AN422" s="1222"/>
      <c r="AO422" s="1222"/>
      <c r="AP422" s="1222"/>
      <c r="AQ422" s="1222"/>
      <c r="AR422" s="1222"/>
      <c r="AS422" s="1222"/>
      <c r="AT422" s="1222"/>
      <c r="AU422" s="1120"/>
      <c r="AV422" s="445"/>
      <c r="AW422" s="607"/>
      <c r="AX422" s="607"/>
      <c r="AY422" s="607"/>
      <c r="AZ422" s="1209"/>
      <c r="BA422" s="1209"/>
    </row>
    <row r="423" spans="2:53" s="256" customFormat="1" ht="24.95" customHeight="1">
      <c r="B423" s="445"/>
      <c r="C423" s="204"/>
      <c r="D423" s="204"/>
      <c r="E423" s="204"/>
      <c r="F423" s="368"/>
      <c r="G423" s="1134"/>
      <c r="H423" s="401"/>
      <c r="I423" s="317"/>
      <c r="N423" s="317"/>
      <c r="O423" s="1135"/>
      <c r="P423" s="1136"/>
      <c r="Q423" s="1137"/>
      <c r="R423" s="1120"/>
      <c r="S423" s="1120"/>
      <c r="T423" s="1120"/>
      <c r="U423" s="1120"/>
      <c r="V423" s="1120"/>
      <c r="W423" s="1120"/>
      <c r="Z423" s="1145"/>
      <c r="AA423" s="1120"/>
      <c r="AB423" s="1120"/>
      <c r="AC423" s="1120"/>
      <c r="AD423" s="1212"/>
      <c r="AE423" s="1212"/>
      <c r="AF423" s="1186"/>
      <c r="AG423" s="1186"/>
      <c r="AH423" s="1222"/>
      <c r="AI423" s="1222"/>
      <c r="AJ423" s="1222"/>
      <c r="AK423" s="1222"/>
      <c r="AL423" s="1222"/>
      <c r="AM423" s="1222"/>
      <c r="AN423" s="1222"/>
      <c r="AO423" s="1222"/>
      <c r="AP423" s="1222"/>
      <c r="AQ423" s="1222"/>
      <c r="AR423" s="1222"/>
      <c r="AS423" s="1222"/>
      <c r="AT423" s="1222"/>
      <c r="AU423" s="1120"/>
      <c r="AV423" s="445"/>
      <c r="AW423" s="607"/>
      <c r="AX423" s="607"/>
      <c r="AY423" s="607"/>
      <c r="AZ423" s="1209"/>
      <c r="BA423" s="1209"/>
    </row>
    <row r="424" spans="2:53" s="256" customFormat="1" ht="24.95" customHeight="1">
      <c r="B424" s="445"/>
      <c r="C424" s="204"/>
      <c r="D424" s="204"/>
      <c r="E424" s="204"/>
      <c r="F424" s="368"/>
      <c r="G424" s="1134"/>
      <c r="H424" s="401"/>
      <c r="I424" s="317"/>
      <c r="N424" s="317"/>
      <c r="O424" s="1135"/>
      <c r="P424" s="1136"/>
      <c r="Q424" s="1137"/>
      <c r="R424" s="1120"/>
      <c r="S424" s="1120"/>
      <c r="T424" s="1120"/>
      <c r="U424" s="1120"/>
      <c r="V424" s="1120"/>
      <c r="W424" s="1120"/>
      <c r="Z424" s="1145"/>
      <c r="AA424" s="1120"/>
      <c r="AB424" s="1120"/>
      <c r="AC424" s="1120"/>
      <c r="AD424" s="1212"/>
      <c r="AE424" s="1212"/>
      <c r="AF424" s="1186"/>
      <c r="AG424" s="1186"/>
      <c r="AH424" s="1222"/>
      <c r="AI424" s="1222"/>
      <c r="AJ424" s="1222"/>
      <c r="AK424" s="1222"/>
      <c r="AL424" s="1222"/>
      <c r="AM424" s="1222"/>
      <c r="AN424" s="1222"/>
      <c r="AO424" s="1222"/>
      <c r="AP424" s="1222"/>
      <c r="AQ424" s="1222"/>
      <c r="AR424" s="1222"/>
      <c r="AS424" s="1222"/>
      <c r="AT424" s="1222"/>
      <c r="AU424" s="1120"/>
      <c r="AV424" s="445"/>
      <c r="AW424" s="607"/>
      <c r="AX424" s="607"/>
      <c r="AY424" s="607"/>
      <c r="AZ424" s="1209"/>
      <c r="BA424" s="1209"/>
    </row>
    <row r="425" spans="2:53" s="256" customFormat="1" ht="24.95" customHeight="1">
      <c r="B425" s="445"/>
      <c r="C425" s="204"/>
      <c r="D425" s="204"/>
      <c r="E425" s="204"/>
      <c r="F425" s="368"/>
      <c r="G425" s="1134"/>
      <c r="H425" s="401"/>
      <c r="I425" s="317"/>
      <c r="N425" s="317"/>
      <c r="O425" s="1135"/>
      <c r="P425" s="1136"/>
      <c r="Q425" s="1137"/>
      <c r="R425" s="1120"/>
      <c r="S425" s="1120"/>
      <c r="T425" s="1120"/>
      <c r="U425" s="1120"/>
      <c r="V425" s="1120"/>
      <c r="W425" s="1120"/>
      <c r="Z425" s="1145"/>
      <c r="AA425" s="1120"/>
      <c r="AB425" s="1120"/>
      <c r="AC425" s="1120"/>
      <c r="AD425" s="1212"/>
      <c r="AE425" s="1212"/>
      <c r="AF425" s="1186"/>
      <c r="AG425" s="1186"/>
      <c r="AH425" s="1222"/>
      <c r="AI425" s="1222"/>
      <c r="AJ425" s="1222"/>
      <c r="AK425" s="1222"/>
      <c r="AL425" s="1222"/>
      <c r="AM425" s="1222"/>
      <c r="AN425" s="1222"/>
      <c r="AO425" s="1222"/>
      <c r="AP425" s="1222"/>
      <c r="AQ425" s="1222"/>
      <c r="AR425" s="1222"/>
      <c r="AS425" s="1222"/>
      <c r="AT425" s="1222"/>
      <c r="AU425" s="1120"/>
      <c r="AV425" s="445"/>
      <c r="AW425" s="607"/>
      <c r="AX425" s="607"/>
      <c r="AY425" s="607"/>
      <c r="AZ425" s="1209"/>
      <c r="BA425" s="1209"/>
    </row>
    <row r="426" spans="2:53" s="256" customFormat="1" ht="24.95" customHeight="1">
      <c r="B426" s="445"/>
      <c r="C426" s="204"/>
      <c r="D426" s="204"/>
      <c r="E426" s="204"/>
      <c r="F426" s="368"/>
      <c r="G426" s="1134"/>
      <c r="H426" s="401"/>
      <c r="I426" s="317"/>
      <c r="N426" s="317"/>
      <c r="O426" s="1135"/>
      <c r="P426" s="1136"/>
      <c r="Q426" s="1137"/>
      <c r="R426" s="1120"/>
      <c r="S426" s="1120"/>
      <c r="T426" s="1120"/>
      <c r="U426" s="1120"/>
      <c r="V426" s="1120"/>
      <c r="W426" s="1120"/>
      <c r="Z426" s="1145"/>
      <c r="AA426" s="1120"/>
      <c r="AB426" s="1120"/>
      <c r="AC426" s="1120"/>
      <c r="AD426" s="1212"/>
      <c r="AE426" s="1212"/>
      <c r="AF426" s="1186"/>
      <c r="AG426" s="1186"/>
      <c r="AH426" s="1222"/>
      <c r="AI426" s="1222"/>
      <c r="AJ426" s="1222"/>
      <c r="AK426" s="1222"/>
      <c r="AL426" s="1222"/>
      <c r="AM426" s="1222"/>
      <c r="AN426" s="1222"/>
      <c r="AO426" s="1222"/>
      <c r="AP426" s="1222"/>
      <c r="AQ426" s="1222"/>
      <c r="AR426" s="1222"/>
      <c r="AS426" s="1222"/>
      <c r="AT426" s="1222"/>
      <c r="AU426" s="1120"/>
      <c r="AV426" s="445"/>
      <c r="AW426" s="607"/>
      <c r="AX426" s="607"/>
      <c r="AY426" s="607"/>
      <c r="AZ426" s="1209"/>
      <c r="BA426" s="1209"/>
    </row>
    <row r="427" spans="2:53" s="256" customFormat="1" ht="24.95" customHeight="1">
      <c r="B427" s="445"/>
      <c r="C427" s="204"/>
      <c r="D427" s="204"/>
      <c r="E427" s="204"/>
      <c r="F427" s="368"/>
      <c r="G427" s="1134"/>
      <c r="H427" s="401"/>
      <c r="I427" s="317"/>
      <c r="N427" s="317"/>
      <c r="O427" s="1135"/>
      <c r="P427" s="1136"/>
      <c r="Q427" s="1137"/>
      <c r="R427" s="1120"/>
      <c r="S427" s="1120"/>
      <c r="T427" s="1120"/>
      <c r="U427" s="1120"/>
      <c r="V427" s="1120"/>
      <c r="W427" s="1120"/>
      <c r="Z427" s="1145"/>
      <c r="AA427" s="1120"/>
      <c r="AB427" s="1120"/>
      <c r="AC427" s="1120"/>
      <c r="AD427" s="1212"/>
      <c r="AE427" s="1212"/>
      <c r="AF427" s="1186"/>
      <c r="AG427" s="1186"/>
      <c r="AH427" s="1222"/>
      <c r="AI427" s="1222"/>
      <c r="AJ427" s="1222"/>
      <c r="AK427" s="1222"/>
      <c r="AL427" s="1222"/>
      <c r="AM427" s="1222"/>
      <c r="AN427" s="1222"/>
      <c r="AO427" s="1222"/>
      <c r="AP427" s="1222"/>
      <c r="AQ427" s="1222"/>
      <c r="AR427" s="1222"/>
      <c r="AS427" s="1222"/>
      <c r="AT427" s="1222"/>
      <c r="AU427" s="1120"/>
      <c r="AV427" s="445"/>
      <c r="AW427" s="607"/>
      <c r="AX427" s="607"/>
      <c r="AY427" s="607"/>
      <c r="AZ427" s="1209"/>
      <c r="BA427" s="1209"/>
    </row>
    <row r="428" spans="2:53" s="256" customFormat="1" ht="24.95" customHeight="1">
      <c r="B428" s="445"/>
      <c r="C428" s="204"/>
      <c r="D428" s="204"/>
      <c r="E428" s="204"/>
      <c r="F428" s="368"/>
      <c r="G428" s="1134"/>
      <c r="H428" s="401"/>
      <c r="I428" s="317"/>
      <c r="N428" s="317"/>
      <c r="O428" s="1135"/>
      <c r="P428" s="1136"/>
      <c r="Q428" s="1137"/>
      <c r="R428" s="1120"/>
      <c r="S428" s="1120"/>
      <c r="T428" s="1120"/>
      <c r="U428" s="1120"/>
      <c r="V428" s="1120"/>
      <c r="W428" s="1120"/>
      <c r="Z428" s="1145"/>
      <c r="AA428" s="1120"/>
      <c r="AB428" s="1120"/>
      <c r="AC428" s="1120"/>
      <c r="AD428" s="1212"/>
      <c r="AE428" s="1212"/>
      <c r="AF428" s="1186"/>
      <c r="AG428" s="1186"/>
      <c r="AH428" s="1222"/>
      <c r="AI428" s="1222"/>
      <c r="AJ428" s="1222"/>
      <c r="AK428" s="1222"/>
      <c r="AL428" s="1222"/>
      <c r="AM428" s="1222"/>
      <c r="AN428" s="1222"/>
      <c r="AO428" s="1222"/>
      <c r="AP428" s="1222"/>
      <c r="AQ428" s="1222"/>
      <c r="AR428" s="1222"/>
      <c r="AS428" s="1222"/>
      <c r="AT428" s="1222"/>
      <c r="AU428" s="1120"/>
      <c r="AV428" s="445"/>
      <c r="AW428" s="607"/>
      <c r="AX428" s="607"/>
      <c r="AY428" s="607"/>
      <c r="AZ428" s="1209"/>
      <c r="BA428" s="1209"/>
    </row>
    <row r="429" spans="2:53" s="256" customFormat="1" ht="24.95" customHeight="1">
      <c r="B429" s="445"/>
      <c r="C429" s="204"/>
      <c r="D429" s="204"/>
      <c r="E429" s="204"/>
      <c r="F429" s="368"/>
      <c r="G429" s="1134"/>
      <c r="H429" s="401"/>
      <c r="I429" s="317"/>
      <c r="N429" s="317"/>
      <c r="O429" s="1135"/>
      <c r="P429" s="1136"/>
      <c r="Q429" s="1137"/>
      <c r="R429" s="1120"/>
      <c r="S429" s="1120"/>
      <c r="T429" s="1120"/>
      <c r="U429" s="1120"/>
      <c r="V429" s="1120"/>
      <c r="W429" s="1120"/>
      <c r="Z429" s="1145"/>
      <c r="AA429" s="1120"/>
      <c r="AB429" s="1120"/>
      <c r="AC429" s="1120"/>
      <c r="AD429" s="1212"/>
      <c r="AE429" s="1212"/>
      <c r="AF429" s="1186"/>
      <c r="AG429" s="1186"/>
      <c r="AH429" s="1222"/>
      <c r="AI429" s="1222"/>
      <c r="AJ429" s="1222"/>
      <c r="AK429" s="1222"/>
      <c r="AL429" s="1222"/>
      <c r="AM429" s="1222"/>
      <c r="AN429" s="1222"/>
      <c r="AO429" s="1222"/>
      <c r="AP429" s="1222"/>
      <c r="AQ429" s="1222"/>
      <c r="AR429" s="1222"/>
      <c r="AS429" s="1222"/>
      <c r="AT429" s="1222"/>
      <c r="AU429" s="1120"/>
      <c r="AV429" s="445"/>
      <c r="AW429" s="607"/>
      <c r="AX429" s="607"/>
      <c r="AY429" s="607"/>
      <c r="AZ429" s="1209"/>
      <c r="BA429" s="1209"/>
    </row>
    <row r="430" spans="2:53" s="256" customFormat="1" ht="24.95" customHeight="1">
      <c r="B430" s="445"/>
      <c r="C430" s="204"/>
      <c r="D430" s="204"/>
      <c r="E430" s="204"/>
      <c r="F430" s="368"/>
      <c r="G430" s="1134"/>
      <c r="H430" s="401"/>
      <c r="I430" s="317"/>
      <c r="N430" s="317"/>
      <c r="O430" s="1135"/>
      <c r="P430" s="1136"/>
      <c r="Q430" s="1137"/>
      <c r="R430" s="1120"/>
      <c r="S430" s="1120"/>
      <c r="T430" s="1120"/>
      <c r="U430" s="1120"/>
      <c r="V430" s="1120"/>
      <c r="W430" s="1120"/>
      <c r="Z430" s="1145"/>
      <c r="AA430" s="1120"/>
      <c r="AB430" s="1120"/>
      <c r="AC430" s="1120"/>
      <c r="AD430" s="1212"/>
      <c r="AE430" s="1212"/>
      <c r="AF430" s="1186"/>
      <c r="AG430" s="1186"/>
      <c r="AH430" s="1222"/>
      <c r="AI430" s="1222"/>
      <c r="AJ430" s="1222"/>
      <c r="AK430" s="1222"/>
      <c r="AL430" s="1222"/>
      <c r="AM430" s="1222"/>
      <c r="AN430" s="1222"/>
      <c r="AO430" s="1222"/>
      <c r="AP430" s="1222"/>
      <c r="AQ430" s="1222"/>
      <c r="AR430" s="1222"/>
      <c r="AS430" s="1222"/>
      <c r="AT430" s="1222"/>
      <c r="AU430" s="1120"/>
      <c r="AV430" s="445"/>
      <c r="AW430" s="607"/>
      <c r="AX430" s="607"/>
      <c r="AY430" s="607"/>
      <c r="AZ430" s="1209"/>
      <c r="BA430" s="1209"/>
    </row>
    <row r="431" spans="2:53" s="256" customFormat="1" ht="24.95" customHeight="1">
      <c r="B431" s="445"/>
      <c r="C431" s="204"/>
      <c r="D431" s="204"/>
      <c r="E431" s="204"/>
      <c r="F431" s="368"/>
      <c r="G431" s="1134"/>
      <c r="H431" s="401"/>
      <c r="I431" s="317"/>
      <c r="N431" s="317"/>
      <c r="O431" s="1135"/>
      <c r="P431" s="1136"/>
      <c r="Q431" s="1137"/>
      <c r="R431" s="1120"/>
      <c r="S431" s="1120"/>
      <c r="T431" s="1120"/>
      <c r="U431" s="1120"/>
      <c r="V431" s="1120"/>
      <c r="W431" s="1120"/>
      <c r="Z431" s="1145"/>
      <c r="AA431" s="1120"/>
      <c r="AB431" s="1120"/>
      <c r="AC431" s="1120"/>
      <c r="AD431" s="1212"/>
      <c r="AE431" s="1212"/>
      <c r="AF431" s="1186"/>
      <c r="AG431" s="1186"/>
      <c r="AH431" s="1222"/>
      <c r="AI431" s="1222"/>
      <c r="AJ431" s="1222"/>
      <c r="AK431" s="1222"/>
      <c r="AL431" s="1222"/>
      <c r="AM431" s="1222"/>
      <c r="AN431" s="1222"/>
      <c r="AO431" s="1222"/>
      <c r="AP431" s="1222"/>
      <c r="AQ431" s="1222"/>
      <c r="AR431" s="1222"/>
      <c r="AS431" s="1222"/>
      <c r="AT431" s="1222"/>
      <c r="AU431" s="1120"/>
      <c r="AV431" s="445"/>
      <c r="AW431" s="607"/>
      <c r="AX431" s="607"/>
      <c r="AY431" s="607"/>
      <c r="AZ431" s="1209"/>
      <c r="BA431" s="1209"/>
    </row>
    <row r="432" spans="2:53" s="256" customFormat="1" ht="24.95" customHeight="1">
      <c r="B432" s="445"/>
      <c r="C432" s="204"/>
      <c r="D432" s="204"/>
      <c r="E432" s="204"/>
      <c r="F432" s="368"/>
      <c r="G432" s="1134"/>
      <c r="H432" s="401"/>
      <c r="I432" s="317"/>
      <c r="N432" s="317"/>
      <c r="O432" s="1135"/>
      <c r="P432" s="1136"/>
      <c r="Q432" s="1137"/>
      <c r="R432" s="1120"/>
      <c r="S432" s="1120"/>
      <c r="T432" s="1120"/>
      <c r="U432" s="1120"/>
      <c r="V432" s="1120"/>
      <c r="W432" s="1120"/>
      <c r="Z432" s="1145"/>
      <c r="AA432" s="1120"/>
      <c r="AB432" s="1120"/>
      <c r="AC432" s="1120"/>
      <c r="AD432" s="1212"/>
      <c r="AE432" s="1212"/>
      <c r="AF432" s="1186"/>
      <c r="AG432" s="1186"/>
      <c r="AH432" s="1222"/>
      <c r="AI432" s="1222"/>
      <c r="AJ432" s="1222"/>
      <c r="AK432" s="1222"/>
      <c r="AL432" s="1222"/>
      <c r="AM432" s="1222"/>
      <c r="AN432" s="1222"/>
      <c r="AO432" s="1222"/>
      <c r="AP432" s="1222"/>
      <c r="AQ432" s="1222"/>
      <c r="AR432" s="1222"/>
      <c r="AS432" s="1222"/>
      <c r="AT432" s="1222"/>
      <c r="AU432" s="1120"/>
      <c r="AV432" s="445"/>
      <c r="AW432" s="607"/>
      <c r="AX432" s="607"/>
      <c r="AY432" s="607"/>
      <c r="AZ432" s="1209"/>
      <c r="BA432" s="1209"/>
    </row>
    <row r="433" spans="2:53" s="256" customFormat="1" ht="24.95" customHeight="1">
      <c r="B433" s="445"/>
      <c r="C433" s="204"/>
      <c r="D433" s="204"/>
      <c r="E433" s="204"/>
      <c r="F433" s="368"/>
      <c r="G433" s="1134"/>
      <c r="H433" s="401"/>
      <c r="I433" s="317"/>
      <c r="N433" s="317"/>
      <c r="O433" s="1135"/>
      <c r="P433" s="1136"/>
      <c r="Q433" s="1137"/>
      <c r="R433" s="1120"/>
      <c r="S433" s="1120"/>
      <c r="T433" s="1120"/>
      <c r="U433" s="1120"/>
      <c r="V433" s="1120"/>
      <c r="W433" s="1120"/>
      <c r="Z433" s="1145"/>
      <c r="AA433" s="1120"/>
      <c r="AB433" s="1120"/>
      <c r="AC433" s="1120"/>
      <c r="AD433" s="1212"/>
      <c r="AE433" s="1212"/>
      <c r="AF433" s="1186"/>
      <c r="AG433" s="1186"/>
      <c r="AH433" s="1222"/>
      <c r="AI433" s="1222"/>
      <c r="AJ433" s="1222"/>
      <c r="AK433" s="1222"/>
      <c r="AL433" s="1222"/>
      <c r="AM433" s="1222"/>
      <c r="AN433" s="1222"/>
      <c r="AO433" s="1222"/>
      <c r="AP433" s="1222"/>
      <c r="AQ433" s="1222"/>
      <c r="AR433" s="1222"/>
      <c r="AS433" s="1222"/>
      <c r="AT433" s="1222"/>
      <c r="AU433" s="1120"/>
      <c r="AV433" s="445"/>
      <c r="AW433" s="607"/>
      <c r="AX433" s="607"/>
      <c r="AY433" s="607"/>
      <c r="AZ433" s="1209"/>
      <c r="BA433" s="1209"/>
    </row>
    <row r="434" spans="2:53" s="256" customFormat="1" ht="24.95" customHeight="1">
      <c r="B434" s="445"/>
      <c r="C434" s="204"/>
      <c r="D434" s="204"/>
      <c r="E434" s="204"/>
      <c r="F434" s="368"/>
      <c r="G434" s="1134"/>
      <c r="H434" s="401"/>
      <c r="I434" s="317"/>
      <c r="N434" s="317"/>
      <c r="O434" s="1135"/>
      <c r="P434" s="1136"/>
      <c r="Q434" s="1137"/>
      <c r="R434" s="1120"/>
      <c r="S434" s="1120"/>
      <c r="T434" s="1120"/>
      <c r="U434" s="1120"/>
      <c r="V434" s="1120"/>
      <c r="W434" s="1120"/>
      <c r="Z434" s="1145"/>
      <c r="AA434" s="1120"/>
      <c r="AB434" s="1120"/>
      <c r="AC434" s="1120"/>
      <c r="AD434" s="1212"/>
      <c r="AE434" s="1212"/>
      <c r="AF434" s="1186"/>
      <c r="AG434" s="1186"/>
      <c r="AH434" s="1222"/>
      <c r="AI434" s="1222"/>
      <c r="AJ434" s="1222"/>
      <c r="AK434" s="1222"/>
      <c r="AL434" s="1222"/>
      <c r="AM434" s="1222"/>
      <c r="AN434" s="1222"/>
      <c r="AO434" s="1222"/>
      <c r="AP434" s="1222"/>
      <c r="AQ434" s="1222"/>
      <c r="AR434" s="1222"/>
      <c r="AS434" s="1222"/>
      <c r="AT434" s="1222"/>
      <c r="AU434" s="1120"/>
      <c r="AV434" s="445"/>
      <c r="AW434" s="607"/>
      <c r="AX434" s="607"/>
      <c r="AY434" s="607"/>
      <c r="AZ434" s="1209"/>
      <c r="BA434" s="1209"/>
    </row>
    <row r="435" spans="2:53" s="256" customFormat="1" ht="24.95" customHeight="1">
      <c r="B435" s="445"/>
      <c r="C435" s="204"/>
      <c r="D435" s="204"/>
      <c r="E435" s="204"/>
      <c r="F435" s="368"/>
      <c r="G435" s="1134"/>
      <c r="H435" s="401"/>
      <c r="I435" s="317"/>
      <c r="N435" s="317"/>
      <c r="O435" s="1135"/>
      <c r="P435" s="1136"/>
      <c r="Q435" s="1137"/>
      <c r="R435" s="1120"/>
      <c r="S435" s="1120"/>
      <c r="T435" s="1120"/>
      <c r="U435" s="1120"/>
      <c r="V435" s="1120"/>
      <c r="W435" s="1120"/>
      <c r="Z435" s="1145"/>
      <c r="AA435" s="1120"/>
      <c r="AB435" s="1120"/>
      <c r="AC435" s="1120"/>
      <c r="AD435" s="1212"/>
      <c r="AE435" s="1212"/>
      <c r="AF435" s="1186"/>
      <c r="AG435" s="1186"/>
      <c r="AH435" s="1222"/>
      <c r="AI435" s="1222"/>
      <c r="AJ435" s="1222"/>
      <c r="AK435" s="1222"/>
      <c r="AL435" s="1222"/>
      <c r="AM435" s="1222"/>
      <c r="AN435" s="1222"/>
      <c r="AO435" s="1222"/>
      <c r="AP435" s="1222"/>
      <c r="AQ435" s="1222"/>
      <c r="AR435" s="1222"/>
      <c r="AS435" s="1222"/>
      <c r="AT435" s="1222"/>
      <c r="AU435" s="1120"/>
      <c r="AV435" s="445"/>
      <c r="AW435" s="607"/>
      <c r="AX435" s="607"/>
      <c r="AY435" s="607"/>
      <c r="AZ435" s="1209"/>
      <c r="BA435" s="1209"/>
    </row>
    <row r="436" spans="2:53" s="256" customFormat="1" ht="24.95" customHeight="1">
      <c r="B436" s="445"/>
      <c r="C436" s="204"/>
      <c r="D436" s="204"/>
      <c r="E436" s="204"/>
      <c r="F436" s="368"/>
      <c r="G436" s="1134"/>
      <c r="H436" s="401"/>
      <c r="I436" s="317"/>
      <c r="N436" s="317"/>
      <c r="O436" s="1135"/>
      <c r="P436" s="1136"/>
      <c r="Q436" s="1137"/>
      <c r="R436" s="1120"/>
      <c r="S436" s="1120"/>
      <c r="T436" s="1120"/>
      <c r="U436" s="1120"/>
      <c r="V436" s="1120"/>
      <c r="W436" s="1120"/>
      <c r="Z436" s="1145"/>
      <c r="AA436" s="1120"/>
      <c r="AB436" s="1120"/>
      <c r="AC436" s="1120"/>
      <c r="AD436" s="1212"/>
      <c r="AE436" s="1212"/>
      <c r="AF436" s="1186"/>
      <c r="AG436" s="1186"/>
      <c r="AH436" s="1222"/>
      <c r="AI436" s="1222"/>
      <c r="AJ436" s="1222"/>
      <c r="AK436" s="1222"/>
      <c r="AL436" s="1222"/>
      <c r="AM436" s="1222"/>
      <c r="AN436" s="1222"/>
      <c r="AO436" s="1222"/>
      <c r="AP436" s="1222"/>
      <c r="AQ436" s="1222"/>
      <c r="AR436" s="1222"/>
      <c r="AS436" s="1222"/>
      <c r="AT436" s="1222"/>
      <c r="AU436" s="1120"/>
      <c r="AV436" s="445"/>
      <c r="AW436" s="607"/>
      <c r="AX436" s="607"/>
      <c r="AY436" s="607"/>
      <c r="AZ436" s="1209"/>
      <c r="BA436" s="1209"/>
    </row>
    <row r="437" spans="2:53" s="256" customFormat="1" ht="24.95" customHeight="1">
      <c r="B437" s="445"/>
      <c r="C437" s="204"/>
      <c r="D437" s="204"/>
      <c r="E437" s="204"/>
      <c r="F437" s="368"/>
      <c r="G437" s="1134"/>
      <c r="H437" s="401"/>
      <c r="I437" s="317"/>
      <c r="N437" s="317"/>
      <c r="O437" s="1135"/>
      <c r="P437" s="1136"/>
      <c r="Q437" s="1137"/>
      <c r="R437" s="1120"/>
      <c r="S437" s="1120"/>
      <c r="T437" s="1120"/>
      <c r="U437" s="1120"/>
      <c r="V437" s="1120"/>
      <c r="W437" s="1120"/>
      <c r="Z437" s="1145"/>
      <c r="AA437" s="1120"/>
      <c r="AB437" s="1120"/>
      <c r="AC437" s="1120"/>
      <c r="AD437" s="1212"/>
      <c r="AE437" s="1212"/>
      <c r="AF437" s="1186"/>
      <c r="AG437" s="1186"/>
      <c r="AH437" s="1222"/>
      <c r="AI437" s="1222"/>
      <c r="AJ437" s="1222"/>
      <c r="AK437" s="1222"/>
      <c r="AL437" s="1222"/>
      <c r="AM437" s="1222"/>
      <c r="AN437" s="1222"/>
      <c r="AO437" s="1222"/>
      <c r="AP437" s="1222"/>
      <c r="AQ437" s="1222"/>
      <c r="AR437" s="1222"/>
      <c r="AS437" s="1222"/>
      <c r="AT437" s="1222"/>
      <c r="AU437" s="1120"/>
      <c r="AV437" s="445"/>
      <c r="AW437" s="607"/>
      <c r="AX437" s="607"/>
      <c r="AY437" s="607"/>
      <c r="AZ437" s="1209"/>
      <c r="BA437" s="1209"/>
    </row>
    <row r="438" spans="2:53" s="256" customFormat="1" ht="24.95" customHeight="1">
      <c r="B438" s="445"/>
      <c r="C438" s="204"/>
      <c r="D438" s="204"/>
      <c r="E438" s="204"/>
      <c r="F438" s="368"/>
      <c r="G438" s="1134"/>
      <c r="H438" s="401"/>
      <c r="I438" s="317"/>
      <c r="N438" s="317"/>
      <c r="O438" s="1135"/>
      <c r="P438" s="1136"/>
      <c r="Q438" s="1137"/>
      <c r="R438" s="1120"/>
      <c r="S438" s="1120"/>
      <c r="T438" s="1120"/>
      <c r="U438" s="1120"/>
      <c r="V438" s="1120"/>
      <c r="W438" s="1120"/>
      <c r="Z438" s="1145"/>
      <c r="AA438" s="1120"/>
      <c r="AB438" s="1120"/>
      <c r="AC438" s="1120"/>
      <c r="AD438" s="1212"/>
      <c r="AE438" s="1212"/>
      <c r="AF438" s="1186"/>
      <c r="AG438" s="1186"/>
      <c r="AH438" s="1222"/>
      <c r="AI438" s="1222"/>
      <c r="AJ438" s="1222"/>
      <c r="AK438" s="1222"/>
      <c r="AL438" s="1222"/>
      <c r="AM438" s="1222"/>
      <c r="AN438" s="1222"/>
      <c r="AO438" s="1222"/>
      <c r="AP438" s="1222"/>
      <c r="AQ438" s="1222"/>
      <c r="AR438" s="1222"/>
      <c r="AS438" s="1222"/>
      <c r="AT438" s="1222"/>
      <c r="AU438" s="1120"/>
      <c r="AV438" s="445"/>
      <c r="AW438" s="607"/>
      <c r="AX438" s="607"/>
      <c r="AY438" s="607"/>
      <c r="AZ438" s="1209"/>
      <c r="BA438" s="1209"/>
    </row>
    <row r="439" spans="2:53" s="256" customFormat="1" ht="24.95" customHeight="1">
      <c r="B439" s="445"/>
      <c r="C439" s="204"/>
      <c r="D439" s="204"/>
      <c r="E439" s="204"/>
      <c r="F439" s="368"/>
      <c r="G439" s="1134"/>
      <c r="H439" s="401"/>
      <c r="I439" s="317"/>
      <c r="N439" s="317"/>
      <c r="O439" s="1135"/>
      <c r="P439" s="1136"/>
      <c r="Q439" s="1137"/>
      <c r="R439" s="1120"/>
      <c r="S439" s="1120"/>
      <c r="T439" s="1120"/>
      <c r="U439" s="1120"/>
      <c r="V439" s="1120"/>
      <c r="W439" s="1120"/>
      <c r="Z439" s="1145"/>
      <c r="AA439" s="1120"/>
      <c r="AB439" s="1120"/>
      <c r="AC439" s="1120"/>
      <c r="AD439" s="1212"/>
      <c r="AE439" s="1212"/>
      <c r="AF439" s="1186"/>
      <c r="AG439" s="1186"/>
      <c r="AH439" s="1222"/>
      <c r="AI439" s="1222"/>
      <c r="AJ439" s="1222"/>
      <c r="AK439" s="1222"/>
      <c r="AL439" s="1222"/>
      <c r="AM439" s="1222"/>
      <c r="AN439" s="1222"/>
      <c r="AO439" s="1222"/>
      <c r="AP439" s="1222"/>
      <c r="AQ439" s="1222"/>
      <c r="AR439" s="1222"/>
      <c r="AS439" s="1222"/>
      <c r="AT439" s="1222"/>
      <c r="AU439" s="1120"/>
      <c r="AV439" s="445"/>
      <c r="AW439" s="607"/>
      <c r="AX439" s="607"/>
      <c r="AY439" s="607"/>
      <c r="AZ439" s="1209"/>
      <c r="BA439" s="1209"/>
    </row>
    <row r="440" spans="2:53" s="256" customFormat="1" ht="24.95" customHeight="1">
      <c r="B440" s="445"/>
      <c r="C440" s="204"/>
      <c r="D440" s="204"/>
      <c r="E440" s="204"/>
      <c r="F440" s="368"/>
      <c r="G440" s="1134"/>
      <c r="H440" s="401"/>
      <c r="I440" s="317"/>
      <c r="N440" s="317"/>
      <c r="O440" s="1135"/>
      <c r="P440" s="1136"/>
      <c r="Q440" s="1137"/>
      <c r="R440" s="1120"/>
      <c r="S440" s="1120"/>
      <c r="T440" s="1120"/>
      <c r="U440" s="1120"/>
      <c r="V440" s="1120"/>
      <c r="W440" s="1120"/>
      <c r="Z440" s="1145"/>
      <c r="AA440" s="1120"/>
      <c r="AB440" s="1120"/>
      <c r="AC440" s="1120"/>
      <c r="AD440" s="1212"/>
      <c r="AE440" s="1212"/>
      <c r="AF440" s="1186"/>
      <c r="AG440" s="1186"/>
      <c r="AH440" s="1222"/>
      <c r="AI440" s="1222"/>
      <c r="AJ440" s="1222"/>
      <c r="AK440" s="1222"/>
      <c r="AL440" s="1222"/>
      <c r="AM440" s="1222"/>
      <c r="AN440" s="1222"/>
      <c r="AO440" s="1222"/>
      <c r="AP440" s="1222"/>
      <c r="AQ440" s="1222"/>
      <c r="AR440" s="1222"/>
      <c r="AS440" s="1222"/>
      <c r="AT440" s="1222"/>
      <c r="AU440" s="1120"/>
      <c r="AV440" s="445"/>
      <c r="AW440" s="607"/>
      <c r="AX440" s="607"/>
      <c r="AY440" s="607"/>
      <c r="AZ440" s="1209"/>
      <c r="BA440" s="1209"/>
    </row>
    <row r="441" spans="2:53" s="256" customFormat="1" ht="24.95" customHeight="1">
      <c r="B441" s="445"/>
      <c r="C441" s="204"/>
      <c r="D441" s="204"/>
      <c r="E441" s="204"/>
      <c r="F441" s="368"/>
      <c r="G441" s="1134"/>
      <c r="H441" s="401"/>
      <c r="I441" s="317"/>
      <c r="N441" s="317"/>
      <c r="O441" s="1135"/>
      <c r="P441" s="1136"/>
      <c r="Q441" s="1137"/>
      <c r="R441" s="1120"/>
      <c r="S441" s="1120"/>
      <c r="T441" s="1120"/>
      <c r="U441" s="1120"/>
      <c r="V441" s="1120"/>
      <c r="W441" s="1120"/>
      <c r="Z441" s="1145"/>
      <c r="AA441" s="1120"/>
      <c r="AB441" s="1120"/>
      <c r="AC441" s="1120"/>
      <c r="AD441" s="1212"/>
      <c r="AE441" s="1212"/>
      <c r="AF441" s="1186"/>
      <c r="AG441" s="1186"/>
      <c r="AH441" s="1222"/>
      <c r="AI441" s="1222"/>
      <c r="AJ441" s="1222"/>
      <c r="AK441" s="1222"/>
      <c r="AL441" s="1222"/>
      <c r="AM441" s="1222"/>
      <c r="AN441" s="1222"/>
      <c r="AO441" s="1222"/>
      <c r="AP441" s="1222"/>
      <c r="AQ441" s="1222"/>
      <c r="AR441" s="1222"/>
      <c r="AS441" s="1222"/>
      <c r="AT441" s="1222"/>
      <c r="AU441" s="1120"/>
      <c r="AV441" s="445"/>
      <c r="AW441" s="607"/>
      <c r="AX441" s="607"/>
      <c r="AY441" s="607"/>
      <c r="AZ441" s="1209"/>
      <c r="BA441" s="1209"/>
    </row>
    <row r="442" spans="2:53" s="256" customFormat="1" ht="24.95" customHeight="1">
      <c r="B442" s="445"/>
      <c r="C442" s="204"/>
      <c r="D442" s="204"/>
      <c r="E442" s="204"/>
      <c r="F442" s="368"/>
      <c r="G442" s="1134"/>
      <c r="H442" s="401"/>
      <c r="I442" s="317"/>
      <c r="N442" s="317"/>
      <c r="O442" s="1135"/>
      <c r="P442" s="1136"/>
      <c r="Q442" s="1137"/>
      <c r="R442" s="1120"/>
      <c r="S442" s="1120"/>
      <c r="T442" s="1120"/>
      <c r="U442" s="1120"/>
      <c r="V442" s="1120"/>
      <c r="W442" s="1120"/>
      <c r="Z442" s="1145"/>
      <c r="AA442" s="1120"/>
      <c r="AB442" s="1120"/>
      <c r="AC442" s="1120"/>
      <c r="AD442" s="1212"/>
      <c r="AE442" s="1212"/>
      <c r="AF442" s="1186"/>
      <c r="AG442" s="1186"/>
      <c r="AH442" s="1222"/>
      <c r="AI442" s="1222"/>
      <c r="AJ442" s="1222"/>
      <c r="AK442" s="1222"/>
      <c r="AL442" s="1222"/>
      <c r="AM442" s="1222"/>
      <c r="AN442" s="1222"/>
      <c r="AO442" s="1222"/>
      <c r="AP442" s="1222"/>
      <c r="AQ442" s="1222"/>
      <c r="AR442" s="1222"/>
      <c r="AS442" s="1222"/>
      <c r="AT442" s="1222"/>
      <c r="AU442" s="1120"/>
      <c r="AV442" s="445"/>
      <c r="AW442" s="607"/>
      <c r="AX442" s="607"/>
      <c r="AY442" s="607"/>
      <c r="AZ442" s="1209"/>
      <c r="BA442" s="1209"/>
    </row>
    <row r="443" spans="2:53" s="256" customFormat="1" ht="24.95" customHeight="1">
      <c r="B443" s="445"/>
      <c r="C443" s="204"/>
      <c r="D443" s="204"/>
      <c r="E443" s="204"/>
      <c r="F443" s="368"/>
      <c r="G443" s="1134"/>
      <c r="H443" s="401"/>
      <c r="I443" s="317"/>
      <c r="N443" s="317"/>
      <c r="O443" s="1135"/>
      <c r="P443" s="1136"/>
      <c r="Q443" s="1137"/>
      <c r="R443" s="1120"/>
      <c r="S443" s="1120"/>
      <c r="T443" s="1120"/>
      <c r="U443" s="1120"/>
      <c r="V443" s="1120"/>
      <c r="W443" s="1120"/>
      <c r="Z443" s="1145"/>
      <c r="AA443" s="1120"/>
      <c r="AB443" s="1120"/>
      <c r="AC443" s="1120"/>
      <c r="AD443" s="1212"/>
      <c r="AE443" s="1212"/>
      <c r="AF443" s="1186"/>
      <c r="AG443" s="1186"/>
      <c r="AH443" s="1222"/>
      <c r="AI443" s="1222"/>
      <c r="AJ443" s="1222"/>
      <c r="AK443" s="1222"/>
      <c r="AL443" s="1222"/>
      <c r="AM443" s="1222"/>
      <c r="AN443" s="1222"/>
      <c r="AO443" s="1222"/>
      <c r="AP443" s="1222"/>
      <c r="AQ443" s="1222"/>
      <c r="AR443" s="1222"/>
      <c r="AS443" s="1222"/>
      <c r="AT443" s="1222"/>
      <c r="AU443" s="1120"/>
      <c r="AV443" s="445"/>
      <c r="AW443" s="607"/>
      <c r="AX443" s="607"/>
      <c r="AY443" s="607"/>
      <c r="AZ443" s="1209"/>
      <c r="BA443" s="1209"/>
    </row>
    <row r="444" spans="2:53" s="256" customFormat="1" ht="24.95" customHeight="1">
      <c r="B444" s="445"/>
      <c r="C444" s="204"/>
      <c r="D444" s="204"/>
      <c r="E444" s="204"/>
      <c r="F444" s="368"/>
      <c r="G444" s="1134"/>
      <c r="H444" s="401"/>
      <c r="I444" s="317"/>
      <c r="N444" s="317"/>
      <c r="O444" s="1135"/>
      <c r="P444" s="1136"/>
      <c r="Q444" s="1137"/>
      <c r="R444" s="1120"/>
      <c r="S444" s="1120"/>
      <c r="T444" s="1120"/>
      <c r="U444" s="1120"/>
      <c r="V444" s="1120"/>
      <c r="W444" s="1120"/>
      <c r="Z444" s="1145"/>
      <c r="AA444" s="1120"/>
      <c r="AB444" s="1120"/>
      <c r="AC444" s="1120"/>
      <c r="AD444" s="1212"/>
      <c r="AE444" s="1212"/>
      <c r="AF444" s="1186"/>
      <c r="AG444" s="1186"/>
      <c r="AH444" s="1222"/>
      <c r="AI444" s="1222"/>
      <c r="AJ444" s="1222"/>
      <c r="AK444" s="1222"/>
      <c r="AL444" s="1222"/>
      <c r="AM444" s="1222"/>
      <c r="AN444" s="1222"/>
      <c r="AO444" s="1222"/>
      <c r="AP444" s="1222"/>
      <c r="AQ444" s="1222"/>
      <c r="AR444" s="1222"/>
      <c r="AS444" s="1222"/>
      <c r="AT444" s="1222"/>
      <c r="AU444" s="1120"/>
      <c r="AV444" s="445"/>
      <c r="AW444" s="607"/>
      <c r="AX444" s="607"/>
      <c r="AY444" s="607"/>
      <c r="AZ444" s="1209"/>
      <c r="BA444" s="1209"/>
    </row>
    <row r="445" spans="2:53" s="256" customFormat="1" ht="24.95" customHeight="1">
      <c r="B445" s="445"/>
      <c r="C445" s="204"/>
      <c r="D445" s="204"/>
      <c r="E445" s="204"/>
      <c r="F445" s="368"/>
      <c r="G445" s="1134"/>
      <c r="H445" s="401"/>
      <c r="I445" s="317"/>
      <c r="N445" s="317"/>
      <c r="O445" s="1135"/>
      <c r="P445" s="1136"/>
      <c r="Q445" s="1137"/>
      <c r="R445" s="1120"/>
      <c r="S445" s="1120"/>
      <c r="T445" s="1120"/>
      <c r="U445" s="1120"/>
      <c r="V445" s="1120"/>
      <c r="W445" s="1120"/>
      <c r="Z445" s="1145"/>
      <c r="AA445" s="1120"/>
      <c r="AB445" s="1120"/>
      <c r="AC445" s="1120"/>
      <c r="AD445" s="1212"/>
      <c r="AE445" s="1212"/>
      <c r="AF445" s="1186"/>
      <c r="AG445" s="1186"/>
      <c r="AH445" s="1222"/>
      <c r="AI445" s="1222"/>
      <c r="AJ445" s="1222"/>
      <c r="AK445" s="1222"/>
      <c r="AL445" s="1222"/>
      <c r="AM445" s="1222"/>
      <c r="AN445" s="1222"/>
      <c r="AO445" s="1222"/>
      <c r="AP445" s="1222"/>
      <c r="AQ445" s="1222"/>
      <c r="AR445" s="1222"/>
      <c r="AS445" s="1222"/>
      <c r="AT445" s="1222"/>
      <c r="AU445" s="1120"/>
      <c r="AV445" s="445"/>
      <c r="AW445" s="607"/>
      <c r="AX445" s="607"/>
      <c r="AY445" s="607"/>
      <c r="AZ445" s="1209"/>
      <c r="BA445" s="1209"/>
    </row>
    <row r="446" spans="2:53" s="256" customFormat="1" ht="24.95" customHeight="1">
      <c r="B446" s="445"/>
      <c r="C446" s="204"/>
      <c r="D446" s="204"/>
      <c r="E446" s="204"/>
      <c r="F446" s="368"/>
      <c r="G446" s="1134"/>
      <c r="H446" s="401"/>
      <c r="I446" s="317"/>
      <c r="N446" s="317"/>
      <c r="O446" s="1135"/>
      <c r="P446" s="1136"/>
      <c r="Q446" s="1137"/>
      <c r="R446" s="1120"/>
      <c r="S446" s="1120"/>
      <c r="T446" s="1120"/>
      <c r="U446" s="1120"/>
      <c r="V446" s="1120"/>
      <c r="W446" s="1120"/>
      <c r="Z446" s="1145"/>
      <c r="AA446" s="1120"/>
      <c r="AB446" s="1120"/>
      <c r="AC446" s="1120"/>
      <c r="AD446" s="1212"/>
      <c r="AE446" s="1212"/>
      <c r="AF446" s="1186"/>
      <c r="AG446" s="1186"/>
      <c r="AH446" s="1222"/>
      <c r="AI446" s="1222"/>
      <c r="AJ446" s="1222"/>
      <c r="AK446" s="1222"/>
      <c r="AL446" s="1222"/>
      <c r="AM446" s="1222"/>
      <c r="AN446" s="1222"/>
      <c r="AO446" s="1222"/>
      <c r="AP446" s="1222"/>
      <c r="AQ446" s="1222"/>
      <c r="AR446" s="1222"/>
      <c r="AS446" s="1222"/>
      <c r="AT446" s="1222"/>
      <c r="AU446" s="1120"/>
      <c r="AV446" s="445"/>
      <c r="AW446" s="607"/>
      <c r="AX446" s="607"/>
      <c r="AY446" s="607"/>
      <c r="AZ446" s="1209"/>
      <c r="BA446" s="1209"/>
    </row>
    <row r="447" spans="2:53" s="256" customFormat="1" ht="24.95" customHeight="1">
      <c r="B447" s="445"/>
      <c r="C447" s="204"/>
      <c r="D447" s="204"/>
      <c r="E447" s="204"/>
      <c r="F447" s="368"/>
      <c r="G447" s="1134"/>
      <c r="H447" s="401"/>
      <c r="I447" s="317"/>
      <c r="N447" s="317"/>
      <c r="O447" s="1135"/>
      <c r="P447" s="1136"/>
      <c r="Q447" s="1137"/>
      <c r="R447" s="1120"/>
      <c r="S447" s="1120"/>
      <c r="T447" s="1120"/>
      <c r="U447" s="1120"/>
      <c r="V447" s="1120"/>
      <c r="W447" s="1120"/>
      <c r="Z447" s="1145"/>
      <c r="AA447" s="1120"/>
      <c r="AB447" s="1120"/>
      <c r="AC447" s="1120"/>
      <c r="AD447" s="1212"/>
      <c r="AE447" s="1212"/>
      <c r="AF447" s="1186"/>
      <c r="AG447" s="1186"/>
      <c r="AH447" s="1222"/>
      <c r="AI447" s="1222"/>
      <c r="AJ447" s="1222"/>
      <c r="AK447" s="1222"/>
      <c r="AL447" s="1222"/>
      <c r="AM447" s="1222"/>
      <c r="AN447" s="1222"/>
      <c r="AO447" s="1222"/>
      <c r="AP447" s="1222"/>
      <c r="AQ447" s="1222"/>
      <c r="AR447" s="1222"/>
      <c r="AS447" s="1222"/>
      <c r="AT447" s="1222"/>
      <c r="AU447" s="1120"/>
      <c r="AV447" s="445"/>
      <c r="AW447" s="607"/>
      <c r="AX447" s="607"/>
      <c r="AY447" s="607"/>
      <c r="AZ447" s="1209"/>
      <c r="BA447" s="1209"/>
    </row>
    <row r="448" spans="2:53" s="256" customFormat="1" ht="24.95" customHeight="1">
      <c r="B448" s="445"/>
      <c r="C448" s="204"/>
      <c r="D448" s="204"/>
      <c r="E448" s="204"/>
      <c r="F448" s="368"/>
      <c r="G448" s="1134"/>
      <c r="H448" s="401"/>
      <c r="I448" s="317"/>
      <c r="N448" s="317"/>
      <c r="O448" s="1135"/>
      <c r="P448" s="1136"/>
      <c r="Q448" s="1137"/>
      <c r="R448" s="1120"/>
      <c r="S448" s="1120"/>
      <c r="T448" s="1120"/>
      <c r="U448" s="1120"/>
      <c r="V448" s="1120"/>
      <c r="W448" s="1120"/>
      <c r="Z448" s="1145"/>
      <c r="AA448" s="1120"/>
      <c r="AB448" s="1120"/>
      <c r="AC448" s="1120"/>
      <c r="AD448" s="1212"/>
      <c r="AE448" s="1212"/>
      <c r="AF448" s="1186"/>
      <c r="AG448" s="1186"/>
      <c r="AH448" s="1222"/>
      <c r="AI448" s="1222"/>
      <c r="AJ448" s="1222"/>
      <c r="AK448" s="1222"/>
      <c r="AL448" s="1222"/>
      <c r="AM448" s="1222"/>
      <c r="AN448" s="1222"/>
      <c r="AO448" s="1222"/>
      <c r="AP448" s="1222"/>
      <c r="AQ448" s="1222"/>
      <c r="AR448" s="1222"/>
      <c r="AS448" s="1222"/>
      <c r="AT448" s="1222"/>
      <c r="AU448" s="1120"/>
      <c r="AV448" s="445"/>
      <c r="AW448" s="607"/>
      <c r="AX448" s="607"/>
      <c r="AY448" s="607"/>
      <c r="AZ448" s="1209"/>
      <c r="BA448" s="1209"/>
    </row>
    <row r="449" spans="2:53" s="256" customFormat="1" ht="24.95" customHeight="1">
      <c r="B449" s="445"/>
      <c r="C449" s="204"/>
      <c r="D449" s="204"/>
      <c r="E449" s="204"/>
      <c r="F449" s="368"/>
      <c r="G449" s="1134"/>
      <c r="H449" s="401"/>
      <c r="I449" s="317"/>
      <c r="N449" s="317"/>
      <c r="O449" s="1135"/>
      <c r="P449" s="1136"/>
      <c r="Q449" s="1137"/>
      <c r="R449" s="1120"/>
      <c r="S449" s="1120"/>
      <c r="T449" s="1120"/>
      <c r="U449" s="1120"/>
      <c r="V449" s="1120"/>
      <c r="W449" s="1120"/>
      <c r="Z449" s="1145"/>
      <c r="AA449" s="1120"/>
      <c r="AB449" s="1120"/>
      <c r="AC449" s="1120"/>
      <c r="AD449" s="1212"/>
      <c r="AE449" s="1212"/>
      <c r="AF449" s="1186"/>
      <c r="AG449" s="1186"/>
      <c r="AH449" s="1222"/>
      <c r="AI449" s="1222"/>
      <c r="AJ449" s="1222"/>
      <c r="AK449" s="1222"/>
      <c r="AL449" s="1222"/>
      <c r="AM449" s="1222"/>
      <c r="AN449" s="1222"/>
      <c r="AO449" s="1222"/>
      <c r="AP449" s="1222"/>
      <c r="AQ449" s="1222"/>
      <c r="AR449" s="1222"/>
      <c r="AS449" s="1222"/>
      <c r="AT449" s="1222"/>
      <c r="AU449" s="1120"/>
      <c r="AV449" s="445"/>
      <c r="AW449" s="607"/>
      <c r="AX449" s="607"/>
      <c r="AY449" s="607"/>
      <c r="AZ449" s="1209"/>
      <c r="BA449" s="1209"/>
    </row>
    <row r="450" spans="2:53" s="256" customFormat="1" ht="24.95" customHeight="1">
      <c r="B450" s="445"/>
      <c r="C450" s="204"/>
      <c r="D450" s="204"/>
      <c r="E450" s="204"/>
      <c r="F450" s="368"/>
      <c r="G450" s="1134"/>
      <c r="H450" s="401"/>
      <c r="I450" s="317"/>
      <c r="N450" s="317"/>
      <c r="O450" s="1135"/>
      <c r="P450" s="1136"/>
      <c r="Q450" s="1137"/>
      <c r="R450" s="1120"/>
      <c r="S450" s="1120"/>
      <c r="T450" s="1120"/>
      <c r="U450" s="1120"/>
      <c r="V450" s="1120"/>
      <c r="W450" s="1120"/>
      <c r="Z450" s="1145"/>
      <c r="AA450" s="1120"/>
      <c r="AB450" s="1120"/>
      <c r="AC450" s="1120"/>
      <c r="AD450" s="1212"/>
      <c r="AE450" s="1212"/>
      <c r="AF450" s="1186"/>
      <c r="AG450" s="1186"/>
      <c r="AH450" s="1222"/>
      <c r="AI450" s="1222"/>
      <c r="AJ450" s="1222"/>
      <c r="AK450" s="1222"/>
      <c r="AL450" s="1222"/>
      <c r="AM450" s="1222"/>
      <c r="AN450" s="1222"/>
      <c r="AO450" s="1222"/>
      <c r="AP450" s="1222"/>
      <c r="AQ450" s="1222"/>
      <c r="AR450" s="1222"/>
      <c r="AS450" s="1222"/>
      <c r="AT450" s="1222"/>
      <c r="AU450" s="1120"/>
      <c r="AV450" s="445"/>
      <c r="AW450" s="607"/>
      <c r="AX450" s="607"/>
      <c r="AY450" s="607"/>
      <c r="AZ450" s="1209"/>
      <c r="BA450" s="1209"/>
    </row>
    <row r="451" spans="2:53" s="256" customFormat="1" ht="24.95" customHeight="1">
      <c r="B451" s="445"/>
      <c r="C451" s="204"/>
      <c r="D451" s="204"/>
      <c r="E451" s="204"/>
      <c r="F451" s="368"/>
      <c r="G451" s="1134"/>
      <c r="H451" s="401"/>
      <c r="I451" s="317"/>
      <c r="N451" s="317"/>
      <c r="O451" s="1135"/>
      <c r="P451" s="1136"/>
      <c r="Q451" s="1137"/>
      <c r="R451" s="1120"/>
      <c r="S451" s="1120"/>
      <c r="T451" s="1120"/>
      <c r="U451" s="1120"/>
      <c r="V451" s="1120"/>
      <c r="W451" s="1120"/>
      <c r="Z451" s="1145"/>
      <c r="AA451" s="1120"/>
      <c r="AB451" s="1120"/>
      <c r="AC451" s="1120"/>
      <c r="AD451" s="1212"/>
      <c r="AE451" s="1212"/>
      <c r="AF451" s="1186"/>
      <c r="AG451" s="1186"/>
      <c r="AH451" s="1222"/>
      <c r="AI451" s="1222"/>
      <c r="AJ451" s="1222"/>
      <c r="AK451" s="1222"/>
      <c r="AL451" s="1222"/>
      <c r="AM451" s="1222"/>
      <c r="AN451" s="1222"/>
      <c r="AO451" s="1222"/>
      <c r="AP451" s="1222"/>
      <c r="AQ451" s="1222"/>
      <c r="AR451" s="1222"/>
      <c r="AS451" s="1222"/>
      <c r="AT451" s="1222"/>
      <c r="AU451" s="1120"/>
      <c r="AV451" s="445"/>
      <c r="AW451" s="607"/>
      <c r="AX451" s="607"/>
      <c r="AY451" s="607"/>
      <c r="AZ451" s="1209"/>
      <c r="BA451" s="1209"/>
    </row>
    <row r="452" spans="2:53" s="256" customFormat="1" ht="24.95" customHeight="1">
      <c r="B452" s="445"/>
      <c r="C452" s="204"/>
      <c r="D452" s="204"/>
      <c r="E452" s="204"/>
      <c r="F452" s="368"/>
      <c r="G452" s="1134"/>
      <c r="H452" s="401"/>
      <c r="I452" s="317"/>
      <c r="N452" s="317"/>
      <c r="O452" s="1135"/>
      <c r="P452" s="1136"/>
      <c r="Q452" s="1137"/>
      <c r="R452" s="1120"/>
      <c r="S452" s="1120"/>
      <c r="T452" s="1120"/>
      <c r="U452" s="1120"/>
      <c r="V452" s="1120"/>
      <c r="W452" s="1120"/>
      <c r="Z452" s="1145"/>
      <c r="AA452" s="1120"/>
      <c r="AB452" s="1120"/>
      <c r="AC452" s="1120"/>
      <c r="AD452" s="1212"/>
      <c r="AE452" s="1212"/>
      <c r="AF452" s="1186"/>
      <c r="AG452" s="1186"/>
      <c r="AH452" s="1222"/>
      <c r="AI452" s="1222"/>
      <c r="AJ452" s="1222"/>
      <c r="AK452" s="1222"/>
      <c r="AL452" s="1222"/>
      <c r="AM452" s="1222"/>
      <c r="AN452" s="1222"/>
      <c r="AO452" s="1222"/>
      <c r="AP452" s="1222"/>
      <c r="AQ452" s="1222"/>
      <c r="AR452" s="1222"/>
      <c r="AS452" s="1222"/>
      <c r="AT452" s="1222"/>
      <c r="AU452" s="1120"/>
      <c r="AV452" s="445"/>
      <c r="AW452" s="607"/>
      <c r="AX452" s="607"/>
      <c r="AY452" s="607"/>
      <c r="AZ452" s="1209"/>
      <c r="BA452" s="1209"/>
    </row>
    <row r="453" spans="2:53" s="256" customFormat="1" ht="24.95" customHeight="1">
      <c r="B453" s="445"/>
      <c r="C453" s="204"/>
      <c r="D453" s="204"/>
      <c r="E453" s="204"/>
      <c r="F453" s="368"/>
      <c r="G453" s="1134"/>
      <c r="H453" s="401"/>
      <c r="I453" s="317"/>
      <c r="N453" s="317"/>
      <c r="O453" s="1135"/>
      <c r="P453" s="1136"/>
      <c r="Q453" s="1137"/>
      <c r="R453" s="1120"/>
      <c r="S453" s="1120"/>
      <c r="T453" s="1120"/>
      <c r="U453" s="1120"/>
      <c r="V453" s="1120"/>
      <c r="W453" s="1120"/>
      <c r="Z453" s="1145"/>
      <c r="AA453" s="1120"/>
      <c r="AB453" s="1120"/>
      <c r="AC453" s="1120"/>
      <c r="AD453" s="1212"/>
      <c r="AE453" s="1212"/>
      <c r="AF453" s="1186"/>
      <c r="AG453" s="1186"/>
      <c r="AH453" s="1222"/>
      <c r="AI453" s="1222"/>
      <c r="AJ453" s="1222"/>
      <c r="AK453" s="1222"/>
      <c r="AL453" s="1222"/>
      <c r="AM453" s="1222"/>
      <c r="AN453" s="1222"/>
      <c r="AO453" s="1222"/>
      <c r="AP453" s="1222"/>
      <c r="AQ453" s="1222"/>
      <c r="AR453" s="1222"/>
      <c r="AS453" s="1222"/>
      <c r="AT453" s="1222"/>
      <c r="AU453" s="1120"/>
      <c r="AV453" s="445"/>
      <c r="AW453" s="607"/>
      <c r="AX453" s="607"/>
      <c r="AY453" s="607"/>
      <c r="AZ453" s="1209"/>
      <c r="BA453" s="1209"/>
    </row>
    <row r="454" spans="2:53" s="256" customFormat="1" ht="24.95" customHeight="1">
      <c r="B454" s="445"/>
      <c r="C454" s="204"/>
      <c r="D454" s="204"/>
      <c r="E454" s="204"/>
      <c r="F454" s="368"/>
      <c r="G454" s="1134"/>
      <c r="H454" s="401"/>
      <c r="I454" s="317"/>
      <c r="N454" s="317"/>
      <c r="O454" s="1135"/>
      <c r="P454" s="1136"/>
      <c r="Q454" s="1137"/>
      <c r="R454" s="1120"/>
      <c r="S454" s="1120"/>
      <c r="T454" s="1120"/>
      <c r="U454" s="1120"/>
      <c r="V454" s="1120"/>
      <c r="W454" s="1120"/>
      <c r="Z454" s="1145"/>
      <c r="AA454" s="1120"/>
      <c r="AB454" s="1120"/>
      <c r="AC454" s="1120"/>
      <c r="AD454" s="1212"/>
      <c r="AE454" s="1212"/>
      <c r="AF454" s="1186"/>
      <c r="AG454" s="1186"/>
      <c r="AH454" s="1222"/>
      <c r="AI454" s="1222"/>
      <c r="AJ454" s="1222"/>
      <c r="AK454" s="1222"/>
      <c r="AL454" s="1222"/>
      <c r="AM454" s="1222"/>
      <c r="AN454" s="1222"/>
      <c r="AO454" s="1222"/>
      <c r="AP454" s="1222"/>
      <c r="AQ454" s="1222"/>
      <c r="AR454" s="1222"/>
      <c r="AS454" s="1222"/>
      <c r="AT454" s="1222"/>
      <c r="AU454" s="1120"/>
      <c r="AV454" s="445"/>
      <c r="AW454" s="607"/>
      <c r="AX454" s="607"/>
      <c r="AY454" s="607"/>
      <c r="AZ454" s="1209"/>
      <c r="BA454" s="1209"/>
    </row>
    <row r="455" spans="2:53" s="256" customFormat="1" ht="24.95" customHeight="1">
      <c r="B455" s="445"/>
      <c r="C455" s="204"/>
      <c r="D455" s="204"/>
      <c r="E455" s="204"/>
      <c r="F455" s="368"/>
      <c r="G455" s="1134"/>
      <c r="H455" s="401"/>
      <c r="I455" s="317"/>
      <c r="N455" s="317"/>
      <c r="O455" s="1135"/>
      <c r="P455" s="1136"/>
      <c r="Q455" s="1137"/>
      <c r="R455" s="1120"/>
      <c r="S455" s="1120"/>
      <c r="T455" s="1120"/>
      <c r="U455" s="1120"/>
      <c r="V455" s="1120"/>
      <c r="W455" s="1120"/>
      <c r="Z455" s="1145"/>
      <c r="AA455" s="1120"/>
      <c r="AB455" s="1120"/>
      <c r="AC455" s="1120"/>
      <c r="AD455" s="1212"/>
      <c r="AE455" s="1212"/>
      <c r="AF455" s="1186"/>
      <c r="AG455" s="1186"/>
      <c r="AH455" s="1222"/>
      <c r="AI455" s="1222"/>
      <c r="AJ455" s="1222"/>
      <c r="AK455" s="1222"/>
      <c r="AL455" s="1222"/>
      <c r="AM455" s="1222"/>
      <c r="AN455" s="1222"/>
      <c r="AO455" s="1222"/>
      <c r="AP455" s="1222"/>
      <c r="AQ455" s="1222"/>
      <c r="AR455" s="1222"/>
      <c r="AS455" s="1222"/>
      <c r="AT455" s="1222"/>
      <c r="AU455" s="1120"/>
      <c r="AV455" s="445"/>
      <c r="AW455" s="607"/>
      <c r="AX455" s="607"/>
      <c r="AY455" s="607"/>
      <c r="AZ455" s="1209"/>
      <c r="BA455" s="1209"/>
    </row>
    <row r="456" spans="2:53" s="256" customFormat="1" ht="24.95" customHeight="1">
      <c r="B456" s="445"/>
      <c r="C456" s="204"/>
      <c r="D456" s="204"/>
      <c r="E456" s="204"/>
      <c r="F456" s="368"/>
      <c r="G456" s="1134"/>
      <c r="H456" s="401"/>
      <c r="I456" s="317"/>
      <c r="N456" s="317"/>
      <c r="O456" s="1135"/>
      <c r="P456" s="1136"/>
      <c r="Q456" s="1137"/>
      <c r="R456" s="1120"/>
      <c r="S456" s="1120"/>
      <c r="T456" s="1120"/>
      <c r="U456" s="1120"/>
      <c r="V456" s="1120"/>
      <c r="W456" s="1120"/>
      <c r="Z456" s="1145"/>
      <c r="AA456" s="1120"/>
      <c r="AB456" s="1120"/>
      <c r="AC456" s="1120"/>
      <c r="AD456" s="1212"/>
      <c r="AE456" s="1212"/>
      <c r="AF456" s="1186"/>
      <c r="AG456" s="1186"/>
      <c r="AH456" s="1222"/>
      <c r="AI456" s="1222"/>
      <c r="AJ456" s="1222"/>
      <c r="AK456" s="1222"/>
      <c r="AL456" s="1222"/>
      <c r="AM456" s="1222"/>
      <c r="AN456" s="1222"/>
      <c r="AO456" s="1222"/>
      <c r="AP456" s="1222"/>
      <c r="AQ456" s="1222"/>
      <c r="AR456" s="1222"/>
      <c r="AS456" s="1222"/>
      <c r="AT456" s="1222"/>
      <c r="AU456" s="1120"/>
      <c r="AV456" s="445"/>
      <c r="AW456" s="607"/>
      <c r="AX456" s="607"/>
      <c r="AY456" s="607"/>
      <c r="AZ456" s="1209"/>
      <c r="BA456" s="1209"/>
    </row>
    <row r="457" spans="2:53" s="256" customFormat="1" ht="24.95" customHeight="1">
      <c r="B457" s="445"/>
      <c r="C457" s="204"/>
      <c r="D457" s="204"/>
      <c r="E457" s="204"/>
      <c r="F457" s="368"/>
      <c r="G457" s="1134"/>
      <c r="H457" s="401"/>
      <c r="I457" s="317"/>
      <c r="N457" s="317"/>
      <c r="O457" s="1135"/>
      <c r="P457" s="1136"/>
      <c r="Q457" s="1137"/>
      <c r="R457" s="1120"/>
      <c r="S457" s="1120"/>
      <c r="T457" s="1120"/>
      <c r="U457" s="1120"/>
      <c r="V457" s="1120"/>
      <c r="W457" s="1120"/>
      <c r="Z457" s="1145"/>
      <c r="AA457" s="1120"/>
      <c r="AB457" s="1120"/>
      <c r="AC457" s="1120"/>
      <c r="AD457" s="1212"/>
      <c r="AE457" s="1212"/>
      <c r="AF457" s="1186"/>
      <c r="AG457" s="1186"/>
      <c r="AH457" s="1222"/>
      <c r="AI457" s="1222"/>
      <c r="AJ457" s="1222"/>
      <c r="AK457" s="1222"/>
      <c r="AL457" s="1222"/>
      <c r="AM457" s="1222"/>
      <c r="AN457" s="1222"/>
      <c r="AO457" s="1222"/>
      <c r="AP457" s="1222"/>
      <c r="AQ457" s="1222"/>
      <c r="AR457" s="1222"/>
      <c r="AS457" s="1222"/>
      <c r="AT457" s="1222"/>
      <c r="AU457" s="1120"/>
      <c r="AV457" s="445"/>
      <c r="AW457" s="607"/>
      <c r="AX457" s="607"/>
      <c r="AY457" s="607"/>
      <c r="AZ457" s="1209"/>
      <c r="BA457" s="1209"/>
    </row>
    <row r="458" spans="2:53" s="256" customFormat="1" ht="24.95" customHeight="1">
      <c r="B458" s="445"/>
      <c r="C458" s="204"/>
      <c r="D458" s="204"/>
      <c r="E458" s="204"/>
      <c r="F458" s="368"/>
      <c r="G458" s="1134"/>
      <c r="H458" s="401"/>
      <c r="I458" s="317"/>
      <c r="N458" s="317"/>
      <c r="O458" s="1135"/>
      <c r="P458" s="1136"/>
      <c r="Q458" s="1137"/>
      <c r="R458" s="1120"/>
      <c r="S458" s="1120"/>
      <c r="T458" s="1120"/>
      <c r="U458" s="1120"/>
      <c r="V458" s="1120"/>
      <c r="W458" s="1120"/>
      <c r="Z458" s="1145"/>
      <c r="AA458" s="1120"/>
      <c r="AB458" s="1120"/>
      <c r="AC458" s="1120"/>
      <c r="AD458" s="1212"/>
      <c r="AE458" s="1212"/>
      <c r="AF458" s="1186"/>
      <c r="AG458" s="1186"/>
      <c r="AH458" s="1222"/>
      <c r="AI458" s="1222"/>
      <c r="AJ458" s="1222"/>
      <c r="AK458" s="1222"/>
      <c r="AL458" s="1222"/>
      <c r="AM458" s="1222"/>
      <c r="AN458" s="1222"/>
      <c r="AO458" s="1222"/>
      <c r="AP458" s="1222"/>
      <c r="AQ458" s="1222"/>
      <c r="AR458" s="1222"/>
      <c r="AS458" s="1222"/>
      <c r="AT458" s="1222"/>
      <c r="AU458" s="1120"/>
      <c r="AV458" s="445"/>
      <c r="AW458" s="607"/>
      <c r="AX458" s="607"/>
      <c r="AY458" s="607"/>
      <c r="AZ458" s="1209"/>
      <c r="BA458" s="1209"/>
    </row>
    <row r="459" spans="2:53" s="256" customFormat="1" ht="24.95" customHeight="1">
      <c r="B459" s="445"/>
      <c r="C459" s="204"/>
      <c r="D459" s="204"/>
      <c r="E459" s="204"/>
      <c r="F459" s="368"/>
      <c r="G459" s="1134"/>
      <c r="H459" s="401"/>
      <c r="I459" s="317"/>
      <c r="N459" s="317"/>
      <c r="O459" s="1135"/>
      <c r="P459" s="1136"/>
      <c r="Q459" s="1137"/>
      <c r="R459" s="1120"/>
      <c r="S459" s="1120"/>
      <c r="T459" s="1120"/>
      <c r="U459" s="1120"/>
      <c r="V459" s="1120"/>
      <c r="W459" s="1120"/>
      <c r="Z459" s="1145"/>
      <c r="AA459" s="1120"/>
      <c r="AB459" s="1120"/>
      <c r="AC459" s="1120"/>
      <c r="AD459" s="1212"/>
      <c r="AE459" s="1212"/>
      <c r="AF459" s="1186"/>
      <c r="AG459" s="1186"/>
      <c r="AH459" s="1222"/>
      <c r="AI459" s="1222"/>
      <c r="AJ459" s="1222"/>
      <c r="AK459" s="1222"/>
      <c r="AL459" s="1222"/>
      <c r="AM459" s="1222"/>
      <c r="AN459" s="1222"/>
      <c r="AO459" s="1222"/>
      <c r="AP459" s="1222"/>
      <c r="AQ459" s="1222"/>
      <c r="AR459" s="1222"/>
      <c r="AS459" s="1222"/>
      <c r="AT459" s="1222"/>
      <c r="AU459" s="1120"/>
      <c r="AV459" s="445"/>
      <c r="AW459" s="607"/>
      <c r="AX459" s="607"/>
      <c r="AY459" s="607"/>
      <c r="AZ459" s="1209"/>
      <c r="BA459" s="1209"/>
    </row>
    <row r="460" spans="2:53" s="256" customFormat="1" ht="24.95" customHeight="1">
      <c r="B460" s="445"/>
      <c r="C460" s="204"/>
      <c r="D460" s="204"/>
      <c r="E460" s="204"/>
      <c r="F460" s="368"/>
      <c r="G460" s="1134"/>
      <c r="H460" s="401"/>
      <c r="I460" s="317"/>
      <c r="N460" s="317"/>
      <c r="O460" s="1135"/>
      <c r="P460" s="1136"/>
      <c r="Q460" s="1137"/>
      <c r="R460" s="1120"/>
      <c r="S460" s="1120"/>
      <c r="T460" s="1120"/>
      <c r="U460" s="1120"/>
      <c r="V460" s="1120"/>
      <c r="W460" s="1120"/>
      <c r="Z460" s="1145"/>
      <c r="AA460" s="1120"/>
      <c r="AB460" s="1120"/>
      <c r="AC460" s="1120"/>
      <c r="AD460" s="1212"/>
      <c r="AE460" s="1212"/>
      <c r="AF460" s="1186"/>
      <c r="AG460" s="1186"/>
      <c r="AH460" s="1222"/>
      <c r="AI460" s="1222"/>
      <c r="AJ460" s="1222"/>
      <c r="AK460" s="1222"/>
      <c r="AL460" s="1222"/>
      <c r="AM460" s="1222"/>
      <c r="AN460" s="1222"/>
      <c r="AO460" s="1222"/>
      <c r="AP460" s="1222"/>
      <c r="AQ460" s="1222"/>
      <c r="AR460" s="1222"/>
      <c r="AS460" s="1222"/>
      <c r="AT460" s="1222"/>
      <c r="AU460" s="1120"/>
      <c r="AV460" s="445"/>
      <c r="AW460" s="607"/>
      <c r="AX460" s="607"/>
      <c r="AY460" s="607"/>
      <c r="AZ460" s="1209"/>
      <c r="BA460" s="1209"/>
    </row>
    <row r="461" spans="2:53" s="256" customFormat="1" ht="24.95" customHeight="1">
      <c r="B461" s="445"/>
      <c r="C461" s="204"/>
      <c r="D461" s="204"/>
      <c r="E461" s="204"/>
      <c r="F461" s="368"/>
      <c r="G461" s="1134"/>
      <c r="H461" s="401"/>
      <c r="I461" s="317"/>
      <c r="N461" s="317"/>
      <c r="O461" s="1135"/>
      <c r="P461" s="1136"/>
      <c r="Q461" s="1137"/>
      <c r="R461" s="1120"/>
      <c r="S461" s="1120"/>
      <c r="T461" s="1120"/>
      <c r="U461" s="1120"/>
      <c r="V461" s="1120"/>
      <c r="W461" s="1120"/>
      <c r="Z461" s="1145"/>
      <c r="AA461" s="1120"/>
      <c r="AB461" s="1120"/>
      <c r="AC461" s="1120"/>
      <c r="AD461" s="1212"/>
      <c r="AE461" s="1212"/>
      <c r="AF461" s="1186"/>
      <c r="AG461" s="1186"/>
      <c r="AH461" s="1222"/>
      <c r="AI461" s="1222"/>
      <c r="AJ461" s="1222"/>
      <c r="AK461" s="1222"/>
      <c r="AL461" s="1222"/>
      <c r="AM461" s="1222"/>
      <c r="AN461" s="1222"/>
      <c r="AO461" s="1222"/>
      <c r="AP461" s="1222"/>
      <c r="AQ461" s="1222"/>
      <c r="AR461" s="1222"/>
      <c r="AS461" s="1222"/>
      <c r="AT461" s="1222"/>
      <c r="AU461" s="1120"/>
      <c r="AV461" s="445"/>
      <c r="AW461" s="607"/>
      <c r="AX461" s="607"/>
      <c r="AY461" s="607"/>
      <c r="AZ461" s="1209"/>
      <c r="BA461" s="1209"/>
    </row>
    <row r="462" spans="2:53" s="256" customFormat="1" ht="24.95" customHeight="1">
      <c r="B462" s="445"/>
      <c r="C462" s="204"/>
      <c r="D462" s="204"/>
      <c r="E462" s="204"/>
      <c r="F462" s="368"/>
      <c r="G462" s="1134"/>
      <c r="H462" s="401"/>
      <c r="I462" s="317"/>
      <c r="N462" s="317"/>
      <c r="O462" s="1135"/>
      <c r="P462" s="1136"/>
      <c r="Q462" s="1137"/>
      <c r="R462" s="1120"/>
      <c r="S462" s="1120"/>
      <c r="T462" s="1120"/>
      <c r="U462" s="1120"/>
      <c r="V462" s="1120"/>
      <c r="W462" s="1120"/>
      <c r="Z462" s="1145"/>
      <c r="AA462" s="1120"/>
      <c r="AB462" s="1120"/>
      <c r="AC462" s="1120"/>
      <c r="AD462" s="1212"/>
      <c r="AE462" s="1212"/>
      <c r="AF462" s="1186"/>
      <c r="AG462" s="1186"/>
      <c r="AH462" s="1222"/>
      <c r="AI462" s="1222"/>
      <c r="AJ462" s="1222"/>
      <c r="AK462" s="1222"/>
      <c r="AL462" s="1222"/>
      <c r="AM462" s="1222"/>
      <c r="AN462" s="1222"/>
      <c r="AO462" s="1222"/>
      <c r="AP462" s="1222"/>
      <c r="AQ462" s="1222"/>
      <c r="AR462" s="1222"/>
      <c r="AS462" s="1222"/>
      <c r="AT462" s="1222"/>
      <c r="AU462" s="1120"/>
      <c r="AV462" s="445"/>
      <c r="AW462" s="607"/>
      <c r="AX462" s="607"/>
      <c r="AY462" s="607"/>
      <c r="AZ462" s="1209"/>
      <c r="BA462" s="1209"/>
    </row>
    <row r="463" spans="2:53" s="256" customFormat="1" ht="24.95" customHeight="1">
      <c r="B463" s="445"/>
      <c r="C463" s="204"/>
      <c r="D463" s="204"/>
      <c r="E463" s="204"/>
      <c r="F463" s="368"/>
      <c r="G463" s="1134"/>
      <c r="H463" s="401"/>
      <c r="I463" s="317"/>
      <c r="N463" s="317"/>
      <c r="O463" s="1135"/>
      <c r="P463" s="1136"/>
      <c r="Q463" s="1137"/>
      <c r="R463" s="1120"/>
      <c r="S463" s="1120"/>
      <c r="T463" s="1120"/>
      <c r="U463" s="1120"/>
      <c r="V463" s="1120"/>
      <c r="W463" s="1120"/>
      <c r="Z463" s="1145"/>
      <c r="AA463" s="1120"/>
      <c r="AB463" s="1120"/>
      <c r="AC463" s="1120"/>
      <c r="AD463" s="1212"/>
      <c r="AE463" s="1212"/>
      <c r="AF463" s="1186"/>
      <c r="AG463" s="1186"/>
      <c r="AH463" s="1222"/>
      <c r="AI463" s="1222"/>
      <c r="AJ463" s="1222"/>
      <c r="AK463" s="1222"/>
      <c r="AL463" s="1222"/>
      <c r="AM463" s="1222"/>
      <c r="AN463" s="1222"/>
      <c r="AO463" s="1222"/>
      <c r="AP463" s="1222"/>
      <c r="AQ463" s="1222"/>
      <c r="AR463" s="1222"/>
      <c r="AS463" s="1222"/>
      <c r="AT463" s="1222"/>
      <c r="AU463" s="1120"/>
      <c r="AV463" s="445"/>
      <c r="AW463" s="607"/>
      <c r="AX463" s="607"/>
      <c r="AY463" s="607"/>
      <c r="AZ463" s="1209"/>
      <c r="BA463" s="1209"/>
    </row>
    <row r="464" spans="2:53" s="256" customFormat="1" ht="24.95" customHeight="1">
      <c r="B464" s="445"/>
      <c r="C464" s="204"/>
      <c r="D464" s="204"/>
      <c r="E464" s="204"/>
      <c r="F464" s="368"/>
      <c r="G464" s="1134"/>
      <c r="H464" s="401"/>
      <c r="I464" s="317"/>
      <c r="N464" s="317"/>
      <c r="O464" s="1135"/>
      <c r="P464" s="1136"/>
      <c r="Q464" s="1137"/>
      <c r="R464" s="1120"/>
      <c r="S464" s="1120"/>
      <c r="T464" s="1120"/>
      <c r="U464" s="1120"/>
      <c r="V464" s="1120"/>
      <c r="W464" s="1120"/>
      <c r="Z464" s="1145"/>
      <c r="AA464" s="1120"/>
      <c r="AB464" s="1120"/>
      <c r="AC464" s="1120"/>
      <c r="AD464" s="1212"/>
      <c r="AE464" s="1212"/>
      <c r="AF464" s="1186"/>
      <c r="AG464" s="1186"/>
      <c r="AH464" s="1222"/>
      <c r="AI464" s="1222"/>
      <c r="AJ464" s="1222"/>
      <c r="AK464" s="1222"/>
      <c r="AL464" s="1222"/>
      <c r="AM464" s="1222"/>
      <c r="AN464" s="1222"/>
      <c r="AO464" s="1222"/>
      <c r="AP464" s="1222"/>
      <c r="AQ464" s="1222"/>
      <c r="AR464" s="1222"/>
      <c r="AS464" s="1222"/>
      <c r="AT464" s="1222"/>
      <c r="AU464" s="1120"/>
      <c r="AV464" s="445"/>
      <c r="AW464" s="607"/>
      <c r="AX464" s="607"/>
      <c r="AY464" s="607"/>
      <c r="AZ464" s="1209"/>
      <c r="BA464" s="1209"/>
    </row>
    <row r="465" spans="2:53" s="256" customFormat="1" ht="24.95" customHeight="1">
      <c r="B465" s="445"/>
      <c r="C465" s="204"/>
      <c r="D465" s="204"/>
      <c r="E465" s="204"/>
      <c r="F465" s="368"/>
      <c r="G465" s="1134"/>
      <c r="H465" s="401"/>
      <c r="I465" s="317"/>
      <c r="N465" s="317"/>
      <c r="O465" s="1135"/>
      <c r="P465" s="1136"/>
      <c r="Q465" s="1137"/>
      <c r="R465" s="1120"/>
      <c r="S465" s="1120"/>
      <c r="T465" s="1120"/>
      <c r="U465" s="1120"/>
      <c r="V465" s="1120"/>
      <c r="W465" s="1120"/>
      <c r="Z465" s="1145"/>
      <c r="AA465" s="1120"/>
      <c r="AB465" s="1120"/>
      <c r="AC465" s="1120"/>
      <c r="AD465" s="1212"/>
      <c r="AE465" s="1212"/>
      <c r="AF465" s="1186"/>
      <c r="AG465" s="1186"/>
      <c r="AH465" s="1222"/>
      <c r="AI465" s="1222"/>
      <c r="AJ465" s="1222"/>
      <c r="AK465" s="1222"/>
      <c r="AL465" s="1222"/>
      <c r="AM465" s="1222"/>
      <c r="AN465" s="1222"/>
      <c r="AO465" s="1222"/>
      <c r="AP465" s="1222"/>
      <c r="AQ465" s="1222"/>
      <c r="AR465" s="1222"/>
      <c r="AS465" s="1222"/>
      <c r="AT465" s="1222"/>
      <c r="AU465" s="1120"/>
      <c r="AV465" s="445"/>
      <c r="AW465" s="607"/>
      <c r="AX465" s="607"/>
      <c r="AY465" s="607"/>
      <c r="AZ465" s="1209"/>
      <c r="BA465" s="1209"/>
    </row>
    <row r="466" spans="2:53" s="256" customFormat="1" ht="24.95" customHeight="1">
      <c r="B466" s="445"/>
      <c r="C466" s="204"/>
      <c r="D466" s="204"/>
      <c r="E466" s="204"/>
      <c r="F466" s="368"/>
      <c r="G466" s="1134"/>
      <c r="H466" s="401"/>
      <c r="I466" s="317"/>
      <c r="N466" s="317"/>
      <c r="O466" s="1135"/>
      <c r="P466" s="1136"/>
      <c r="Q466" s="1137"/>
      <c r="R466" s="1120"/>
      <c r="S466" s="1120"/>
      <c r="T466" s="1120"/>
      <c r="U466" s="1120"/>
      <c r="V466" s="1120"/>
      <c r="W466" s="1120"/>
      <c r="Z466" s="1145"/>
      <c r="AA466" s="1120"/>
      <c r="AB466" s="1120"/>
      <c r="AC466" s="1120"/>
      <c r="AD466" s="1212"/>
      <c r="AE466" s="1212"/>
      <c r="AF466" s="1186"/>
      <c r="AG466" s="1186"/>
      <c r="AH466" s="1222"/>
      <c r="AI466" s="1222"/>
      <c r="AJ466" s="1222"/>
      <c r="AK466" s="1222"/>
      <c r="AL466" s="1222"/>
      <c r="AM466" s="1222"/>
      <c r="AN466" s="1222"/>
      <c r="AO466" s="1222"/>
      <c r="AP466" s="1222"/>
      <c r="AQ466" s="1222"/>
      <c r="AR466" s="1222"/>
      <c r="AS466" s="1222"/>
      <c r="AT466" s="1222"/>
      <c r="AU466" s="1120"/>
      <c r="AV466" s="445"/>
      <c r="AW466" s="607"/>
      <c r="AX466" s="607"/>
      <c r="AY466" s="607"/>
      <c r="AZ466" s="1209"/>
      <c r="BA466" s="1209"/>
    </row>
    <row r="467" spans="2:53" s="256" customFormat="1" ht="24.95" customHeight="1">
      <c r="B467" s="445"/>
      <c r="C467" s="204"/>
      <c r="D467" s="204"/>
      <c r="E467" s="204"/>
      <c r="F467" s="368"/>
      <c r="G467" s="1134"/>
      <c r="H467" s="401"/>
      <c r="I467" s="317"/>
      <c r="N467" s="317"/>
      <c r="O467" s="1135"/>
      <c r="P467" s="1136"/>
      <c r="Q467" s="1137"/>
      <c r="R467" s="1120"/>
      <c r="S467" s="1120"/>
      <c r="T467" s="1120"/>
      <c r="U467" s="1120"/>
      <c r="V467" s="1120"/>
      <c r="W467" s="1120"/>
      <c r="Z467" s="1145"/>
      <c r="AA467" s="1120"/>
      <c r="AB467" s="1120"/>
      <c r="AC467" s="1120"/>
      <c r="AD467" s="1212"/>
      <c r="AE467" s="1212"/>
      <c r="AF467" s="1186"/>
      <c r="AG467" s="1186"/>
      <c r="AH467" s="1222"/>
      <c r="AI467" s="1222"/>
      <c r="AJ467" s="1222"/>
      <c r="AK467" s="1222"/>
      <c r="AL467" s="1222"/>
      <c r="AM467" s="1222"/>
      <c r="AN467" s="1222"/>
      <c r="AO467" s="1222"/>
      <c r="AP467" s="1222"/>
      <c r="AQ467" s="1222"/>
      <c r="AR467" s="1222"/>
      <c r="AS467" s="1222"/>
      <c r="AT467" s="1222"/>
      <c r="AU467" s="1120"/>
      <c r="AV467" s="445"/>
      <c r="AW467" s="607"/>
      <c r="AX467" s="607"/>
      <c r="AY467" s="607"/>
      <c r="AZ467" s="1209"/>
      <c r="BA467" s="1209"/>
    </row>
    <row r="468" spans="2:53" s="256" customFormat="1" ht="24.95" customHeight="1">
      <c r="B468" s="445"/>
      <c r="C468" s="204"/>
      <c r="D468" s="204"/>
      <c r="E468" s="204"/>
      <c r="F468" s="368"/>
      <c r="G468" s="1134"/>
      <c r="H468" s="401"/>
      <c r="I468" s="317"/>
      <c r="N468" s="317"/>
      <c r="O468" s="1135"/>
      <c r="P468" s="1136"/>
      <c r="Q468" s="1137"/>
      <c r="R468" s="1120"/>
      <c r="S468" s="1120"/>
      <c r="T468" s="1120"/>
      <c r="U468" s="1120"/>
      <c r="V468" s="1120"/>
      <c r="W468" s="1120"/>
      <c r="Z468" s="1145"/>
      <c r="AA468" s="1120"/>
      <c r="AB468" s="1120"/>
      <c r="AC468" s="1120"/>
      <c r="AD468" s="1212"/>
      <c r="AE468" s="1212"/>
      <c r="AF468" s="1186"/>
      <c r="AG468" s="1186"/>
      <c r="AH468" s="1222"/>
      <c r="AI468" s="1222"/>
      <c r="AJ468" s="1222"/>
      <c r="AK468" s="1222"/>
      <c r="AL468" s="1222"/>
      <c r="AM468" s="1222"/>
      <c r="AN468" s="1222"/>
      <c r="AO468" s="1222"/>
      <c r="AP468" s="1222"/>
      <c r="AQ468" s="1222"/>
      <c r="AR468" s="1222"/>
      <c r="AS468" s="1222"/>
      <c r="AT468" s="1222"/>
      <c r="AU468" s="1120"/>
      <c r="AV468" s="445"/>
      <c r="AW468" s="607"/>
      <c r="AX468" s="607"/>
      <c r="AY468" s="607"/>
      <c r="AZ468" s="1209"/>
      <c r="BA468" s="1209"/>
    </row>
    <row r="469" spans="2:53" s="256" customFormat="1" ht="24.95" customHeight="1">
      <c r="B469" s="445"/>
      <c r="C469" s="204"/>
      <c r="D469" s="204"/>
      <c r="E469" s="204"/>
      <c r="F469" s="368"/>
      <c r="G469" s="1134"/>
      <c r="H469" s="401"/>
      <c r="I469" s="317"/>
      <c r="N469" s="317"/>
      <c r="O469" s="1135"/>
      <c r="P469" s="1136"/>
      <c r="Q469" s="1137"/>
      <c r="R469" s="1120"/>
      <c r="S469" s="1120"/>
      <c r="T469" s="1120"/>
      <c r="U469" s="1120"/>
      <c r="V469" s="1120"/>
      <c r="W469" s="1120"/>
      <c r="Z469" s="1145"/>
      <c r="AA469" s="1120"/>
      <c r="AB469" s="1120"/>
      <c r="AC469" s="1120"/>
      <c r="AD469" s="1212"/>
      <c r="AE469" s="1212"/>
      <c r="AF469" s="1186"/>
      <c r="AG469" s="1186"/>
      <c r="AH469" s="1222"/>
      <c r="AI469" s="1222"/>
      <c r="AJ469" s="1222"/>
      <c r="AK469" s="1222"/>
      <c r="AL469" s="1222"/>
      <c r="AM469" s="1222"/>
      <c r="AN469" s="1222"/>
      <c r="AO469" s="1222"/>
      <c r="AP469" s="1222"/>
      <c r="AQ469" s="1222"/>
      <c r="AR469" s="1222"/>
      <c r="AS469" s="1222"/>
      <c r="AT469" s="1222"/>
      <c r="AU469" s="1120"/>
      <c r="AV469" s="445"/>
      <c r="AW469" s="607"/>
      <c r="AX469" s="607"/>
      <c r="AY469" s="607"/>
      <c r="AZ469" s="1209"/>
      <c r="BA469" s="1209"/>
    </row>
    <row r="470" spans="2:53" s="256" customFormat="1" ht="24.95" customHeight="1">
      <c r="B470" s="445"/>
      <c r="C470" s="204"/>
      <c r="D470" s="204"/>
      <c r="E470" s="204"/>
      <c r="F470" s="368"/>
      <c r="G470" s="1134"/>
      <c r="H470" s="401"/>
      <c r="I470" s="317"/>
      <c r="N470" s="317"/>
      <c r="O470" s="1135"/>
      <c r="P470" s="1136"/>
      <c r="Q470" s="1137"/>
      <c r="R470" s="1120"/>
      <c r="S470" s="1120"/>
      <c r="T470" s="1120"/>
      <c r="U470" s="1120"/>
      <c r="V470" s="1120"/>
      <c r="W470" s="1120"/>
      <c r="Z470" s="1145"/>
      <c r="AA470" s="1120"/>
      <c r="AB470" s="1120"/>
      <c r="AC470" s="1120"/>
      <c r="AD470" s="1212"/>
      <c r="AE470" s="1212"/>
      <c r="AF470" s="1186"/>
      <c r="AG470" s="1186"/>
      <c r="AH470" s="1222"/>
      <c r="AI470" s="1222"/>
      <c r="AJ470" s="1222"/>
      <c r="AK470" s="1222"/>
      <c r="AL470" s="1222"/>
      <c r="AM470" s="1222"/>
      <c r="AN470" s="1222"/>
      <c r="AO470" s="1222"/>
      <c r="AP470" s="1222"/>
      <c r="AQ470" s="1222"/>
      <c r="AR470" s="1222"/>
      <c r="AS470" s="1222"/>
      <c r="AT470" s="1222"/>
      <c r="AU470" s="1120"/>
      <c r="AV470" s="445"/>
      <c r="AW470" s="607"/>
      <c r="AX470" s="607"/>
      <c r="AY470" s="607"/>
      <c r="AZ470" s="1209"/>
      <c r="BA470" s="1209"/>
    </row>
    <row r="471" spans="2:53" s="256" customFormat="1" ht="24.95" customHeight="1">
      <c r="B471" s="445"/>
      <c r="C471" s="204"/>
      <c r="D471" s="204"/>
      <c r="E471" s="204"/>
      <c r="F471" s="368"/>
      <c r="G471" s="1134"/>
      <c r="H471" s="401"/>
      <c r="I471" s="317"/>
      <c r="N471" s="317"/>
      <c r="O471" s="1135"/>
      <c r="P471" s="1136"/>
      <c r="Q471" s="1137"/>
      <c r="R471" s="1120"/>
      <c r="S471" s="1120"/>
      <c r="T471" s="1120"/>
      <c r="U471" s="1120"/>
      <c r="V471" s="1120"/>
      <c r="W471" s="1120"/>
      <c r="Z471" s="1145"/>
      <c r="AA471" s="1120"/>
      <c r="AB471" s="1120"/>
      <c r="AC471" s="1120"/>
      <c r="AD471" s="1212"/>
      <c r="AE471" s="1212"/>
      <c r="AF471" s="1186"/>
      <c r="AG471" s="1186"/>
      <c r="AH471" s="1222"/>
      <c r="AI471" s="1222"/>
      <c r="AJ471" s="1222"/>
      <c r="AK471" s="1222"/>
      <c r="AL471" s="1222"/>
      <c r="AM471" s="1222"/>
      <c r="AN471" s="1222"/>
      <c r="AO471" s="1222"/>
      <c r="AP471" s="1222"/>
      <c r="AQ471" s="1222"/>
      <c r="AR471" s="1222"/>
      <c r="AS471" s="1222"/>
      <c r="AT471" s="1222"/>
      <c r="AU471" s="1120"/>
      <c r="AV471" s="445"/>
      <c r="AW471" s="607"/>
      <c r="AX471" s="607"/>
      <c r="AY471" s="607"/>
      <c r="AZ471" s="1209"/>
      <c r="BA471" s="1209"/>
    </row>
    <row r="472" spans="2:53" s="256" customFormat="1" ht="24.95" customHeight="1">
      <c r="B472" s="445"/>
      <c r="C472" s="204"/>
      <c r="D472" s="204"/>
      <c r="E472" s="204"/>
      <c r="F472" s="368"/>
      <c r="G472" s="1134"/>
      <c r="H472" s="401"/>
      <c r="I472" s="317"/>
      <c r="N472" s="317"/>
      <c r="O472" s="1135"/>
      <c r="P472" s="1136"/>
      <c r="Q472" s="1137"/>
      <c r="R472" s="1120"/>
      <c r="S472" s="1120"/>
      <c r="T472" s="1120"/>
      <c r="U472" s="1120"/>
      <c r="V472" s="1120"/>
      <c r="W472" s="1120"/>
      <c r="Z472" s="1145"/>
      <c r="AA472" s="1120"/>
      <c r="AB472" s="1120"/>
      <c r="AC472" s="1120"/>
      <c r="AD472" s="1212"/>
      <c r="AE472" s="1212"/>
      <c r="AF472" s="1186"/>
      <c r="AG472" s="1186"/>
      <c r="AH472" s="1222"/>
      <c r="AI472" s="1222"/>
      <c r="AJ472" s="1222"/>
      <c r="AK472" s="1222"/>
      <c r="AL472" s="1222"/>
      <c r="AM472" s="1222"/>
      <c r="AN472" s="1222"/>
      <c r="AO472" s="1222"/>
      <c r="AP472" s="1222"/>
      <c r="AQ472" s="1222"/>
      <c r="AR472" s="1222"/>
      <c r="AS472" s="1222"/>
      <c r="AT472" s="1222"/>
      <c r="AU472" s="1120"/>
      <c r="AV472" s="445"/>
      <c r="AW472" s="607"/>
      <c r="AX472" s="607"/>
      <c r="AY472" s="607"/>
      <c r="AZ472" s="1209"/>
      <c r="BA472" s="1209"/>
    </row>
    <row r="473" spans="2:53" s="256" customFormat="1" ht="24.95" customHeight="1">
      <c r="B473" s="445"/>
      <c r="C473" s="204"/>
      <c r="D473" s="204"/>
      <c r="E473" s="204"/>
      <c r="F473" s="368"/>
      <c r="G473" s="1134"/>
      <c r="H473" s="401"/>
      <c r="I473" s="317"/>
      <c r="N473" s="317"/>
      <c r="O473" s="1135"/>
      <c r="P473" s="1136"/>
      <c r="Q473" s="1137"/>
      <c r="R473" s="1120"/>
      <c r="S473" s="1120"/>
      <c r="T473" s="1120"/>
      <c r="U473" s="1120"/>
      <c r="V473" s="1120"/>
      <c r="W473" s="1120"/>
      <c r="Z473" s="1145"/>
      <c r="AA473" s="1120"/>
      <c r="AB473" s="1120"/>
      <c r="AC473" s="1120"/>
      <c r="AD473" s="1212"/>
      <c r="AE473" s="1212"/>
      <c r="AF473" s="1186"/>
      <c r="AG473" s="1186"/>
      <c r="AH473" s="1222"/>
      <c r="AI473" s="1222"/>
      <c r="AJ473" s="1222"/>
      <c r="AK473" s="1222"/>
      <c r="AL473" s="1222"/>
      <c r="AM473" s="1222"/>
      <c r="AN473" s="1222"/>
      <c r="AO473" s="1222"/>
      <c r="AP473" s="1222"/>
      <c r="AQ473" s="1222"/>
      <c r="AR473" s="1222"/>
      <c r="AS473" s="1222"/>
      <c r="AT473" s="1222"/>
      <c r="AU473" s="1120"/>
      <c r="AV473" s="445"/>
      <c r="AW473" s="607"/>
      <c r="AX473" s="607"/>
      <c r="AY473" s="607"/>
      <c r="AZ473" s="1209"/>
      <c r="BA473" s="1209"/>
    </row>
    <row r="474" spans="2:53" s="256" customFormat="1" ht="24.95" customHeight="1">
      <c r="B474" s="445"/>
      <c r="C474" s="204"/>
      <c r="D474" s="204"/>
      <c r="E474" s="204"/>
      <c r="F474" s="368"/>
      <c r="G474" s="1134"/>
      <c r="H474" s="401"/>
      <c r="I474" s="317"/>
      <c r="N474" s="317"/>
      <c r="O474" s="1135"/>
      <c r="P474" s="1136"/>
      <c r="Q474" s="1137"/>
      <c r="R474" s="1120"/>
      <c r="S474" s="1120"/>
      <c r="T474" s="1120"/>
      <c r="U474" s="1120"/>
      <c r="V474" s="1120"/>
      <c r="W474" s="1120"/>
      <c r="Z474" s="1145"/>
      <c r="AA474" s="1120"/>
      <c r="AB474" s="1120"/>
      <c r="AC474" s="1120"/>
      <c r="AD474" s="1212"/>
      <c r="AE474" s="1212"/>
      <c r="AF474" s="1186"/>
      <c r="AG474" s="1186"/>
      <c r="AH474" s="1222"/>
      <c r="AI474" s="1222"/>
      <c r="AJ474" s="1222"/>
      <c r="AK474" s="1222"/>
      <c r="AL474" s="1222"/>
      <c r="AM474" s="1222"/>
      <c r="AN474" s="1222"/>
      <c r="AO474" s="1222"/>
      <c r="AP474" s="1222"/>
      <c r="AQ474" s="1222"/>
      <c r="AR474" s="1222"/>
      <c r="AS474" s="1222"/>
      <c r="AT474" s="1222"/>
      <c r="AU474" s="1120"/>
      <c r="AV474" s="445"/>
      <c r="AW474" s="607"/>
      <c r="AX474" s="607"/>
      <c r="AY474" s="607"/>
      <c r="AZ474" s="1209"/>
      <c r="BA474" s="1209"/>
    </row>
    <row r="475" spans="2:53" s="256" customFormat="1" ht="24.95" customHeight="1">
      <c r="B475" s="445"/>
      <c r="C475" s="204"/>
      <c r="D475" s="204"/>
      <c r="E475" s="204"/>
      <c r="F475" s="368"/>
      <c r="G475" s="1134"/>
      <c r="H475" s="401"/>
      <c r="I475" s="317"/>
      <c r="N475" s="317"/>
      <c r="O475" s="1135"/>
      <c r="P475" s="1136"/>
      <c r="Q475" s="1137"/>
      <c r="R475" s="1120"/>
      <c r="S475" s="1120"/>
      <c r="T475" s="1120"/>
      <c r="U475" s="1120"/>
      <c r="V475" s="1120"/>
      <c r="W475" s="1120"/>
      <c r="Z475" s="1145"/>
      <c r="AA475" s="1120"/>
      <c r="AB475" s="1120"/>
      <c r="AC475" s="1120"/>
      <c r="AD475" s="1212"/>
      <c r="AE475" s="1212"/>
      <c r="AF475" s="1186"/>
      <c r="AG475" s="1186"/>
      <c r="AH475" s="1222"/>
      <c r="AI475" s="1222"/>
      <c r="AJ475" s="1222"/>
      <c r="AK475" s="1222"/>
      <c r="AL475" s="1222"/>
      <c r="AM475" s="1222"/>
      <c r="AN475" s="1222"/>
      <c r="AO475" s="1222"/>
      <c r="AP475" s="1222"/>
      <c r="AQ475" s="1222"/>
      <c r="AR475" s="1222"/>
      <c r="AS475" s="1222"/>
      <c r="AT475" s="1222"/>
      <c r="AU475" s="1120"/>
      <c r="AV475" s="445"/>
      <c r="AW475" s="607"/>
      <c r="AX475" s="607"/>
      <c r="AY475" s="607"/>
      <c r="AZ475" s="1209"/>
      <c r="BA475" s="1209"/>
    </row>
    <row r="476" spans="2:53" s="256" customFormat="1" ht="24.95" customHeight="1">
      <c r="B476" s="445"/>
      <c r="C476" s="204"/>
      <c r="D476" s="204"/>
      <c r="E476" s="204"/>
      <c r="F476" s="368"/>
      <c r="G476" s="1134"/>
      <c r="H476" s="401"/>
      <c r="I476" s="317"/>
      <c r="N476" s="317"/>
      <c r="O476" s="1135"/>
      <c r="P476" s="1136"/>
      <c r="Q476" s="1137"/>
      <c r="R476" s="1120"/>
      <c r="S476" s="1120"/>
      <c r="T476" s="1120"/>
      <c r="U476" s="1120"/>
      <c r="V476" s="1120"/>
      <c r="W476" s="1120"/>
      <c r="Z476" s="1145"/>
      <c r="AA476" s="1120"/>
      <c r="AB476" s="1120"/>
      <c r="AC476" s="1120"/>
      <c r="AD476" s="1212"/>
      <c r="AE476" s="1212"/>
      <c r="AF476" s="1186"/>
      <c r="AG476" s="1186"/>
      <c r="AH476" s="1222"/>
      <c r="AI476" s="1222"/>
      <c r="AJ476" s="1222"/>
      <c r="AK476" s="1222"/>
      <c r="AL476" s="1222"/>
      <c r="AM476" s="1222"/>
      <c r="AN476" s="1222"/>
      <c r="AO476" s="1222"/>
      <c r="AP476" s="1222"/>
      <c r="AQ476" s="1222"/>
      <c r="AR476" s="1222"/>
      <c r="AS476" s="1222"/>
      <c r="AT476" s="1222"/>
      <c r="AU476" s="1120"/>
      <c r="AV476" s="445"/>
      <c r="AW476" s="607"/>
      <c r="AX476" s="607"/>
      <c r="AY476" s="607"/>
      <c r="AZ476" s="1209"/>
      <c r="BA476" s="1209"/>
    </row>
    <row r="477" spans="2:53" s="256" customFormat="1" ht="24.95" customHeight="1">
      <c r="B477" s="445"/>
      <c r="C477" s="204"/>
      <c r="D477" s="204"/>
      <c r="E477" s="204"/>
      <c r="F477" s="368"/>
      <c r="G477" s="1134"/>
      <c r="H477" s="401"/>
      <c r="I477" s="317"/>
      <c r="N477" s="317"/>
      <c r="O477" s="1135"/>
      <c r="P477" s="1136"/>
      <c r="Q477" s="1137"/>
      <c r="R477" s="1120"/>
      <c r="S477" s="1120"/>
      <c r="T477" s="1120"/>
      <c r="U477" s="1120"/>
      <c r="V477" s="1120"/>
      <c r="W477" s="1120"/>
      <c r="Z477" s="1145"/>
      <c r="AA477" s="1120"/>
      <c r="AB477" s="1120"/>
      <c r="AC477" s="1120"/>
      <c r="AD477" s="1212"/>
      <c r="AE477" s="1212"/>
      <c r="AF477" s="1186"/>
      <c r="AG477" s="1186"/>
      <c r="AH477" s="1222"/>
      <c r="AI477" s="1222"/>
      <c r="AJ477" s="1222"/>
      <c r="AK477" s="1222"/>
      <c r="AL477" s="1222"/>
      <c r="AM477" s="1222"/>
      <c r="AN477" s="1222"/>
      <c r="AO477" s="1222"/>
      <c r="AP477" s="1222"/>
      <c r="AQ477" s="1222"/>
      <c r="AR477" s="1222"/>
      <c r="AS477" s="1222"/>
      <c r="AT477" s="1222"/>
      <c r="AU477" s="1120"/>
      <c r="AV477" s="445"/>
      <c r="AW477" s="607"/>
      <c r="AX477" s="607"/>
      <c r="AY477" s="607"/>
      <c r="AZ477" s="1209"/>
      <c r="BA477" s="1209"/>
    </row>
    <row r="478" spans="2:53" s="256" customFormat="1" ht="24.95" customHeight="1">
      <c r="B478" s="445"/>
      <c r="C478" s="204"/>
      <c r="D478" s="204"/>
      <c r="E478" s="204"/>
      <c r="F478" s="368"/>
      <c r="G478" s="1134"/>
      <c r="H478" s="401"/>
      <c r="I478" s="317"/>
      <c r="N478" s="317"/>
      <c r="O478" s="1135"/>
      <c r="P478" s="1136"/>
      <c r="Q478" s="1137"/>
      <c r="R478" s="1120"/>
      <c r="S478" s="1120"/>
      <c r="T478" s="1120"/>
      <c r="U478" s="1120"/>
      <c r="V478" s="1120"/>
      <c r="W478" s="1120"/>
      <c r="Z478" s="1145"/>
      <c r="AA478" s="1120"/>
      <c r="AB478" s="1120"/>
      <c r="AC478" s="1120"/>
      <c r="AD478" s="1212"/>
      <c r="AE478" s="1212"/>
      <c r="AF478" s="1186"/>
      <c r="AG478" s="1186"/>
      <c r="AH478" s="1222"/>
      <c r="AI478" s="1222"/>
      <c r="AJ478" s="1222"/>
      <c r="AK478" s="1222"/>
      <c r="AL478" s="1222"/>
      <c r="AM478" s="1222"/>
      <c r="AN478" s="1222"/>
      <c r="AO478" s="1222"/>
      <c r="AP478" s="1222"/>
      <c r="AQ478" s="1222"/>
      <c r="AR478" s="1222"/>
      <c r="AS478" s="1222"/>
      <c r="AT478" s="1222"/>
      <c r="AU478" s="1120"/>
      <c r="AV478" s="445"/>
      <c r="AW478" s="607"/>
      <c r="AX478" s="607"/>
      <c r="AY478" s="607"/>
      <c r="AZ478" s="1209"/>
      <c r="BA478" s="1209"/>
    </row>
    <row r="479" spans="2:53" s="256" customFormat="1" ht="24.95" customHeight="1">
      <c r="B479" s="445"/>
      <c r="C479" s="204"/>
      <c r="D479" s="204"/>
      <c r="E479" s="204"/>
      <c r="F479" s="368"/>
      <c r="G479" s="1134"/>
      <c r="H479" s="401"/>
      <c r="I479" s="317"/>
      <c r="N479" s="317"/>
      <c r="O479" s="1135"/>
      <c r="P479" s="1136"/>
      <c r="Q479" s="1137"/>
      <c r="R479" s="1120"/>
      <c r="S479" s="1120"/>
      <c r="T479" s="1120"/>
      <c r="U479" s="1120"/>
      <c r="V479" s="1120"/>
      <c r="W479" s="1120"/>
      <c r="Z479" s="1145"/>
      <c r="AA479" s="1120"/>
      <c r="AB479" s="1120"/>
      <c r="AC479" s="1120"/>
      <c r="AD479" s="1212"/>
      <c r="AE479" s="1212"/>
      <c r="AF479" s="1186"/>
      <c r="AG479" s="1186"/>
      <c r="AH479" s="1222"/>
      <c r="AI479" s="1222"/>
      <c r="AJ479" s="1222"/>
      <c r="AK479" s="1222"/>
      <c r="AL479" s="1222"/>
      <c r="AM479" s="1222"/>
      <c r="AN479" s="1222"/>
      <c r="AO479" s="1222"/>
      <c r="AP479" s="1222"/>
      <c r="AQ479" s="1222"/>
      <c r="AR479" s="1222"/>
      <c r="AS479" s="1222"/>
      <c r="AT479" s="1222"/>
      <c r="AU479" s="1120"/>
      <c r="AV479" s="445"/>
      <c r="AW479" s="607"/>
      <c r="AX479" s="607"/>
      <c r="AY479" s="607"/>
      <c r="AZ479" s="1209"/>
      <c r="BA479" s="1209"/>
    </row>
    <row r="480" spans="2:53" s="256" customFormat="1" ht="24.95" customHeight="1">
      <c r="B480" s="445"/>
      <c r="C480" s="204"/>
      <c r="D480" s="204"/>
      <c r="E480" s="204"/>
      <c r="F480" s="368"/>
      <c r="G480" s="1134"/>
      <c r="H480" s="401"/>
      <c r="I480" s="317"/>
      <c r="N480" s="317"/>
      <c r="O480" s="1135"/>
      <c r="P480" s="1136"/>
      <c r="Q480" s="1137"/>
      <c r="R480" s="1120"/>
      <c r="S480" s="1120"/>
      <c r="T480" s="1120"/>
      <c r="U480" s="1120"/>
      <c r="V480" s="1120"/>
      <c r="W480" s="1120"/>
      <c r="Z480" s="1145"/>
      <c r="AA480" s="1120"/>
      <c r="AB480" s="1120"/>
      <c r="AC480" s="1120"/>
      <c r="AD480" s="1212"/>
      <c r="AE480" s="1212"/>
      <c r="AF480" s="1186"/>
      <c r="AG480" s="1186"/>
      <c r="AH480" s="1222"/>
      <c r="AI480" s="1222"/>
      <c r="AJ480" s="1222"/>
      <c r="AK480" s="1222"/>
      <c r="AL480" s="1222"/>
      <c r="AM480" s="1222"/>
      <c r="AN480" s="1222"/>
      <c r="AO480" s="1222"/>
      <c r="AP480" s="1222"/>
      <c r="AQ480" s="1222"/>
      <c r="AR480" s="1222"/>
      <c r="AS480" s="1222"/>
      <c r="AT480" s="1222"/>
      <c r="AU480" s="1120"/>
      <c r="AV480" s="445"/>
      <c r="AW480" s="607"/>
      <c r="AX480" s="607"/>
      <c r="AY480" s="607"/>
      <c r="AZ480" s="1209"/>
      <c r="BA480" s="1209"/>
    </row>
    <row r="481" spans="2:53" s="256" customFormat="1" ht="24.95" customHeight="1">
      <c r="B481" s="445"/>
      <c r="C481" s="204"/>
      <c r="D481" s="204"/>
      <c r="E481" s="204"/>
      <c r="F481" s="368"/>
      <c r="G481" s="1134"/>
      <c r="H481" s="401"/>
      <c r="I481" s="317"/>
      <c r="N481" s="317"/>
      <c r="O481" s="1135"/>
      <c r="P481" s="1136"/>
      <c r="Q481" s="1137"/>
      <c r="R481" s="1120"/>
      <c r="S481" s="1120"/>
      <c r="T481" s="1120"/>
      <c r="U481" s="1120"/>
      <c r="V481" s="1120"/>
      <c r="W481" s="1120"/>
      <c r="Z481" s="1145"/>
      <c r="AA481" s="1120"/>
      <c r="AB481" s="1120"/>
      <c r="AC481" s="1120"/>
      <c r="AD481" s="1212"/>
      <c r="AE481" s="1212"/>
      <c r="AF481" s="1186"/>
      <c r="AG481" s="1186"/>
      <c r="AH481" s="1222"/>
      <c r="AI481" s="1222"/>
      <c r="AJ481" s="1222"/>
      <c r="AK481" s="1222"/>
      <c r="AL481" s="1222"/>
      <c r="AM481" s="1222"/>
      <c r="AN481" s="1222"/>
      <c r="AO481" s="1222"/>
      <c r="AP481" s="1222"/>
      <c r="AQ481" s="1222"/>
      <c r="AR481" s="1222"/>
      <c r="AS481" s="1222"/>
      <c r="AT481" s="1222"/>
      <c r="AU481" s="1120"/>
      <c r="AV481" s="445"/>
      <c r="AW481" s="607"/>
      <c r="AX481" s="607"/>
      <c r="AY481" s="607"/>
      <c r="AZ481" s="1209"/>
      <c r="BA481" s="1209"/>
    </row>
    <row r="482" spans="2:53" s="256" customFormat="1" ht="24.95" customHeight="1">
      <c r="B482" s="445"/>
      <c r="C482" s="204"/>
      <c r="D482" s="204"/>
      <c r="E482" s="204"/>
      <c r="F482" s="368"/>
      <c r="G482" s="1134"/>
      <c r="H482" s="401"/>
      <c r="I482" s="317"/>
      <c r="N482" s="317"/>
      <c r="O482" s="1135"/>
      <c r="P482" s="1136"/>
      <c r="Q482" s="1137"/>
      <c r="R482" s="1120"/>
      <c r="S482" s="1120"/>
      <c r="T482" s="1120"/>
      <c r="U482" s="1120"/>
      <c r="V482" s="1120"/>
      <c r="W482" s="1120"/>
      <c r="Z482" s="1145"/>
      <c r="AA482" s="1120"/>
      <c r="AB482" s="1120"/>
      <c r="AC482" s="1120"/>
      <c r="AD482" s="1212"/>
      <c r="AE482" s="1212"/>
      <c r="AF482" s="1186"/>
      <c r="AG482" s="1186"/>
      <c r="AH482" s="1222"/>
      <c r="AI482" s="1222"/>
      <c r="AJ482" s="1222"/>
      <c r="AK482" s="1222"/>
      <c r="AL482" s="1222"/>
      <c r="AM482" s="1222"/>
      <c r="AN482" s="1222"/>
      <c r="AO482" s="1222"/>
      <c r="AP482" s="1222"/>
      <c r="AQ482" s="1222"/>
      <c r="AR482" s="1222"/>
      <c r="AS482" s="1222"/>
      <c r="AT482" s="1222"/>
      <c r="AU482" s="1120"/>
      <c r="AV482" s="445"/>
      <c r="AW482" s="607"/>
      <c r="AX482" s="607"/>
      <c r="AY482" s="607"/>
      <c r="AZ482" s="1209"/>
      <c r="BA482" s="1209"/>
    </row>
    <row r="483" spans="2:53" s="256" customFormat="1" ht="24.95" customHeight="1">
      <c r="B483" s="445"/>
      <c r="C483" s="204"/>
      <c r="D483" s="204"/>
      <c r="E483" s="204"/>
      <c r="F483" s="368"/>
      <c r="G483" s="1134"/>
      <c r="H483" s="401"/>
      <c r="I483" s="317"/>
      <c r="N483" s="317"/>
      <c r="O483" s="1135"/>
      <c r="P483" s="1136"/>
      <c r="Q483" s="1137"/>
      <c r="R483" s="1120"/>
      <c r="S483" s="1120"/>
      <c r="T483" s="1120"/>
      <c r="U483" s="1120"/>
      <c r="V483" s="1120"/>
      <c r="W483" s="1120"/>
      <c r="Z483" s="1145"/>
      <c r="AA483" s="1120"/>
      <c r="AB483" s="1120"/>
      <c r="AC483" s="1120"/>
      <c r="AD483" s="1212"/>
      <c r="AE483" s="1212"/>
      <c r="AF483" s="1186"/>
      <c r="AG483" s="1186"/>
      <c r="AH483" s="1222"/>
      <c r="AI483" s="1222"/>
      <c r="AJ483" s="1222"/>
      <c r="AK483" s="1222"/>
      <c r="AL483" s="1222"/>
      <c r="AM483" s="1222"/>
      <c r="AN483" s="1222"/>
      <c r="AO483" s="1222"/>
      <c r="AP483" s="1222"/>
      <c r="AQ483" s="1222"/>
      <c r="AR483" s="1222"/>
      <c r="AS483" s="1222"/>
      <c r="AT483" s="1222"/>
      <c r="AU483" s="1120"/>
      <c r="AV483" s="445"/>
      <c r="AW483" s="607"/>
      <c r="AX483" s="607"/>
      <c r="AY483" s="607"/>
      <c r="AZ483" s="1209"/>
      <c r="BA483" s="1209"/>
    </row>
    <row r="484" spans="2:53" s="256" customFormat="1" ht="24.95" customHeight="1">
      <c r="B484" s="445"/>
      <c r="C484" s="204"/>
      <c r="D484" s="204"/>
      <c r="E484" s="204"/>
      <c r="F484" s="368"/>
      <c r="G484" s="1134"/>
      <c r="H484" s="401"/>
      <c r="I484" s="317"/>
      <c r="N484" s="317"/>
      <c r="O484" s="1135"/>
      <c r="P484" s="1136"/>
      <c r="Q484" s="1137"/>
      <c r="R484" s="1120"/>
      <c r="S484" s="1120"/>
      <c r="T484" s="1120"/>
      <c r="U484" s="1120"/>
      <c r="V484" s="1120"/>
      <c r="W484" s="1120"/>
      <c r="Z484" s="1145"/>
      <c r="AA484" s="1120"/>
      <c r="AB484" s="1120"/>
      <c r="AC484" s="1120"/>
      <c r="AD484" s="1212"/>
      <c r="AE484" s="1212"/>
      <c r="AF484" s="1186"/>
      <c r="AG484" s="1186"/>
      <c r="AH484" s="1222"/>
      <c r="AI484" s="1222"/>
      <c r="AJ484" s="1222"/>
      <c r="AK484" s="1222"/>
      <c r="AL484" s="1222"/>
      <c r="AM484" s="1222"/>
      <c r="AN484" s="1222"/>
      <c r="AO484" s="1222"/>
      <c r="AP484" s="1222"/>
      <c r="AQ484" s="1222"/>
      <c r="AR484" s="1222"/>
      <c r="AS484" s="1222"/>
      <c r="AT484" s="1222"/>
      <c r="AU484" s="1120"/>
      <c r="AV484" s="445"/>
      <c r="AW484" s="607"/>
      <c r="AX484" s="607"/>
      <c r="AY484" s="607"/>
      <c r="AZ484" s="1209"/>
      <c r="BA484" s="1209"/>
    </row>
    <row r="485" spans="2:53" s="256" customFormat="1" ht="24.95" customHeight="1">
      <c r="B485" s="445"/>
      <c r="C485" s="204"/>
      <c r="D485" s="204"/>
      <c r="E485" s="204"/>
      <c r="F485" s="368"/>
      <c r="G485" s="1134"/>
      <c r="H485" s="401"/>
      <c r="I485" s="317"/>
      <c r="N485" s="317"/>
      <c r="O485" s="1135"/>
      <c r="P485" s="1136"/>
      <c r="Q485" s="1137"/>
      <c r="R485" s="1120"/>
      <c r="S485" s="1120"/>
      <c r="T485" s="1120"/>
      <c r="U485" s="1120"/>
      <c r="V485" s="1120"/>
      <c r="W485" s="1120"/>
      <c r="Z485" s="1145"/>
      <c r="AA485" s="1120"/>
      <c r="AB485" s="1120"/>
      <c r="AC485" s="1120"/>
      <c r="AD485" s="1212"/>
      <c r="AE485" s="1212"/>
      <c r="AF485" s="1186"/>
      <c r="AG485" s="1186"/>
      <c r="AH485" s="1222"/>
      <c r="AI485" s="1222"/>
      <c r="AJ485" s="1222"/>
      <c r="AK485" s="1222"/>
      <c r="AL485" s="1222"/>
      <c r="AM485" s="1222"/>
      <c r="AN485" s="1222"/>
      <c r="AO485" s="1222"/>
      <c r="AP485" s="1222"/>
      <c r="AQ485" s="1222"/>
      <c r="AR485" s="1222"/>
      <c r="AS485" s="1222"/>
      <c r="AT485" s="1222"/>
      <c r="AU485" s="1120"/>
      <c r="AV485" s="445"/>
      <c r="AW485" s="607"/>
      <c r="AX485" s="607"/>
      <c r="AY485" s="607"/>
      <c r="AZ485" s="1209"/>
      <c r="BA485" s="1209"/>
    </row>
    <row r="486" spans="2:53" s="256" customFormat="1" ht="24.95" customHeight="1">
      <c r="B486" s="445"/>
      <c r="C486" s="204"/>
      <c r="D486" s="204"/>
      <c r="E486" s="204"/>
      <c r="F486" s="368"/>
      <c r="G486" s="1134"/>
      <c r="H486" s="401"/>
      <c r="I486" s="317"/>
      <c r="N486" s="317"/>
      <c r="O486" s="1135"/>
      <c r="P486" s="1136"/>
      <c r="Q486" s="1137"/>
      <c r="R486" s="1120"/>
      <c r="S486" s="1120"/>
      <c r="T486" s="1120"/>
      <c r="U486" s="1120"/>
      <c r="V486" s="1120"/>
      <c r="W486" s="1120"/>
      <c r="Z486" s="1145"/>
      <c r="AA486" s="1120"/>
      <c r="AB486" s="1120"/>
      <c r="AC486" s="1120"/>
      <c r="AD486" s="1212"/>
      <c r="AE486" s="1212"/>
      <c r="AF486" s="1186"/>
      <c r="AG486" s="1186"/>
      <c r="AH486" s="1222"/>
      <c r="AI486" s="1222"/>
      <c r="AJ486" s="1222"/>
      <c r="AK486" s="1222"/>
      <c r="AL486" s="1222"/>
      <c r="AM486" s="1222"/>
      <c r="AN486" s="1222"/>
      <c r="AO486" s="1222"/>
      <c r="AP486" s="1222"/>
      <c r="AQ486" s="1222"/>
      <c r="AR486" s="1222"/>
      <c r="AS486" s="1222"/>
      <c r="AT486" s="1222"/>
      <c r="AU486" s="1120"/>
      <c r="AV486" s="445"/>
      <c r="AW486" s="607"/>
      <c r="AX486" s="607"/>
      <c r="AY486" s="607"/>
      <c r="AZ486" s="1209"/>
      <c r="BA486" s="1209"/>
    </row>
    <row r="487" spans="2:53" s="256" customFormat="1" ht="24.95" customHeight="1">
      <c r="B487" s="445"/>
      <c r="C487" s="204"/>
      <c r="D487" s="204"/>
      <c r="E487" s="204"/>
      <c r="F487" s="368"/>
      <c r="G487" s="1134"/>
      <c r="H487" s="401"/>
      <c r="I487" s="317"/>
      <c r="N487" s="317"/>
      <c r="O487" s="1135"/>
      <c r="P487" s="1136"/>
      <c r="Q487" s="1137"/>
      <c r="R487" s="1120"/>
      <c r="S487" s="1120"/>
      <c r="T487" s="1120"/>
      <c r="U487" s="1120"/>
      <c r="V487" s="1120"/>
      <c r="W487" s="1120"/>
      <c r="Z487" s="1145"/>
      <c r="AA487" s="1120"/>
      <c r="AB487" s="1120"/>
      <c r="AC487" s="1120"/>
      <c r="AD487" s="1212"/>
      <c r="AE487" s="1212"/>
      <c r="AF487" s="1186"/>
      <c r="AG487" s="1186"/>
      <c r="AH487" s="1222"/>
      <c r="AI487" s="1222"/>
      <c r="AJ487" s="1222"/>
      <c r="AK487" s="1222"/>
      <c r="AL487" s="1222"/>
      <c r="AM487" s="1222"/>
      <c r="AN487" s="1222"/>
      <c r="AO487" s="1222"/>
      <c r="AP487" s="1222"/>
      <c r="AQ487" s="1222"/>
      <c r="AR487" s="1222"/>
      <c r="AS487" s="1222"/>
      <c r="AT487" s="1222"/>
      <c r="AU487" s="1120"/>
      <c r="AV487" s="445"/>
      <c r="AW487" s="607"/>
      <c r="AX487" s="607"/>
      <c r="AY487" s="607"/>
      <c r="AZ487" s="1209"/>
      <c r="BA487" s="1209"/>
    </row>
    <row r="488" spans="2:53" s="256" customFormat="1" ht="24.95" customHeight="1">
      <c r="B488" s="445"/>
      <c r="C488" s="204"/>
      <c r="D488" s="204"/>
      <c r="E488" s="204"/>
      <c r="F488" s="368"/>
      <c r="G488" s="1134"/>
      <c r="H488" s="401"/>
      <c r="I488" s="317"/>
      <c r="N488" s="317"/>
      <c r="O488" s="1135"/>
      <c r="P488" s="1136"/>
      <c r="Q488" s="1137"/>
      <c r="R488" s="1120"/>
      <c r="S488" s="1120"/>
      <c r="T488" s="1120"/>
      <c r="U488" s="1120"/>
      <c r="V488" s="1120"/>
      <c r="W488" s="1120"/>
      <c r="Z488" s="1145"/>
      <c r="AA488" s="1120"/>
      <c r="AB488" s="1120"/>
      <c r="AC488" s="1120"/>
      <c r="AD488" s="1212"/>
      <c r="AE488" s="1212"/>
      <c r="AF488" s="1186"/>
      <c r="AG488" s="1186"/>
      <c r="AH488" s="1222"/>
      <c r="AI488" s="1222"/>
      <c r="AJ488" s="1222"/>
      <c r="AK488" s="1222"/>
      <c r="AL488" s="1222"/>
      <c r="AM488" s="1222"/>
      <c r="AN488" s="1222"/>
      <c r="AO488" s="1222"/>
      <c r="AP488" s="1222"/>
      <c r="AQ488" s="1222"/>
      <c r="AR488" s="1222"/>
      <c r="AS488" s="1222"/>
      <c r="AT488" s="1222"/>
      <c r="AU488" s="1120"/>
      <c r="AV488" s="445"/>
      <c r="AW488" s="607"/>
      <c r="AX488" s="607"/>
      <c r="AY488" s="607"/>
      <c r="AZ488" s="1209"/>
      <c r="BA488" s="1209"/>
    </row>
    <row r="489" spans="2:53" s="256" customFormat="1" ht="24.95" customHeight="1">
      <c r="B489" s="445"/>
      <c r="C489" s="204"/>
      <c r="D489" s="204"/>
      <c r="E489" s="204"/>
      <c r="F489" s="368"/>
      <c r="G489" s="1134"/>
      <c r="H489" s="401"/>
      <c r="I489" s="317"/>
      <c r="N489" s="317"/>
      <c r="O489" s="1135"/>
      <c r="P489" s="1136"/>
      <c r="Q489" s="1137"/>
      <c r="R489" s="1120"/>
      <c r="S489" s="1120"/>
      <c r="T489" s="1120"/>
      <c r="U489" s="1120"/>
      <c r="V489" s="1120"/>
      <c r="W489" s="1120"/>
      <c r="Z489" s="1145"/>
      <c r="AA489" s="1120"/>
      <c r="AB489" s="1120"/>
      <c r="AC489" s="1120"/>
      <c r="AD489" s="1212"/>
      <c r="AE489" s="1212"/>
      <c r="AF489" s="1186"/>
      <c r="AG489" s="1186"/>
      <c r="AH489" s="1222"/>
      <c r="AI489" s="1222"/>
      <c r="AJ489" s="1222"/>
      <c r="AK489" s="1222"/>
      <c r="AL489" s="1222"/>
      <c r="AM489" s="1222"/>
      <c r="AN489" s="1222"/>
      <c r="AO489" s="1222"/>
      <c r="AP489" s="1222"/>
      <c r="AQ489" s="1222"/>
      <c r="AR489" s="1222"/>
      <c r="AS489" s="1222"/>
      <c r="AT489" s="1222"/>
      <c r="AU489" s="1120"/>
      <c r="AV489" s="445"/>
      <c r="AW489" s="607"/>
      <c r="AX489" s="607"/>
      <c r="AY489" s="607"/>
      <c r="AZ489" s="1209"/>
      <c r="BA489" s="1209"/>
    </row>
    <row r="490" spans="2:53" s="256" customFormat="1" ht="24.95" customHeight="1">
      <c r="B490" s="445"/>
      <c r="C490" s="204"/>
      <c r="D490" s="204"/>
      <c r="E490" s="204"/>
      <c r="F490" s="368"/>
      <c r="G490" s="1134"/>
      <c r="H490" s="401"/>
      <c r="I490" s="317"/>
      <c r="N490" s="317"/>
      <c r="O490" s="1135"/>
      <c r="P490" s="1136"/>
      <c r="Q490" s="1137"/>
      <c r="R490" s="1120"/>
      <c r="S490" s="1120"/>
      <c r="T490" s="1120"/>
      <c r="U490" s="1120"/>
      <c r="V490" s="1120"/>
      <c r="W490" s="1120"/>
      <c r="Z490" s="1145"/>
      <c r="AA490" s="1120"/>
      <c r="AB490" s="1120"/>
      <c r="AC490" s="1120"/>
      <c r="AD490" s="1212"/>
      <c r="AE490" s="1212"/>
      <c r="AF490" s="1186"/>
      <c r="AG490" s="1186"/>
      <c r="AH490" s="1222"/>
      <c r="AI490" s="1222"/>
      <c r="AJ490" s="1222"/>
      <c r="AK490" s="1222"/>
      <c r="AL490" s="1222"/>
      <c r="AM490" s="1222"/>
      <c r="AN490" s="1222"/>
      <c r="AO490" s="1222"/>
      <c r="AP490" s="1222"/>
      <c r="AQ490" s="1222"/>
      <c r="AR490" s="1222"/>
      <c r="AS490" s="1222"/>
      <c r="AT490" s="1222"/>
      <c r="AU490" s="1120"/>
      <c r="AV490" s="445"/>
      <c r="AW490" s="607"/>
      <c r="AX490" s="607"/>
      <c r="AY490" s="607"/>
      <c r="AZ490" s="1209"/>
      <c r="BA490" s="1209"/>
    </row>
    <row r="491" spans="2:53" s="256" customFormat="1" ht="24.95" customHeight="1">
      <c r="B491" s="445"/>
      <c r="C491" s="204"/>
      <c r="D491" s="204"/>
      <c r="E491" s="204"/>
      <c r="F491" s="368"/>
      <c r="G491" s="1134"/>
      <c r="H491" s="401"/>
      <c r="I491" s="317"/>
      <c r="N491" s="317"/>
      <c r="O491" s="1135"/>
      <c r="P491" s="1136"/>
      <c r="Q491" s="1137"/>
      <c r="R491" s="1120"/>
      <c r="S491" s="1120"/>
      <c r="T491" s="1120"/>
      <c r="U491" s="1120"/>
      <c r="V491" s="1120"/>
      <c r="W491" s="1120"/>
      <c r="Z491" s="1145"/>
      <c r="AA491" s="1120"/>
      <c r="AB491" s="1120"/>
      <c r="AC491" s="1120"/>
      <c r="AD491" s="1212"/>
      <c r="AE491" s="1212"/>
      <c r="AF491" s="1186"/>
      <c r="AG491" s="1186"/>
      <c r="AH491" s="1222"/>
      <c r="AI491" s="1222"/>
      <c r="AJ491" s="1222"/>
      <c r="AK491" s="1222"/>
      <c r="AL491" s="1222"/>
      <c r="AM491" s="1222"/>
      <c r="AN491" s="1222"/>
      <c r="AO491" s="1222"/>
      <c r="AP491" s="1222"/>
      <c r="AQ491" s="1222"/>
      <c r="AR491" s="1222"/>
      <c r="AS491" s="1222"/>
      <c r="AT491" s="1222"/>
      <c r="AU491" s="1120"/>
      <c r="AV491" s="445"/>
      <c r="AW491" s="607"/>
      <c r="AX491" s="607"/>
      <c r="AY491" s="607"/>
      <c r="AZ491" s="1209"/>
      <c r="BA491" s="1209"/>
    </row>
    <row r="492" spans="2:53" s="256" customFormat="1" ht="24.95" customHeight="1">
      <c r="B492" s="445"/>
      <c r="C492" s="204"/>
      <c r="D492" s="204"/>
      <c r="E492" s="204"/>
      <c r="F492" s="368"/>
      <c r="G492" s="1134"/>
      <c r="H492" s="401"/>
      <c r="I492" s="317"/>
      <c r="N492" s="317"/>
      <c r="O492" s="1135"/>
      <c r="P492" s="1136"/>
      <c r="Q492" s="1137"/>
      <c r="R492" s="1120"/>
      <c r="S492" s="1120"/>
      <c r="T492" s="1120"/>
      <c r="U492" s="1120"/>
      <c r="V492" s="1120"/>
      <c r="W492" s="1120"/>
      <c r="Z492" s="1145"/>
      <c r="AA492" s="1120"/>
      <c r="AB492" s="1120"/>
      <c r="AC492" s="1120"/>
      <c r="AD492" s="1212"/>
      <c r="AE492" s="1212"/>
      <c r="AF492" s="1186"/>
      <c r="AG492" s="1186"/>
      <c r="AH492" s="1222"/>
      <c r="AI492" s="1222"/>
      <c r="AJ492" s="1222"/>
      <c r="AK492" s="1222"/>
      <c r="AL492" s="1222"/>
      <c r="AM492" s="1222"/>
      <c r="AN492" s="1222"/>
      <c r="AO492" s="1222"/>
      <c r="AP492" s="1222"/>
      <c r="AQ492" s="1222"/>
      <c r="AR492" s="1222"/>
      <c r="AS492" s="1222"/>
      <c r="AT492" s="1222"/>
      <c r="AU492" s="1120"/>
      <c r="AV492" s="445"/>
      <c r="AW492" s="607"/>
      <c r="AX492" s="607"/>
      <c r="AY492" s="607"/>
      <c r="AZ492" s="1209"/>
      <c r="BA492" s="1209"/>
    </row>
    <row r="493" spans="2:53" s="256" customFormat="1" ht="24.95" customHeight="1">
      <c r="B493" s="445"/>
      <c r="C493" s="204"/>
      <c r="D493" s="204"/>
      <c r="E493" s="204"/>
      <c r="F493" s="368"/>
      <c r="G493" s="1134"/>
      <c r="H493" s="401"/>
      <c r="I493" s="317"/>
      <c r="N493" s="317"/>
      <c r="O493" s="1135"/>
      <c r="P493" s="1136"/>
      <c r="Q493" s="1137"/>
      <c r="R493" s="1120"/>
      <c r="S493" s="1120"/>
      <c r="T493" s="1120"/>
      <c r="U493" s="1120"/>
      <c r="V493" s="1120"/>
      <c r="W493" s="1120"/>
      <c r="Z493" s="1145"/>
      <c r="AA493" s="1120"/>
      <c r="AB493" s="1120"/>
      <c r="AC493" s="1120"/>
      <c r="AD493" s="1212"/>
      <c r="AE493" s="1212"/>
      <c r="AF493" s="1186"/>
      <c r="AG493" s="1186"/>
      <c r="AH493" s="1222"/>
      <c r="AI493" s="1222"/>
      <c r="AJ493" s="1222"/>
      <c r="AK493" s="1222"/>
      <c r="AL493" s="1222"/>
      <c r="AM493" s="1222"/>
      <c r="AN493" s="1222"/>
      <c r="AO493" s="1222"/>
      <c r="AP493" s="1222"/>
      <c r="AQ493" s="1222"/>
      <c r="AR493" s="1222"/>
      <c r="AS493" s="1222"/>
      <c r="AT493" s="1222"/>
      <c r="AU493" s="1120"/>
      <c r="AV493" s="445"/>
      <c r="AW493" s="607"/>
      <c r="AX493" s="607"/>
      <c r="AY493" s="607"/>
      <c r="AZ493" s="1209"/>
      <c r="BA493" s="1209"/>
    </row>
    <row r="494" spans="2:53" s="256" customFormat="1" ht="24.95" customHeight="1">
      <c r="B494" s="445"/>
      <c r="C494" s="204"/>
      <c r="D494" s="204"/>
      <c r="E494" s="204"/>
      <c r="F494" s="368"/>
      <c r="G494" s="1134"/>
      <c r="H494" s="401"/>
      <c r="I494" s="317"/>
      <c r="N494" s="317"/>
      <c r="O494" s="1135"/>
      <c r="P494" s="1136"/>
      <c r="Q494" s="1137"/>
      <c r="R494" s="1120"/>
      <c r="S494" s="1120"/>
      <c r="T494" s="1120"/>
      <c r="U494" s="1120"/>
      <c r="V494" s="1120"/>
      <c r="W494" s="1120"/>
      <c r="Z494" s="1145"/>
      <c r="AA494" s="1120"/>
      <c r="AB494" s="1120"/>
      <c r="AC494" s="1120"/>
      <c r="AD494" s="1212"/>
      <c r="AE494" s="1212"/>
      <c r="AF494" s="1186"/>
      <c r="AG494" s="1186"/>
      <c r="AH494" s="1222"/>
      <c r="AI494" s="1222"/>
      <c r="AJ494" s="1222"/>
      <c r="AK494" s="1222"/>
      <c r="AL494" s="1222"/>
      <c r="AM494" s="1222"/>
      <c r="AN494" s="1222"/>
      <c r="AO494" s="1222"/>
      <c r="AP494" s="1222"/>
      <c r="AQ494" s="1222"/>
      <c r="AR494" s="1222"/>
      <c r="AS494" s="1222"/>
      <c r="AT494" s="1222"/>
      <c r="AU494" s="1120"/>
      <c r="AV494" s="445"/>
      <c r="AW494" s="607"/>
      <c r="AX494" s="607"/>
      <c r="AY494" s="607"/>
      <c r="AZ494" s="1209"/>
      <c r="BA494" s="1209"/>
    </row>
    <row r="495" spans="2:53" s="256" customFormat="1" ht="24.95" customHeight="1">
      <c r="B495" s="445"/>
      <c r="C495" s="204"/>
      <c r="D495" s="204"/>
      <c r="E495" s="204"/>
      <c r="F495" s="368"/>
      <c r="G495" s="1134"/>
      <c r="H495" s="401"/>
      <c r="I495" s="317"/>
      <c r="N495" s="317"/>
      <c r="O495" s="1135"/>
      <c r="P495" s="1136"/>
      <c r="Q495" s="1137"/>
      <c r="R495" s="1120"/>
      <c r="S495" s="1120"/>
      <c r="T495" s="1120"/>
      <c r="U495" s="1120"/>
      <c r="V495" s="1120"/>
      <c r="W495" s="1120"/>
      <c r="Z495" s="1145"/>
      <c r="AA495" s="1120"/>
      <c r="AB495" s="1120"/>
      <c r="AC495" s="1120"/>
      <c r="AD495" s="1212"/>
      <c r="AE495" s="1212"/>
      <c r="AF495" s="1186"/>
      <c r="AG495" s="1186"/>
      <c r="AH495" s="1222"/>
      <c r="AI495" s="1222"/>
      <c r="AJ495" s="1222"/>
      <c r="AK495" s="1222"/>
      <c r="AL495" s="1222"/>
      <c r="AM495" s="1222"/>
      <c r="AN495" s="1222"/>
      <c r="AO495" s="1222"/>
      <c r="AP495" s="1222"/>
      <c r="AQ495" s="1222"/>
      <c r="AR495" s="1222"/>
      <c r="AS495" s="1222"/>
      <c r="AT495" s="1222"/>
      <c r="AU495" s="1120"/>
      <c r="AV495" s="445"/>
      <c r="AW495" s="607"/>
      <c r="AX495" s="607"/>
      <c r="AY495" s="607"/>
      <c r="AZ495" s="1209"/>
      <c r="BA495" s="1209"/>
    </row>
    <row r="496" spans="2:53" s="256" customFormat="1" ht="24.95" customHeight="1">
      <c r="B496" s="445"/>
      <c r="C496" s="204"/>
      <c r="D496" s="204"/>
      <c r="E496" s="204"/>
      <c r="F496" s="368"/>
      <c r="G496" s="1134"/>
      <c r="H496" s="401"/>
      <c r="I496" s="317"/>
      <c r="N496" s="317"/>
      <c r="O496" s="1135"/>
      <c r="P496" s="1136"/>
      <c r="Q496" s="1137"/>
      <c r="R496" s="1120"/>
      <c r="S496" s="1120"/>
      <c r="T496" s="1120"/>
      <c r="U496" s="1120"/>
      <c r="V496" s="1120"/>
      <c r="W496" s="1120"/>
      <c r="Z496" s="1145"/>
      <c r="AA496" s="1120"/>
      <c r="AB496" s="1120"/>
      <c r="AC496" s="1120"/>
      <c r="AD496" s="1212"/>
      <c r="AE496" s="1212"/>
      <c r="AF496" s="1186"/>
      <c r="AG496" s="1186"/>
      <c r="AH496" s="1222"/>
      <c r="AI496" s="1222"/>
      <c r="AJ496" s="1222"/>
      <c r="AK496" s="1222"/>
      <c r="AL496" s="1222"/>
      <c r="AM496" s="1222"/>
      <c r="AN496" s="1222"/>
      <c r="AO496" s="1222"/>
      <c r="AP496" s="1222"/>
      <c r="AQ496" s="1222"/>
      <c r="AR496" s="1222"/>
      <c r="AS496" s="1222"/>
      <c r="AT496" s="1222"/>
      <c r="AU496" s="1120"/>
      <c r="AV496" s="445"/>
      <c r="AW496" s="607"/>
      <c r="AX496" s="607"/>
      <c r="AY496" s="607"/>
      <c r="AZ496" s="1209"/>
      <c r="BA496" s="1209"/>
    </row>
    <row r="497" spans="2:53" s="256" customFormat="1" ht="24.95" customHeight="1">
      <c r="B497" s="445"/>
      <c r="C497" s="204"/>
      <c r="D497" s="204"/>
      <c r="E497" s="204"/>
      <c r="F497" s="368"/>
      <c r="G497" s="1134"/>
      <c r="H497" s="401"/>
      <c r="I497" s="317"/>
      <c r="N497" s="317"/>
      <c r="O497" s="1135"/>
      <c r="P497" s="1136"/>
      <c r="Q497" s="1137"/>
      <c r="R497" s="1120"/>
      <c r="S497" s="1120"/>
      <c r="T497" s="1120"/>
      <c r="U497" s="1120"/>
      <c r="V497" s="1120"/>
      <c r="W497" s="1120"/>
      <c r="Z497" s="1145"/>
      <c r="AA497" s="1120"/>
      <c r="AB497" s="1120"/>
      <c r="AC497" s="1120"/>
      <c r="AD497" s="1212"/>
      <c r="AE497" s="1212"/>
      <c r="AF497" s="1186"/>
      <c r="AG497" s="1186"/>
      <c r="AH497" s="1222"/>
      <c r="AI497" s="1222"/>
      <c r="AJ497" s="1222"/>
      <c r="AK497" s="1222"/>
      <c r="AL497" s="1222"/>
      <c r="AM497" s="1222"/>
      <c r="AN497" s="1222"/>
      <c r="AO497" s="1222"/>
      <c r="AP497" s="1222"/>
      <c r="AQ497" s="1222"/>
      <c r="AR497" s="1222"/>
      <c r="AS497" s="1222"/>
      <c r="AT497" s="1222"/>
      <c r="AU497" s="1120"/>
      <c r="AV497" s="445"/>
      <c r="AW497" s="607"/>
      <c r="AX497" s="607"/>
      <c r="AY497" s="607"/>
      <c r="AZ497" s="1209"/>
      <c r="BA497" s="1209"/>
    </row>
    <row r="498" spans="2:53" s="256" customFormat="1" ht="24.95" customHeight="1">
      <c r="B498" s="445"/>
      <c r="C498" s="204"/>
      <c r="D498" s="204"/>
      <c r="E498" s="204"/>
      <c r="F498" s="368"/>
      <c r="G498" s="1134"/>
      <c r="H498" s="401"/>
      <c r="I498" s="317"/>
      <c r="N498" s="317"/>
      <c r="O498" s="1135"/>
      <c r="P498" s="1136"/>
      <c r="Q498" s="1137"/>
      <c r="R498" s="1120"/>
      <c r="S498" s="1120"/>
      <c r="T498" s="1120"/>
      <c r="U498" s="1120"/>
      <c r="V498" s="1120"/>
      <c r="W498" s="1120"/>
      <c r="Z498" s="1145"/>
      <c r="AA498" s="1120"/>
      <c r="AB498" s="1120"/>
      <c r="AC498" s="1120"/>
      <c r="AD498" s="1212"/>
      <c r="AE498" s="1212"/>
      <c r="AF498" s="1186"/>
      <c r="AG498" s="1186"/>
      <c r="AH498" s="1222"/>
      <c r="AI498" s="1222"/>
      <c r="AJ498" s="1222"/>
      <c r="AK498" s="1222"/>
      <c r="AL498" s="1222"/>
      <c r="AM498" s="1222"/>
      <c r="AN498" s="1222"/>
      <c r="AO498" s="1222"/>
      <c r="AP498" s="1222"/>
      <c r="AQ498" s="1222"/>
      <c r="AR498" s="1222"/>
      <c r="AS498" s="1222"/>
      <c r="AT498" s="1222"/>
      <c r="AU498" s="1120"/>
      <c r="AV498" s="445"/>
      <c r="AW498" s="607"/>
      <c r="AX498" s="607"/>
      <c r="AY498" s="607"/>
      <c r="AZ498" s="1209"/>
      <c r="BA498" s="1209"/>
    </row>
    <row r="499" spans="2:53" s="256" customFormat="1" ht="24.95" customHeight="1">
      <c r="B499" s="445"/>
      <c r="C499" s="204"/>
      <c r="D499" s="204"/>
      <c r="E499" s="204"/>
      <c r="F499" s="368"/>
      <c r="G499" s="1134"/>
      <c r="H499" s="401"/>
      <c r="I499" s="317"/>
      <c r="N499" s="317"/>
      <c r="O499" s="1135"/>
      <c r="P499" s="1136"/>
      <c r="Q499" s="1137"/>
      <c r="R499" s="1120"/>
      <c r="S499" s="1120"/>
      <c r="T499" s="1120"/>
      <c r="U499" s="1120"/>
      <c r="V499" s="1120"/>
      <c r="W499" s="1120"/>
      <c r="Z499" s="1145"/>
      <c r="AA499" s="1120"/>
      <c r="AB499" s="1120"/>
      <c r="AC499" s="1120"/>
      <c r="AD499" s="1212"/>
      <c r="AE499" s="1212"/>
      <c r="AF499" s="1186"/>
      <c r="AG499" s="1186"/>
      <c r="AH499" s="1222"/>
      <c r="AI499" s="1222"/>
      <c r="AJ499" s="1222"/>
      <c r="AK499" s="1222"/>
      <c r="AL499" s="1222"/>
      <c r="AM499" s="1222"/>
      <c r="AN499" s="1222"/>
      <c r="AO499" s="1222"/>
      <c r="AP499" s="1222"/>
      <c r="AQ499" s="1222"/>
      <c r="AR499" s="1222"/>
      <c r="AS499" s="1222"/>
      <c r="AT499" s="1222"/>
      <c r="AU499" s="1120"/>
      <c r="AV499" s="445"/>
      <c r="AW499" s="607"/>
      <c r="AX499" s="607"/>
      <c r="AY499" s="607"/>
      <c r="AZ499" s="1209"/>
      <c r="BA499" s="1209"/>
    </row>
    <row r="500" spans="2:53" s="256" customFormat="1" ht="24.95" customHeight="1">
      <c r="B500" s="445"/>
      <c r="C500" s="204"/>
      <c r="D500" s="204"/>
      <c r="E500" s="204"/>
      <c r="F500" s="368"/>
      <c r="G500" s="1134"/>
      <c r="H500" s="401"/>
      <c r="I500" s="317"/>
      <c r="N500" s="317"/>
      <c r="O500" s="1135"/>
      <c r="P500" s="1136"/>
      <c r="Q500" s="1137"/>
      <c r="R500" s="1120"/>
      <c r="S500" s="1120"/>
      <c r="T500" s="1120"/>
      <c r="U500" s="1120"/>
      <c r="V500" s="1120"/>
      <c r="W500" s="1120"/>
      <c r="Z500" s="1145"/>
      <c r="AA500" s="1120"/>
      <c r="AB500" s="1120"/>
      <c r="AC500" s="1120"/>
      <c r="AD500" s="1212"/>
      <c r="AE500" s="1212"/>
      <c r="AF500" s="1186"/>
      <c r="AG500" s="1186"/>
      <c r="AH500" s="1222"/>
      <c r="AI500" s="1222"/>
      <c r="AJ500" s="1222"/>
      <c r="AK500" s="1222"/>
      <c r="AL500" s="1222"/>
      <c r="AM500" s="1222"/>
      <c r="AN500" s="1222"/>
      <c r="AO500" s="1222"/>
      <c r="AP500" s="1222"/>
      <c r="AQ500" s="1222"/>
      <c r="AR500" s="1222"/>
      <c r="AS500" s="1222"/>
      <c r="AT500" s="1222"/>
      <c r="AU500" s="1120"/>
      <c r="AV500" s="445"/>
      <c r="AW500" s="607"/>
      <c r="AX500" s="607"/>
      <c r="AY500" s="607"/>
      <c r="AZ500" s="1209"/>
      <c r="BA500" s="1209"/>
    </row>
    <row r="501" spans="2:53" s="256" customFormat="1" ht="24.95" customHeight="1">
      <c r="B501" s="445"/>
      <c r="C501" s="204"/>
      <c r="D501" s="204"/>
      <c r="E501" s="204"/>
      <c r="F501" s="368"/>
      <c r="G501" s="1134"/>
      <c r="H501" s="401"/>
      <c r="I501" s="317"/>
      <c r="N501" s="317"/>
      <c r="O501" s="1135"/>
      <c r="P501" s="1136"/>
      <c r="Q501" s="1137"/>
      <c r="R501" s="1120"/>
      <c r="S501" s="1120"/>
      <c r="T501" s="1120"/>
      <c r="U501" s="1120"/>
      <c r="V501" s="1120"/>
      <c r="W501" s="1120"/>
      <c r="Z501" s="1145"/>
      <c r="AA501" s="1120"/>
      <c r="AB501" s="1120"/>
      <c r="AC501" s="1120"/>
      <c r="AD501" s="1212"/>
      <c r="AE501" s="1212"/>
      <c r="AF501" s="1186"/>
      <c r="AG501" s="1186"/>
      <c r="AH501" s="1222"/>
      <c r="AI501" s="1222"/>
      <c r="AJ501" s="1222"/>
      <c r="AK501" s="1222"/>
      <c r="AL501" s="1222"/>
      <c r="AM501" s="1222"/>
      <c r="AN501" s="1222"/>
      <c r="AO501" s="1222"/>
      <c r="AP501" s="1222"/>
      <c r="AQ501" s="1222"/>
      <c r="AR501" s="1222"/>
      <c r="AS501" s="1222"/>
      <c r="AT501" s="1222"/>
      <c r="AU501" s="1120"/>
      <c r="AV501" s="445"/>
      <c r="AW501" s="607"/>
      <c r="AX501" s="607"/>
      <c r="AY501" s="607"/>
      <c r="AZ501" s="1209"/>
      <c r="BA501" s="1209"/>
    </row>
    <row r="502" spans="2:53" s="256" customFormat="1" ht="24.95" customHeight="1">
      <c r="B502" s="445"/>
      <c r="C502" s="204"/>
      <c r="D502" s="204"/>
      <c r="E502" s="204"/>
      <c r="F502" s="368"/>
      <c r="G502" s="1134"/>
      <c r="H502" s="401"/>
      <c r="I502" s="317"/>
      <c r="N502" s="317"/>
      <c r="O502" s="1135"/>
      <c r="P502" s="1136"/>
      <c r="Q502" s="1137"/>
      <c r="R502" s="1120"/>
      <c r="S502" s="1120"/>
      <c r="T502" s="1120"/>
      <c r="U502" s="1120"/>
      <c r="V502" s="1120"/>
      <c r="W502" s="1120"/>
      <c r="Z502" s="1145"/>
      <c r="AA502" s="1120"/>
      <c r="AB502" s="1120"/>
      <c r="AC502" s="1120"/>
      <c r="AD502" s="1212"/>
      <c r="AE502" s="1212"/>
      <c r="AF502" s="1186"/>
      <c r="AG502" s="1186"/>
      <c r="AH502" s="1222"/>
      <c r="AI502" s="1222"/>
      <c r="AJ502" s="1222"/>
      <c r="AK502" s="1222"/>
      <c r="AL502" s="1222"/>
      <c r="AM502" s="1222"/>
      <c r="AN502" s="1222"/>
      <c r="AO502" s="1222"/>
      <c r="AP502" s="1222"/>
      <c r="AQ502" s="1222"/>
      <c r="AR502" s="1222"/>
      <c r="AS502" s="1222"/>
      <c r="AT502" s="1222"/>
      <c r="AU502" s="1120"/>
      <c r="AV502" s="445"/>
      <c r="AW502" s="607"/>
      <c r="AX502" s="607"/>
      <c r="AY502" s="607"/>
      <c r="AZ502" s="1209"/>
      <c r="BA502" s="1209"/>
    </row>
    <row r="503" spans="2:53" s="256" customFormat="1" ht="24.95" customHeight="1">
      <c r="B503" s="445"/>
      <c r="C503" s="204"/>
      <c r="D503" s="204"/>
      <c r="E503" s="204"/>
      <c r="F503" s="368"/>
      <c r="G503" s="1134"/>
      <c r="H503" s="401"/>
      <c r="I503" s="317"/>
      <c r="N503" s="317"/>
      <c r="O503" s="1135"/>
      <c r="P503" s="1136"/>
      <c r="Q503" s="1137"/>
      <c r="R503" s="1120"/>
      <c r="S503" s="1120"/>
      <c r="T503" s="1120"/>
      <c r="U503" s="1120"/>
      <c r="V503" s="1120"/>
      <c r="W503" s="1120"/>
      <c r="Z503" s="1145"/>
      <c r="AA503" s="1120"/>
      <c r="AB503" s="1120"/>
      <c r="AC503" s="1120"/>
      <c r="AD503" s="1212"/>
      <c r="AE503" s="1212"/>
      <c r="AF503" s="1186"/>
      <c r="AG503" s="1186"/>
      <c r="AH503" s="1222"/>
      <c r="AI503" s="1222"/>
      <c r="AJ503" s="1222"/>
      <c r="AK503" s="1222"/>
      <c r="AL503" s="1222"/>
      <c r="AM503" s="1222"/>
      <c r="AN503" s="1222"/>
      <c r="AO503" s="1222"/>
      <c r="AP503" s="1222"/>
      <c r="AQ503" s="1222"/>
      <c r="AR503" s="1222"/>
      <c r="AS503" s="1222"/>
      <c r="AT503" s="1222"/>
      <c r="AU503" s="1120"/>
      <c r="AV503" s="445"/>
      <c r="AW503" s="607"/>
      <c r="AX503" s="607"/>
      <c r="AY503" s="607"/>
      <c r="AZ503" s="1209"/>
      <c r="BA503" s="1209"/>
    </row>
    <row r="504" spans="2:53" s="256" customFormat="1" ht="24.95" customHeight="1">
      <c r="B504" s="445"/>
      <c r="C504" s="204"/>
      <c r="D504" s="204"/>
      <c r="E504" s="204"/>
      <c r="F504" s="368"/>
      <c r="G504" s="1134"/>
      <c r="H504" s="401"/>
      <c r="I504" s="317"/>
      <c r="N504" s="317"/>
      <c r="O504" s="1135"/>
      <c r="P504" s="1136"/>
      <c r="Q504" s="1137"/>
      <c r="R504" s="1120"/>
      <c r="S504" s="1120"/>
      <c r="T504" s="1120"/>
      <c r="U504" s="1120"/>
      <c r="V504" s="1120"/>
      <c r="W504" s="1120"/>
      <c r="Z504" s="1145"/>
      <c r="AA504" s="1120"/>
      <c r="AB504" s="1120"/>
      <c r="AC504" s="1120"/>
      <c r="AD504" s="1212"/>
      <c r="AE504" s="1212"/>
      <c r="AF504" s="1186"/>
      <c r="AG504" s="1186"/>
      <c r="AH504" s="1222"/>
      <c r="AI504" s="1222"/>
      <c r="AJ504" s="1222"/>
      <c r="AK504" s="1222"/>
      <c r="AL504" s="1222"/>
      <c r="AM504" s="1222"/>
      <c r="AN504" s="1222"/>
      <c r="AO504" s="1222"/>
      <c r="AP504" s="1222"/>
      <c r="AQ504" s="1222"/>
      <c r="AR504" s="1222"/>
      <c r="AS504" s="1222"/>
      <c r="AT504" s="1222"/>
      <c r="AU504" s="1120"/>
      <c r="AV504" s="445"/>
      <c r="AW504" s="607"/>
      <c r="AX504" s="607"/>
      <c r="AY504" s="607"/>
      <c r="AZ504" s="1209"/>
      <c r="BA504" s="1209"/>
    </row>
    <row r="505" spans="2:53" s="256" customFormat="1" ht="24.95" customHeight="1">
      <c r="B505" s="445"/>
      <c r="C505" s="204"/>
      <c r="D505" s="204"/>
      <c r="E505" s="204"/>
      <c r="F505" s="368"/>
      <c r="G505" s="1134"/>
      <c r="H505" s="401"/>
      <c r="I505" s="317"/>
      <c r="N505" s="317"/>
      <c r="O505" s="1135"/>
      <c r="P505" s="1136"/>
      <c r="Q505" s="1137"/>
      <c r="R505" s="1120"/>
      <c r="S505" s="1120"/>
      <c r="T505" s="1120"/>
      <c r="U505" s="1120"/>
      <c r="V505" s="1120"/>
      <c r="W505" s="1120"/>
      <c r="Z505" s="1145"/>
      <c r="AA505" s="1120"/>
      <c r="AB505" s="1120"/>
      <c r="AC505" s="1120"/>
      <c r="AD505" s="1212"/>
      <c r="AE505" s="1212"/>
      <c r="AF505" s="1186"/>
      <c r="AG505" s="1186"/>
      <c r="AH505" s="1222"/>
      <c r="AI505" s="1222"/>
      <c r="AJ505" s="1222"/>
      <c r="AK505" s="1222"/>
      <c r="AL505" s="1222"/>
      <c r="AM505" s="1222"/>
      <c r="AN505" s="1222"/>
      <c r="AO505" s="1222"/>
      <c r="AP505" s="1222"/>
      <c r="AQ505" s="1222"/>
      <c r="AR505" s="1222"/>
      <c r="AS505" s="1222"/>
      <c r="AT505" s="1222"/>
      <c r="AU505" s="1120"/>
      <c r="AV505" s="445"/>
      <c r="AW505" s="607"/>
      <c r="AX505" s="607"/>
      <c r="AY505" s="607"/>
      <c r="AZ505" s="1209"/>
      <c r="BA505" s="1209"/>
    </row>
    <row r="506" spans="2:53" s="256" customFormat="1" ht="24.95" customHeight="1">
      <c r="B506" s="445"/>
      <c r="C506" s="204"/>
      <c r="D506" s="204"/>
      <c r="E506" s="204"/>
      <c r="F506" s="368"/>
      <c r="G506" s="1134"/>
      <c r="H506" s="401"/>
      <c r="I506" s="317"/>
      <c r="N506" s="317"/>
      <c r="O506" s="1135"/>
      <c r="P506" s="1136"/>
      <c r="Q506" s="1137"/>
      <c r="R506" s="1120"/>
      <c r="S506" s="1120"/>
      <c r="T506" s="1120"/>
      <c r="U506" s="1120"/>
      <c r="V506" s="1120"/>
      <c r="W506" s="1120"/>
      <c r="Z506" s="1145"/>
      <c r="AA506" s="1120"/>
      <c r="AB506" s="1120"/>
      <c r="AC506" s="1120"/>
      <c r="AD506" s="1212"/>
      <c r="AE506" s="1212"/>
      <c r="AF506" s="1186"/>
      <c r="AG506" s="1186"/>
      <c r="AH506" s="1222"/>
      <c r="AI506" s="1222"/>
      <c r="AJ506" s="1222"/>
      <c r="AK506" s="1222"/>
      <c r="AL506" s="1222"/>
      <c r="AM506" s="1222"/>
      <c r="AN506" s="1222"/>
      <c r="AO506" s="1222"/>
      <c r="AP506" s="1222"/>
      <c r="AQ506" s="1222"/>
      <c r="AR506" s="1222"/>
      <c r="AS506" s="1222"/>
      <c r="AT506" s="1222"/>
      <c r="AU506" s="1120"/>
      <c r="AV506" s="445"/>
      <c r="AW506" s="607"/>
      <c r="AX506" s="607"/>
      <c r="AY506" s="607"/>
      <c r="AZ506" s="1209"/>
      <c r="BA506" s="1209"/>
    </row>
    <row r="507" spans="2:53" s="256" customFormat="1" ht="24.95" customHeight="1">
      <c r="B507" s="445"/>
      <c r="C507" s="204"/>
      <c r="D507" s="204"/>
      <c r="E507" s="204"/>
      <c r="F507" s="368"/>
      <c r="G507" s="1134"/>
      <c r="H507" s="401"/>
      <c r="I507" s="317"/>
      <c r="N507" s="317"/>
      <c r="O507" s="1135"/>
      <c r="P507" s="1136"/>
      <c r="Q507" s="1137"/>
      <c r="R507" s="1120"/>
      <c r="S507" s="1120"/>
      <c r="T507" s="1120"/>
      <c r="U507" s="1120"/>
      <c r="V507" s="1120"/>
      <c r="W507" s="1120"/>
      <c r="Z507" s="1145"/>
      <c r="AA507" s="1120"/>
      <c r="AB507" s="1120"/>
      <c r="AC507" s="1120"/>
      <c r="AD507" s="1212"/>
      <c r="AE507" s="1212"/>
      <c r="AF507" s="1186"/>
      <c r="AG507" s="1186"/>
      <c r="AH507" s="1222"/>
      <c r="AI507" s="1222"/>
      <c r="AJ507" s="1222"/>
      <c r="AK507" s="1222"/>
      <c r="AL507" s="1222"/>
      <c r="AM507" s="1222"/>
      <c r="AN507" s="1222"/>
      <c r="AO507" s="1222"/>
      <c r="AP507" s="1222"/>
      <c r="AQ507" s="1222"/>
      <c r="AR507" s="1222"/>
      <c r="AS507" s="1222"/>
      <c r="AT507" s="1222"/>
      <c r="AU507" s="1120"/>
      <c r="AV507" s="445"/>
      <c r="AW507" s="607"/>
      <c r="AX507" s="607"/>
      <c r="AY507" s="607"/>
      <c r="AZ507" s="1209"/>
      <c r="BA507" s="1209"/>
    </row>
    <row r="508" spans="2:53" s="256" customFormat="1" ht="24.95" customHeight="1">
      <c r="B508" s="445"/>
      <c r="C508" s="204"/>
      <c r="D508" s="204"/>
      <c r="E508" s="204"/>
      <c r="F508" s="368"/>
      <c r="G508" s="1134"/>
      <c r="H508" s="401"/>
      <c r="I508" s="317"/>
      <c r="N508" s="317"/>
      <c r="O508" s="1135"/>
      <c r="P508" s="1136"/>
      <c r="Q508" s="1137"/>
      <c r="R508" s="1120"/>
      <c r="S508" s="1120"/>
      <c r="T508" s="1120"/>
      <c r="U508" s="1120"/>
      <c r="V508" s="1120"/>
      <c r="W508" s="1120"/>
      <c r="Z508" s="1145"/>
      <c r="AA508" s="1120"/>
      <c r="AB508" s="1120"/>
      <c r="AC508" s="1120"/>
      <c r="AD508" s="1212"/>
      <c r="AE508" s="1212"/>
      <c r="AF508" s="1186"/>
      <c r="AG508" s="1186"/>
      <c r="AH508" s="1222"/>
      <c r="AI508" s="1222"/>
      <c r="AJ508" s="1222"/>
      <c r="AK508" s="1222"/>
      <c r="AL508" s="1222"/>
      <c r="AM508" s="1222"/>
      <c r="AN508" s="1222"/>
      <c r="AO508" s="1222"/>
      <c r="AP508" s="1222"/>
      <c r="AQ508" s="1222"/>
      <c r="AR508" s="1222"/>
      <c r="AS508" s="1222"/>
      <c r="AT508" s="1222"/>
      <c r="AU508" s="1120"/>
      <c r="AV508" s="445"/>
      <c r="AW508" s="607"/>
      <c r="AX508" s="607"/>
      <c r="AY508" s="607"/>
      <c r="AZ508" s="1209"/>
      <c r="BA508" s="1209"/>
    </row>
    <row r="509" spans="2:53" s="256" customFormat="1" ht="24.95" customHeight="1">
      <c r="B509" s="445"/>
      <c r="C509" s="204"/>
      <c r="D509" s="204"/>
      <c r="E509" s="204"/>
      <c r="F509" s="368"/>
      <c r="G509" s="1134"/>
      <c r="H509" s="401"/>
      <c r="I509" s="317"/>
      <c r="N509" s="317"/>
      <c r="O509" s="1135"/>
      <c r="P509" s="1136"/>
      <c r="Q509" s="1137"/>
      <c r="R509" s="1120"/>
      <c r="S509" s="1120"/>
      <c r="T509" s="1120"/>
      <c r="U509" s="1120"/>
      <c r="V509" s="1120"/>
      <c r="W509" s="1120"/>
      <c r="Z509" s="1145"/>
      <c r="AA509" s="1120"/>
      <c r="AB509" s="1120"/>
      <c r="AC509" s="1120"/>
      <c r="AD509" s="1212"/>
      <c r="AE509" s="1212"/>
      <c r="AF509" s="1186"/>
      <c r="AG509" s="1186"/>
      <c r="AH509" s="1222"/>
      <c r="AI509" s="1222"/>
      <c r="AJ509" s="1222"/>
      <c r="AK509" s="1222"/>
      <c r="AL509" s="1222"/>
      <c r="AM509" s="1222"/>
      <c r="AN509" s="1222"/>
      <c r="AO509" s="1222"/>
      <c r="AP509" s="1222"/>
      <c r="AQ509" s="1222"/>
      <c r="AR509" s="1222"/>
      <c r="AS509" s="1222"/>
      <c r="AT509" s="1222"/>
      <c r="AU509" s="1120"/>
      <c r="AV509" s="445"/>
      <c r="AW509" s="607"/>
      <c r="AX509" s="607"/>
      <c r="AY509" s="607"/>
      <c r="AZ509" s="1209"/>
      <c r="BA509" s="1209"/>
    </row>
    <row r="510" spans="2:53" s="256" customFormat="1" ht="24.95" customHeight="1">
      <c r="B510" s="445"/>
      <c r="C510" s="204"/>
      <c r="D510" s="204"/>
      <c r="E510" s="204"/>
      <c r="F510" s="368"/>
      <c r="G510" s="1134"/>
      <c r="H510" s="401"/>
      <c r="I510" s="317"/>
      <c r="N510" s="317"/>
      <c r="O510" s="1135"/>
      <c r="P510" s="1136"/>
      <c r="Q510" s="1137"/>
      <c r="R510" s="1120"/>
      <c r="S510" s="1120"/>
      <c r="T510" s="1120"/>
      <c r="U510" s="1120"/>
      <c r="V510" s="1120"/>
      <c r="W510" s="1120"/>
      <c r="Z510" s="1145"/>
      <c r="AA510" s="1120"/>
      <c r="AB510" s="1120"/>
      <c r="AC510" s="1120"/>
      <c r="AD510" s="1212"/>
      <c r="AE510" s="1212"/>
      <c r="AF510" s="1186"/>
      <c r="AG510" s="1186"/>
      <c r="AH510" s="1222"/>
      <c r="AI510" s="1222"/>
      <c r="AJ510" s="1222"/>
      <c r="AK510" s="1222"/>
      <c r="AL510" s="1222"/>
      <c r="AM510" s="1222"/>
      <c r="AN510" s="1222"/>
      <c r="AO510" s="1222"/>
      <c r="AP510" s="1222"/>
      <c r="AQ510" s="1222"/>
      <c r="AR510" s="1222"/>
      <c r="AS510" s="1222"/>
      <c r="AT510" s="1222"/>
      <c r="AU510" s="1120"/>
      <c r="AV510" s="445"/>
      <c r="AW510" s="607"/>
      <c r="AX510" s="607"/>
      <c r="AY510" s="607"/>
      <c r="AZ510" s="1209"/>
      <c r="BA510" s="1209"/>
    </row>
    <row r="511" spans="2:53" s="256" customFormat="1" ht="24.95" customHeight="1">
      <c r="B511" s="445"/>
      <c r="C511" s="204"/>
      <c r="D511" s="204"/>
      <c r="E511" s="204"/>
      <c r="F511" s="368"/>
      <c r="G511" s="1134"/>
      <c r="H511" s="401"/>
      <c r="I511" s="317"/>
      <c r="N511" s="317"/>
      <c r="O511" s="1135"/>
      <c r="P511" s="1136"/>
      <c r="Q511" s="1137"/>
      <c r="R511" s="1120"/>
      <c r="S511" s="1120"/>
      <c r="T511" s="1120"/>
      <c r="U511" s="1120"/>
      <c r="V511" s="1120"/>
      <c r="W511" s="1120"/>
      <c r="Z511" s="1145"/>
      <c r="AA511" s="1120"/>
      <c r="AB511" s="1120"/>
      <c r="AC511" s="1120"/>
      <c r="AD511" s="1212"/>
      <c r="AE511" s="1212"/>
      <c r="AF511" s="1186"/>
      <c r="AG511" s="1186"/>
      <c r="AH511" s="1222"/>
      <c r="AI511" s="1222"/>
      <c r="AJ511" s="1222"/>
      <c r="AK511" s="1222"/>
      <c r="AL511" s="1222"/>
      <c r="AM511" s="1222"/>
      <c r="AN511" s="1222"/>
      <c r="AO511" s="1222"/>
      <c r="AP511" s="1222"/>
      <c r="AQ511" s="1222"/>
      <c r="AR511" s="1222"/>
      <c r="AS511" s="1222"/>
      <c r="AT511" s="1222"/>
      <c r="AU511" s="1120"/>
      <c r="AV511" s="445"/>
      <c r="AW511" s="607"/>
      <c r="AX511" s="607"/>
      <c r="AY511" s="607"/>
      <c r="AZ511" s="1209"/>
      <c r="BA511" s="1209"/>
    </row>
    <row r="512" spans="2:53" s="256" customFormat="1" ht="24.95" customHeight="1">
      <c r="B512" s="445"/>
      <c r="C512" s="204"/>
      <c r="D512" s="204"/>
      <c r="E512" s="204"/>
      <c r="F512" s="368"/>
      <c r="G512" s="1134"/>
      <c r="H512" s="401"/>
      <c r="I512" s="317"/>
      <c r="N512" s="317"/>
      <c r="O512" s="1135"/>
      <c r="P512" s="1136"/>
      <c r="Q512" s="1137"/>
      <c r="R512" s="1120"/>
      <c r="S512" s="1120"/>
      <c r="T512" s="1120"/>
      <c r="U512" s="1120"/>
      <c r="V512" s="1120"/>
      <c r="W512" s="1120"/>
      <c r="Z512" s="1145"/>
      <c r="AA512" s="1120"/>
      <c r="AB512" s="1120"/>
      <c r="AC512" s="1120"/>
      <c r="AD512" s="1212"/>
      <c r="AE512" s="1212"/>
      <c r="AF512" s="1186"/>
      <c r="AG512" s="1186"/>
      <c r="AH512" s="1222"/>
      <c r="AI512" s="1222"/>
      <c r="AJ512" s="1222"/>
      <c r="AK512" s="1222"/>
      <c r="AL512" s="1222"/>
      <c r="AM512" s="1222"/>
      <c r="AN512" s="1222"/>
      <c r="AO512" s="1222"/>
      <c r="AP512" s="1222"/>
      <c r="AQ512" s="1222"/>
      <c r="AR512" s="1222"/>
      <c r="AS512" s="1222"/>
      <c r="AT512" s="1222"/>
      <c r="AU512" s="1120"/>
      <c r="AV512" s="445"/>
      <c r="AW512" s="607"/>
      <c r="AX512" s="607"/>
      <c r="AY512" s="607"/>
      <c r="AZ512" s="1209"/>
      <c r="BA512" s="1209"/>
    </row>
    <row r="513" spans="2:53" s="256" customFormat="1" ht="24.95" customHeight="1">
      <c r="B513" s="445"/>
      <c r="C513" s="204"/>
      <c r="D513" s="204"/>
      <c r="E513" s="204"/>
      <c r="F513" s="368"/>
      <c r="G513" s="1134"/>
      <c r="H513" s="401"/>
      <c r="I513" s="317"/>
      <c r="N513" s="317"/>
      <c r="O513" s="1135"/>
      <c r="P513" s="1136"/>
      <c r="Q513" s="1137"/>
      <c r="R513" s="1120"/>
      <c r="S513" s="1120"/>
      <c r="T513" s="1120"/>
      <c r="U513" s="1120"/>
      <c r="V513" s="1120"/>
      <c r="W513" s="1120"/>
      <c r="Z513" s="1145"/>
      <c r="AA513" s="1120"/>
      <c r="AB513" s="1120"/>
      <c r="AC513" s="1120"/>
      <c r="AD513" s="1212"/>
      <c r="AE513" s="1212"/>
      <c r="AF513" s="1186"/>
      <c r="AG513" s="1186"/>
      <c r="AH513" s="1222"/>
      <c r="AI513" s="1222"/>
      <c r="AJ513" s="1222"/>
      <c r="AK513" s="1222"/>
      <c r="AL513" s="1222"/>
      <c r="AM513" s="1222"/>
      <c r="AN513" s="1222"/>
      <c r="AO513" s="1222"/>
      <c r="AP513" s="1222"/>
      <c r="AQ513" s="1222"/>
      <c r="AR513" s="1222"/>
      <c r="AS513" s="1222"/>
      <c r="AT513" s="1222"/>
      <c r="AU513" s="1120"/>
      <c r="AV513" s="445"/>
      <c r="AW513" s="607"/>
      <c r="AX513" s="607"/>
      <c r="AY513" s="607"/>
      <c r="AZ513" s="1209"/>
      <c r="BA513" s="1209"/>
    </row>
    <row r="514" spans="2:53" s="256" customFormat="1" ht="24.95" customHeight="1">
      <c r="B514" s="445"/>
      <c r="C514" s="204"/>
      <c r="D514" s="204"/>
      <c r="E514" s="204"/>
      <c r="F514" s="368"/>
      <c r="G514" s="1134"/>
      <c r="H514" s="401"/>
      <c r="I514" s="317"/>
      <c r="N514" s="317"/>
      <c r="O514" s="1135"/>
      <c r="P514" s="1136"/>
      <c r="Q514" s="1137"/>
      <c r="R514" s="1120"/>
      <c r="S514" s="1120"/>
      <c r="T514" s="1120"/>
      <c r="U514" s="1120"/>
      <c r="V514" s="1120"/>
      <c r="W514" s="1120"/>
      <c r="Z514" s="1145"/>
      <c r="AA514" s="1120"/>
      <c r="AB514" s="1120"/>
      <c r="AC514" s="1120"/>
      <c r="AD514" s="1212"/>
      <c r="AE514" s="1212"/>
      <c r="AF514" s="1186"/>
      <c r="AG514" s="1186"/>
      <c r="AH514" s="1222"/>
      <c r="AI514" s="1222"/>
      <c r="AJ514" s="1222"/>
      <c r="AK514" s="1222"/>
      <c r="AL514" s="1222"/>
      <c r="AM514" s="1222"/>
      <c r="AN514" s="1222"/>
      <c r="AO514" s="1222"/>
      <c r="AP514" s="1222"/>
      <c r="AQ514" s="1222"/>
      <c r="AR514" s="1222"/>
      <c r="AS514" s="1222"/>
      <c r="AT514" s="1222"/>
      <c r="AU514" s="1120"/>
      <c r="AV514" s="445"/>
      <c r="AW514" s="607"/>
      <c r="AX514" s="607"/>
      <c r="AY514" s="607"/>
      <c r="AZ514" s="1209"/>
      <c r="BA514" s="1209"/>
    </row>
    <row r="515" spans="2:53" s="256" customFormat="1" ht="24.95" customHeight="1">
      <c r="B515" s="445"/>
      <c r="C515" s="204"/>
      <c r="D515" s="204"/>
      <c r="E515" s="204"/>
      <c r="F515" s="368"/>
      <c r="G515" s="1134"/>
      <c r="H515" s="401"/>
      <c r="I515" s="317"/>
      <c r="N515" s="317"/>
      <c r="O515" s="1135"/>
      <c r="P515" s="1136"/>
      <c r="Q515" s="1137"/>
      <c r="R515" s="1120"/>
      <c r="S515" s="1120"/>
      <c r="T515" s="1120"/>
      <c r="U515" s="1120"/>
      <c r="V515" s="1120"/>
      <c r="W515" s="1120"/>
      <c r="Z515" s="1145"/>
      <c r="AA515" s="1120"/>
      <c r="AB515" s="1120"/>
      <c r="AC515" s="1120"/>
      <c r="AD515" s="1212"/>
      <c r="AE515" s="1212"/>
      <c r="AF515" s="1186"/>
      <c r="AG515" s="1186"/>
      <c r="AH515" s="1222"/>
      <c r="AI515" s="1222"/>
      <c r="AJ515" s="1222"/>
      <c r="AK515" s="1222"/>
      <c r="AL515" s="1222"/>
      <c r="AM515" s="1222"/>
      <c r="AN515" s="1222"/>
      <c r="AO515" s="1222"/>
      <c r="AP515" s="1222"/>
      <c r="AQ515" s="1222"/>
      <c r="AR515" s="1222"/>
      <c r="AS515" s="1222"/>
      <c r="AT515" s="1222"/>
      <c r="AU515" s="1120"/>
      <c r="AV515" s="445"/>
      <c r="AW515" s="607"/>
      <c r="AX515" s="607"/>
      <c r="AY515" s="607"/>
      <c r="AZ515" s="1209"/>
      <c r="BA515" s="1209"/>
    </row>
    <row r="516" spans="2:53" s="256" customFormat="1" ht="24.95" customHeight="1">
      <c r="B516" s="445"/>
      <c r="C516" s="204"/>
      <c r="D516" s="204"/>
      <c r="E516" s="204"/>
      <c r="F516" s="368"/>
      <c r="G516" s="1134"/>
      <c r="H516" s="401"/>
      <c r="I516" s="317"/>
      <c r="N516" s="317"/>
      <c r="O516" s="1135"/>
      <c r="P516" s="1136"/>
      <c r="Q516" s="1137"/>
      <c r="R516" s="1120"/>
      <c r="S516" s="1120"/>
      <c r="T516" s="1120"/>
      <c r="U516" s="1120"/>
      <c r="V516" s="1120"/>
      <c r="W516" s="1120"/>
      <c r="Z516" s="1145"/>
      <c r="AA516" s="1120"/>
      <c r="AB516" s="1120"/>
      <c r="AC516" s="1120"/>
      <c r="AD516" s="1212"/>
      <c r="AE516" s="1212"/>
      <c r="AF516" s="1186"/>
      <c r="AG516" s="1186"/>
      <c r="AH516" s="1222"/>
      <c r="AI516" s="1222"/>
      <c r="AJ516" s="1222"/>
      <c r="AK516" s="1222"/>
      <c r="AL516" s="1222"/>
      <c r="AM516" s="1222"/>
      <c r="AN516" s="1222"/>
      <c r="AO516" s="1222"/>
      <c r="AP516" s="1222"/>
      <c r="AQ516" s="1222"/>
      <c r="AR516" s="1222"/>
      <c r="AS516" s="1222"/>
      <c r="AT516" s="1222"/>
      <c r="AU516" s="1120"/>
      <c r="AV516" s="445"/>
      <c r="AW516" s="607"/>
      <c r="AX516" s="607"/>
      <c r="AY516" s="607"/>
      <c r="AZ516" s="1209"/>
      <c r="BA516" s="1209"/>
    </row>
    <row r="517" spans="2:53" s="256" customFormat="1" ht="24.95" customHeight="1">
      <c r="B517" s="445"/>
      <c r="C517" s="204"/>
      <c r="D517" s="204"/>
      <c r="E517" s="204"/>
      <c r="F517" s="368"/>
      <c r="G517" s="1134"/>
      <c r="H517" s="401"/>
      <c r="I517" s="317"/>
      <c r="N517" s="317"/>
      <c r="O517" s="1135"/>
      <c r="P517" s="1136"/>
      <c r="Q517" s="1137"/>
      <c r="R517" s="1120"/>
      <c r="S517" s="1120"/>
      <c r="T517" s="1120"/>
      <c r="U517" s="1120"/>
      <c r="V517" s="1120"/>
      <c r="W517" s="1120"/>
      <c r="Z517" s="1145"/>
      <c r="AA517" s="1120"/>
      <c r="AB517" s="1120"/>
      <c r="AC517" s="1120"/>
      <c r="AD517" s="1212"/>
      <c r="AE517" s="1212"/>
      <c r="AF517" s="1186"/>
      <c r="AG517" s="1186"/>
      <c r="AH517" s="1222"/>
      <c r="AI517" s="1222"/>
      <c r="AJ517" s="1222"/>
      <c r="AK517" s="1222"/>
      <c r="AL517" s="1222"/>
      <c r="AM517" s="1222"/>
      <c r="AN517" s="1222"/>
      <c r="AO517" s="1222"/>
      <c r="AP517" s="1222"/>
      <c r="AQ517" s="1222"/>
      <c r="AR517" s="1222"/>
      <c r="AS517" s="1222"/>
      <c r="AT517" s="1222"/>
      <c r="AU517" s="1120"/>
      <c r="AV517" s="445"/>
      <c r="AW517" s="607"/>
      <c r="AX517" s="607"/>
      <c r="AY517" s="607"/>
      <c r="AZ517" s="1209"/>
      <c r="BA517" s="1209"/>
    </row>
    <row r="518" spans="2:53" s="256" customFormat="1" ht="24.95" customHeight="1">
      <c r="B518" s="445"/>
      <c r="C518" s="204"/>
      <c r="D518" s="204"/>
      <c r="E518" s="204"/>
      <c r="F518" s="368"/>
      <c r="G518" s="1134"/>
      <c r="H518" s="401"/>
      <c r="I518" s="317"/>
      <c r="N518" s="317"/>
      <c r="O518" s="1135"/>
      <c r="P518" s="1136"/>
      <c r="Q518" s="1137"/>
      <c r="R518" s="1120"/>
      <c r="S518" s="1120"/>
      <c r="T518" s="1120"/>
      <c r="U518" s="1120"/>
      <c r="V518" s="1120"/>
      <c r="W518" s="1120"/>
      <c r="Z518" s="1145"/>
      <c r="AA518" s="1120"/>
      <c r="AB518" s="1120"/>
      <c r="AC518" s="1120"/>
      <c r="AD518" s="1212"/>
      <c r="AE518" s="1212"/>
      <c r="AF518" s="1186"/>
      <c r="AG518" s="1186"/>
      <c r="AH518" s="1222"/>
      <c r="AI518" s="1222"/>
      <c r="AJ518" s="1222"/>
      <c r="AK518" s="1222"/>
      <c r="AL518" s="1222"/>
      <c r="AM518" s="1222"/>
      <c r="AN518" s="1222"/>
      <c r="AO518" s="1222"/>
      <c r="AP518" s="1222"/>
      <c r="AQ518" s="1222"/>
      <c r="AR518" s="1222"/>
      <c r="AS518" s="1222"/>
      <c r="AT518" s="1222"/>
      <c r="AU518" s="1120"/>
      <c r="AV518" s="445"/>
      <c r="AW518" s="607"/>
      <c r="AX518" s="607"/>
      <c r="AY518" s="607"/>
      <c r="AZ518" s="1209"/>
      <c r="BA518" s="1209"/>
    </row>
    <row r="519" spans="2:53" s="256" customFormat="1" ht="24.95" customHeight="1">
      <c r="B519" s="445"/>
      <c r="C519" s="204"/>
      <c r="D519" s="204"/>
      <c r="E519" s="204"/>
      <c r="F519" s="368"/>
      <c r="G519" s="1134"/>
      <c r="H519" s="401"/>
      <c r="I519" s="317"/>
      <c r="N519" s="317"/>
      <c r="O519" s="1135"/>
      <c r="P519" s="1136"/>
      <c r="Q519" s="1137"/>
      <c r="R519" s="1120"/>
      <c r="S519" s="1120"/>
      <c r="T519" s="1120"/>
      <c r="U519" s="1120"/>
      <c r="V519" s="1120"/>
      <c r="W519" s="1120"/>
      <c r="Z519" s="1145"/>
      <c r="AA519" s="1120"/>
      <c r="AB519" s="1120"/>
      <c r="AC519" s="1120"/>
      <c r="AD519" s="1212"/>
      <c r="AE519" s="1212"/>
      <c r="AF519" s="1186"/>
      <c r="AG519" s="1186"/>
      <c r="AH519" s="1222"/>
      <c r="AI519" s="1222"/>
      <c r="AJ519" s="1222"/>
      <c r="AK519" s="1222"/>
      <c r="AL519" s="1222"/>
      <c r="AM519" s="1222"/>
      <c r="AN519" s="1222"/>
      <c r="AO519" s="1222"/>
      <c r="AP519" s="1222"/>
      <c r="AQ519" s="1222"/>
      <c r="AR519" s="1222"/>
      <c r="AS519" s="1222"/>
      <c r="AT519" s="1222"/>
      <c r="AU519" s="1120"/>
      <c r="AV519" s="445"/>
      <c r="AW519" s="607"/>
      <c r="AX519" s="607"/>
      <c r="AY519" s="607"/>
      <c r="AZ519" s="1209"/>
      <c r="BA519" s="1209"/>
    </row>
    <row r="520" spans="2:53" s="256" customFormat="1" ht="24.95" customHeight="1">
      <c r="B520" s="445"/>
      <c r="C520" s="204"/>
      <c r="D520" s="204"/>
      <c r="E520" s="204"/>
      <c r="F520" s="368"/>
      <c r="G520" s="1134"/>
      <c r="H520" s="401"/>
      <c r="I520" s="317"/>
      <c r="N520" s="317"/>
      <c r="O520" s="1135"/>
      <c r="P520" s="1136"/>
      <c r="Q520" s="1137"/>
      <c r="R520" s="1120"/>
      <c r="S520" s="1120"/>
      <c r="T520" s="1120"/>
      <c r="U520" s="1120"/>
      <c r="V520" s="1120"/>
      <c r="W520" s="1120"/>
      <c r="Z520" s="1145"/>
      <c r="AA520" s="1120"/>
      <c r="AB520" s="1120"/>
      <c r="AC520" s="1120"/>
      <c r="AD520" s="1212"/>
      <c r="AE520" s="1212"/>
      <c r="AF520" s="1186"/>
      <c r="AG520" s="1186"/>
      <c r="AH520" s="1222"/>
      <c r="AI520" s="1222"/>
      <c r="AJ520" s="1222"/>
      <c r="AK520" s="1222"/>
      <c r="AL520" s="1222"/>
      <c r="AM520" s="1222"/>
      <c r="AN520" s="1222"/>
      <c r="AO520" s="1222"/>
      <c r="AP520" s="1222"/>
      <c r="AQ520" s="1222"/>
      <c r="AR520" s="1222"/>
      <c r="AS520" s="1222"/>
      <c r="AT520" s="1222"/>
      <c r="AU520" s="1120"/>
      <c r="AV520" s="445"/>
      <c r="AW520" s="607"/>
      <c r="AX520" s="607"/>
      <c r="AY520" s="607"/>
      <c r="AZ520" s="1209"/>
      <c r="BA520" s="1209"/>
    </row>
    <row r="521" spans="2:53" s="256" customFormat="1" ht="24.95" customHeight="1">
      <c r="B521" s="445"/>
      <c r="C521" s="204"/>
      <c r="D521" s="204"/>
      <c r="E521" s="204"/>
      <c r="F521" s="368"/>
      <c r="G521" s="1134"/>
      <c r="H521" s="401"/>
      <c r="I521" s="317"/>
      <c r="N521" s="317"/>
      <c r="O521" s="1135"/>
      <c r="P521" s="1136"/>
      <c r="Q521" s="1137"/>
      <c r="R521" s="1120"/>
      <c r="S521" s="1120"/>
      <c r="T521" s="1120"/>
      <c r="U521" s="1120"/>
      <c r="V521" s="1120"/>
      <c r="W521" s="1120"/>
      <c r="Z521" s="1145"/>
      <c r="AA521" s="1120"/>
      <c r="AB521" s="1120"/>
      <c r="AC521" s="1120"/>
      <c r="AD521" s="1212"/>
      <c r="AE521" s="1212"/>
      <c r="AF521" s="1186"/>
      <c r="AG521" s="1186"/>
      <c r="AH521" s="1222"/>
      <c r="AI521" s="1222"/>
      <c r="AJ521" s="1222"/>
      <c r="AK521" s="1222"/>
      <c r="AL521" s="1222"/>
      <c r="AM521" s="1222"/>
      <c r="AN521" s="1222"/>
      <c r="AO521" s="1222"/>
      <c r="AP521" s="1222"/>
      <c r="AQ521" s="1222"/>
      <c r="AR521" s="1222"/>
      <c r="AS521" s="1222"/>
      <c r="AT521" s="1222"/>
      <c r="AU521" s="1120"/>
      <c r="AV521" s="445"/>
      <c r="AW521" s="607"/>
      <c r="AX521" s="607"/>
      <c r="AY521" s="607"/>
      <c r="AZ521" s="1209"/>
      <c r="BA521" s="1209"/>
    </row>
    <row r="522" spans="2:53" s="256" customFormat="1" ht="24.95" customHeight="1">
      <c r="B522" s="445"/>
      <c r="C522" s="204"/>
      <c r="D522" s="204"/>
      <c r="E522" s="204"/>
      <c r="F522" s="368"/>
      <c r="G522" s="1134"/>
      <c r="H522" s="401"/>
      <c r="I522" s="317"/>
      <c r="N522" s="317"/>
      <c r="O522" s="1135"/>
      <c r="P522" s="1136"/>
      <c r="Q522" s="1137"/>
      <c r="R522" s="1120"/>
      <c r="S522" s="1120"/>
      <c r="T522" s="1120"/>
      <c r="U522" s="1120"/>
      <c r="V522" s="1120"/>
      <c r="W522" s="1120"/>
      <c r="Z522" s="1145"/>
      <c r="AA522" s="1120"/>
      <c r="AB522" s="1120"/>
      <c r="AC522" s="1120"/>
      <c r="AD522" s="1212"/>
      <c r="AE522" s="1212"/>
      <c r="AF522" s="1186"/>
      <c r="AG522" s="1186"/>
      <c r="AH522" s="1222"/>
      <c r="AI522" s="1222"/>
      <c r="AJ522" s="1222"/>
      <c r="AK522" s="1222"/>
      <c r="AL522" s="1222"/>
      <c r="AM522" s="1222"/>
      <c r="AN522" s="1222"/>
      <c r="AO522" s="1222"/>
      <c r="AP522" s="1222"/>
      <c r="AQ522" s="1222"/>
      <c r="AR522" s="1222"/>
      <c r="AS522" s="1222"/>
      <c r="AT522" s="1222"/>
      <c r="AU522" s="1120"/>
      <c r="AV522" s="445"/>
      <c r="AW522" s="607"/>
      <c r="AX522" s="607"/>
      <c r="AY522" s="607"/>
      <c r="AZ522" s="1209"/>
      <c r="BA522" s="1209"/>
    </row>
    <row r="523" spans="2:53" s="256" customFormat="1" ht="24.95" customHeight="1">
      <c r="B523" s="445"/>
      <c r="C523" s="204"/>
      <c r="D523" s="204"/>
      <c r="E523" s="204"/>
      <c r="F523" s="368"/>
      <c r="G523" s="1134"/>
      <c r="H523" s="401"/>
      <c r="I523" s="317"/>
      <c r="N523" s="317"/>
      <c r="O523" s="1135"/>
      <c r="P523" s="1136"/>
      <c r="Q523" s="1137"/>
      <c r="R523" s="1120"/>
      <c r="S523" s="1120"/>
      <c r="T523" s="1120"/>
      <c r="U523" s="1120"/>
      <c r="V523" s="1120"/>
      <c r="W523" s="1120"/>
      <c r="Z523" s="1145"/>
      <c r="AA523" s="1120"/>
      <c r="AB523" s="1120"/>
      <c r="AC523" s="1120"/>
      <c r="AD523" s="1212"/>
      <c r="AE523" s="1212"/>
      <c r="AF523" s="1186"/>
      <c r="AG523" s="1186"/>
      <c r="AH523" s="1222"/>
      <c r="AI523" s="1222"/>
      <c r="AJ523" s="1222"/>
      <c r="AK523" s="1222"/>
      <c r="AL523" s="1222"/>
      <c r="AM523" s="1222"/>
      <c r="AN523" s="1222"/>
      <c r="AO523" s="1222"/>
      <c r="AP523" s="1222"/>
      <c r="AQ523" s="1222"/>
      <c r="AR523" s="1222"/>
      <c r="AS523" s="1222"/>
      <c r="AT523" s="1222"/>
      <c r="AU523" s="1120"/>
      <c r="AV523" s="445"/>
      <c r="AW523" s="607"/>
      <c r="AX523" s="607"/>
      <c r="AY523" s="607"/>
      <c r="AZ523" s="1209"/>
      <c r="BA523" s="1209"/>
    </row>
    <row r="524" spans="2:53" s="256" customFormat="1" ht="24.95" customHeight="1">
      <c r="B524" s="445"/>
      <c r="C524" s="204"/>
      <c r="D524" s="204"/>
      <c r="E524" s="204"/>
      <c r="F524" s="368"/>
      <c r="G524" s="1134"/>
      <c r="H524" s="401"/>
      <c r="I524" s="317"/>
      <c r="N524" s="317"/>
      <c r="O524" s="1135"/>
      <c r="P524" s="1136"/>
      <c r="Q524" s="1137"/>
      <c r="R524" s="1120"/>
      <c r="S524" s="1120"/>
      <c r="T524" s="1120"/>
      <c r="U524" s="1120"/>
      <c r="V524" s="1120"/>
      <c r="W524" s="1120"/>
      <c r="Z524" s="1145"/>
      <c r="AA524" s="1120"/>
      <c r="AB524" s="1120"/>
      <c r="AC524" s="1120"/>
      <c r="AD524" s="1212"/>
      <c r="AE524" s="1212"/>
      <c r="AF524" s="1186"/>
      <c r="AG524" s="1186"/>
      <c r="AH524" s="1222"/>
      <c r="AI524" s="1222"/>
      <c r="AJ524" s="1222"/>
      <c r="AK524" s="1222"/>
      <c r="AL524" s="1222"/>
      <c r="AM524" s="1222"/>
      <c r="AN524" s="1222"/>
      <c r="AO524" s="1222"/>
      <c r="AP524" s="1222"/>
      <c r="AQ524" s="1222"/>
      <c r="AR524" s="1222"/>
      <c r="AS524" s="1222"/>
      <c r="AT524" s="1222"/>
      <c r="AU524" s="1120"/>
      <c r="AV524" s="445"/>
      <c r="AW524" s="607"/>
      <c r="AX524" s="607"/>
      <c r="AY524" s="607"/>
      <c r="AZ524" s="1209"/>
      <c r="BA524" s="1209"/>
    </row>
    <row r="525" spans="2:53" s="256" customFormat="1" ht="24.95" customHeight="1">
      <c r="B525" s="445"/>
      <c r="C525" s="204"/>
      <c r="D525" s="204"/>
      <c r="E525" s="204"/>
      <c r="F525" s="368"/>
      <c r="G525" s="1134"/>
      <c r="H525" s="401"/>
      <c r="I525" s="317"/>
      <c r="N525" s="317"/>
      <c r="O525" s="1135"/>
      <c r="P525" s="1136"/>
      <c r="Q525" s="1137"/>
      <c r="R525" s="1120"/>
      <c r="S525" s="1120"/>
      <c r="T525" s="1120"/>
      <c r="U525" s="1120"/>
      <c r="V525" s="1120"/>
      <c r="W525" s="1120"/>
      <c r="Z525" s="1145"/>
      <c r="AA525" s="1120"/>
      <c r="AB525" s="1120"/>
      <c r="AC525" s="1120"/>
      <c r="AD525" s="1212"/>
      <c r="AE525" s="1212"/>
      <c r="AF525" s="1186"/>
      <c r="AG525" s="1186"/>
      <c r="AH525" s="1222"/>
      <c r="AI525" s="1222"/>
      <c r="AJ525" s="1222"/>
      <c r="AK525" s="1222"/>
      <c r="AL525" s="1222"/>
      <c r="AM525" s="1222"/>
      <c r="AN525" s="1222"/>
      <c r="AO525" s="1222"/>
      <c r="AP525" s="1222"/>
      <c r="AQ525" s="1222"/>
      <c r="AR525" s="1222"/>
      <c r="AS525" s="1222"/>
      <c r="AT525" s="1222"/>
      <c r="AU525" s="1120"/>
      <c r="AV525" s="445"/>
      <c r="AW525" s="607"/>
      <c r="AX525" s="607"/>
      <c r="AY525" s="607"/>
      <c r="AZ525" s="1209"/>
      <c r="BA525" s="1209"/>
    </row>
    <row r="526" spans="2:53" s="256" customFormat="1" ht="24.95" customHeight="1">
      <c r="B526" s="445"/>
      <c r="C526" s="204"/>
      <c r="D526" s="204"/>
      <c r="E526" s="204"/>
      <c r="F526" s="368"/>
      <c r="G526" s="1134"/>
      <c r="H526" s="401"/>
      <c r="I526" s="317"/>
      <c r="N526" s="317"/>
      <c r="O526" s="1135"/>
      <c r="P526" s="1136"/>
      <c r="Q526" s="1137"/>
      <c r="R526" s="1120"/>
      <c r="S526" s="1120"/>
      <c r="T526" s="1120"/>
      <c r="U526" s="1120"/>
      <c r="V526" s="1120"/>
      <c r="W526" s="1120"/>
      <c r="Z526" s="1145"/>
      <c r="AA526" s="1120"/>
      <c r="AB526" s="1120"/>
      <c r="AC526" s="1120"/>
      <c r="AD526" s="1212"/>
      <c r="AE526" s="1212"/>
      <c r="AF526" s="1186"/>
      <c r="AG526" s="1186"/>
      <c r="AH526" s="1222"/>
      <c r="AI526" s="1222"/>
      <c r="AJ526" s="1222"/>
      <c r="AK526" s="1222"/>
      <c r="AL526" s="1222"/>
      <c r="AM526" s="1222"/>
      <c r="AN526" s="1222"/>
      <c r="AO526" s="1222"/>
      <c r="AP526" s="1222"/>
      <c r="AQ526" s="1222"/>
      <c r="AR526" s="1222"/>
      <c r="AS526" s="1222"/>
      <c r="AT526" s="1222"/>
      <c r="AU526" s="1120"/>
      <c r="AV526" s="445"/>
      <c r="AW526" s="607"/>
      <c r="AX526" s="607"/>
      <c r="AY526" s="607"/>
      <c r="AZ526" s="1209"/>
      <c r="BA526" s="1209"/>
    </row>
    <row r="527" spans="2:53" s="256" customFormat="1" ht="24.95" customHeight="1">
      <c r="B527" s="445"/>
      <c r="C527" s="204"/>
      <c r="D527" s="204"/>
      <c r="E527" s="204"/>
      <c r="F527" s="368"/>
      <c r="G527" s="1134"/>
      <c r="H527" s="401"/>
      <c r="I527" s="317"/>
      <c r="N527" s="317"/>
      <c r="O527" s="1135"/>
      <c r="P527" s="1136"/>
      <c r="Q527" s="1137"/>
      <c r="R527" s="1120"/>
      <c r="S527" s="1120"/>
      <c r="T527" s="1120"/>
      <c r="U527" s="1120"/>
      <c r="V527" s="1120"/>
      <c r="W527" s="1120"/>
      <c r="Z527" s="1145"/>
      <c r="AA527" s="1120"/>
      <c r="AB527" s="1120"/>
      <c r="AC527" s="1120"/>
      <c r="AD527" s="1212"/>
      <c r="AE527" s="1212"/>
      <c r="AF527" s="1186"/>
      <c r="AG527" s="1186"/>
      <c r="AH527" s="1222"/>
      <c r="AI527" s="1222"/>
      <c r="AJ527" s="1222"/>
      <c r="AK527" s="1222"/>
      <c r="AL527" s="1222"/>
      <c r="AM527" s="1222"/>
      <c r="AN527" s="1222"/>
      <c r="AO527" s="1222"/>
      <c r="AP527" s="1222"/>
      <c r="AQ527" s="1222"/>
      <c r="AR527" s="1222"/>
      <c r="AS527" s="1222"/>
      <c r="AT527" s="1222"/>
      <c r="AU527" s="1120"/>
      <c r="AV527" s="445"/>
      <c r="AW527" s="607"/>
      <c r="AX527" s="607"/>
      <c r="AY527" s="607"/>
      <c r="AZ527" s="1209"/>
      <c r="BA527" s="1209"/>
    </row>
    <row r="528" spans="2:53" s="256" customFormat="1" ht="24.95" customHeight="1">
      <c r="B528" s="445"/>
      <c r="C528" s="204"/>
      <c r="D528" s="204"/>
      <c r="E528" s="204"/>
      <c r="F528" s="368"/>
      <c r="G528" s="1134"/>
      <c r="H528" s="401"/>
      <c r="I528" s="317"/>
      <c r="N528" s="317"/>
      <c r="O528" s="1135"/>
      <c r="P528" s="1136"/>
      <c r="Q528" s="1137"/>
      <c r="R528" s="1120"/>
      <c r="S528" s="1120"/>
      <c r="T528" s="1120"/>
      <c r="U528" s="1120"/>
      <c r="V528" s="1120"/>
      <c r="W528" s="1120"/>
      <c r="Z528" s="1145"/>
      <c r="AA528" s="1120"/>
      <c r="AB528" s="1120"/>
      <c r="AC528" s="1120"/>
      <c r="AD528" s="1212"/>
      <c r="AE528" s="1212"/>
      <c r="AF528" s="1186"/>
      <c r="AG528" s="1186"/>
      <c r="AH528" s="1222"/>
      <c r="AI528" s="1222"/>
      <c r="AJ528" s="1222"/>
      <c r="AK528" s="1222"/>
      <c r="AL528" s="1222"/>
      <c r="AM528" s="1222"/>
      <c r="AN528" s="1222"/>
      <c r="AO528" s="1222"/>
      <c r="AP528" s="1222"/>
      <c r="AQ528" s="1222"/>
      <c r="AR528" s="1222"/>
      <c r="AS528" s="1222"/>
      <c r="AT528" s="1222"/>
      <c r="AU528" s="1120"/>
      <c r="AV528" s="445"/>
      <c r="AW528" s="607"/>
      <c r="AX528" s="607"/>
      <c r="AY528" s="607"/>
      <c r="AZ528" s="1209"/>
      <c r="BA528" s="1209"/>
    </row>
    <row r="529" spans="2:53" s="256" customFormat="1" ht="24.95" customHeight="1">
      <c r="B529" s="445"/>
      <c r="C529" s="204"/>
      <c r="D529" s="204"/>
      <c r="E529" s="204"/>
      <c r="F529" s="368"/>
      <c r="G529" s="1134"/>
      <c r="H529" s="401"/>
      <c r="I529" s="317"/>
      <c r="N529" s="317"/>
      <c r="O529" s="1135"/>
      <c r="P529" s="1136"/>
      <c r="Q529" s="1137"/>
      <c r="R529" s="1120"/>
      <c r="S529" s="1120"/>
      <c r="T529" s="1120"/>
      <c r="U529" s="1120"/>
      <c r="V529" s="1120"/>
      <c r="W529" s="1120"/>
      <c r="Z529" s="1145"/>
      <c r="AA529" s="1120"/>
      <c r="AB529" s="1120"/>
      <c r="AC529" s="1120"/>
      <c r="AD529" s="1212"/>
      <c r="AE529" s="1212"/>
      <c r="AF529" s="1186"/>
      <c r="AG529" s="1186"/>
      <c r="AH529" s="1222"/>
      <c r="AI529" s="1222"/>
      <c r="AJ529" s="1222"/>
      <c r="AK529" s="1222"/>
      <c r="AL529" s="1222"/>
      <c r="AM529" s="1222"/>
      <c r="AN529" s="1222"/>
      <c r="AO529" s="1222"/>
      <c r="AP529" s="1222"/>
      <c r="AQ529" s="1222"/>
      <c r="AR529" s="1222"/>
      <c r="AS529" s="1222"/>
      <c r="AT529" s="1222"/>
      <c r="AU529" s="1120"/>
      <c r="AV529" s="445"/>
      <c r="AW529" s="607"/>
      <c r="AX529" s="607"/>
      <c r="AY529" s="607"/>
      <c r="AZ529" s="1209"/>
      <c r="BA529" s="1209"/>
    </row>
    <row r="530" spans="2:53" s="256" customFormat="1" ht="24.95" customHeight="1">
      <c r="B530" s="445"/>
      <c r="C530" s="204"/>
      <c r="D530" s="204"/>
      <c r="E530" s="204"/>
      <c r="F530" s="368"/>
      <c r="G530" s="1134"/>
      <c r="H530" s="401"/>
      <c r="I530" s="317"/>
      <c r="N530" s="317"/>
      <c r="O530" s="1135"/>
      <c r="P530" s="1136"/>
      <c r="Q530" s="1137"/>
      <c r="R530" s="1120"/>
      <c r="S530" s="1120"/>
      <c r="T530" s="1120"/>
      <c r="U530" s="1120"/>
      <c r="V530" s="1120"/>
      <c r="W530" s="1120"/>
      <c r="Z530" s="1145"/>
      <c r="AA530" s="1120"/>
      <c r="AB530" s="1120"/>
      <c r="AC530" s="1120"/>
      <c r="AD530" s="1212"/>
      <c r="AE530" s="1212"/>
      <c r="AF530" s="1186"/>
      <c r="AG530" s="1186"/>
      <c r="AH530" s="1222"/>
      <c r="AI530" s="1222"/>
      <c r="AJ530" s="1222"/>
      <c r="AK530" s="1222"/>
      <c r="AL530" s="1222"/>
      <c r="AM530" s="1222"/>
      <c r="AN530" s="1222"/>
      <c r="AO530" s="1222"/>
      <c r="AP530" s="1222"/>
      <c r="AQ530" s="1222"/>
      <c r="AR530" s="1222"/>
      <c r="AS530" s="1222"/>
      <c r="AT530" s="1222"/>
      <c r="AU530" s="1120"/>
      <c r="AV530" s="445"/>
      <c r="AW530" s="607"/>
      <c r="AX530" s="607"/>
      <c r="AY530" s="607"/>
      <c r="AZ530" s="1209"/>
      <c r="BA530" s="1209"/>
    </row>
    <row r="531" spans="2:53" s="256" customFormat="1" ht="24.95" customHeight="1">
      <c r="B531" s="445"/>
      <c r="C531" s="204"/>
      <c r="D531" s="204"/>
      <c r="E531" s="204"/>
      <c r="F531" s="368"/>
      <c r="G531" s="1134"/>
      <c r="H531" s="401"/>
      <c r="I531" s="317"/>
      <c r="N531" s="317"/>
      <c r="O531" s="1135"/>
      <c r="P531" s="1136"/>
      <c r="Q531" s="1137"/>
      <c r="R531" s="1120"/>
      <c r="S531" s="1120"/>
      <c r="T531" s="1120"/>
      <c r="U531" s="1120"/>
      <c r="V531" s="1120"/>
      <c r="W531" s="1120"/>
      <c r="Z531" s="1145"/>
      <c r="AA531" s="1120"/>
      <c r="AB531" s="1120"/>
      <c r="AC531" s="1120"/>
      <c r="AD531" s="1212"/>
      <c r="AE531" s="1212"/>
      <c r="AF531" s="1186"/>
      <c r="AG531" s="1186"/>
      <c r="AH531" s="1222"/>
      <c r="AI531" s="1222"/>
      <c r="AJ531" s="1222"/>
      <c r="AK531" s="1222"/>
      <c r="AL531" s="1222"/>
      <c r="AM531" s="1222"/>
      <c r="AN531" s="1222"/>
      <c r="AO531" s="1222"/>
      <c r="AP531" s="1222"/>
      <c r="AQ531" s="1222"/>
      <c r="AR531" s="1222"/>
      <c r="AS531" s="1222"/>
      <c r="AT531" s="1222"/>
      <c r="AU531" s="1120"/>
      <c r="AV531" s="445"/>
      <c r="AW531" s="607"/>
      <c r="AX531" s="607"/>
      <c r="AY531" s="607"/>
      <c r="AZ531" s="1209"/>
      <c r="BA531" s="1209"/>
    </row>
    <row r="532" spans="2:53" s="256" customFormat="1" ht="24.95" customHeight="1">
      <c r="B532" s="445"/>
      <c r="C532" s="204"/>
      <c r="D532" s="204"/>
      <c r="E532" s="204"/>
      <c r="F532" s="368"/>
      <c r="G532" s="1134"/>
      <c r="H532" s="401"/>
      <c r="I532" s="317"/>
      <c r="N532" s="317"/>
      <c r="O532" s="1135"/>
      <c r="P532" s="1136"/>
      <c r="Q532" s="1137"/>
      <c r="R532" s="1120"/>
      <c r="S532" s="1120"/>
      <c r="T532" s="1120"/>
      <c r="U532" s="1120"/>
      <c r="V532" s="1120"/>
      <c r="W532" s="1120"/>
      <c r="Z532" s="1145"/>
      <c r="AA532" s="1120"/>
      <c r="AB532" s="1120"/>
      <c r="AC532" s="1120"/>
      <c r="AD532" s="1212"/>
      <c r="AE532" s="1212"/>
      <c r="AF532" s="1186"/>
      <c r="AG532" s="1186"/>
      <c r="AH532" s="1222"/>
      <c r="AI532" s="1222"/>
      <c r="AJ532" s="1222"/>
      <c r="AK532" s="1222"/>
      <c r="AL532" s="1222"/>
      <c r="AM532" s="1222"/>
      <c r="AN532" s="1222"/>
      <c r="AO532" s="1222"/>
      <c r="AP532" s="1222"/>
      <c r="AQ532" s="1222"/>
      <c r="AR532" s="1222"/>
      <c r="AS532" s="1222"/>
      <c r="AT532" s="1222"/>
      <c r="AU532" s="1120"/>
      <c r="AV532" s="445"/>
      <c r="AW532" s="607"/>
      <c r="AX532" s="607"/>
      <c r="AY532" s="607"/>
      <c r="AZ532" s="1209"/>
      <c r="BA532" s="1209"/>
    </row>
    <row r="533" spans="2:53" s="256" customFormat="1" ht="24.95" customHeight="1">
      <c r="B533" s="445"/>
      <c r="C533" s="204"/>
      <c r="D533" s="204"/>
      <c r="E533" s="204"/>
      <c r="F533" s="368"/>
      <c r="G533" s="1134"/>
      <c r="H533" s="401"/>
      <c r="I533" s="317"/>
      <c r="N533" s="317"/>
      <c r="O533" s="1135"/>
      <c r="P533" s="1136"/>
      <c r="Q533" s="1137"/>
      <c r="R533" s="1120"/>
      <c r="S533" s="1120"/>
      <c r="T533" s="1120"/>
      <c r="U533" s="1120"/>
      <c r="V533" s="1120"/>
      <c r="W533" s="1120"/>
      <c r="Z533" s="1145"/>
      <c r="AA533" s="1120"/>
      <c r="AB533" s="1120"/>
      <c r="AC533" s="1120"/>
      <c r="AD533" s="1212"/>
      <c r="AE533" s="1212"/>
      <c r="AF533" s="1186"/>
      <c r="AG533" s="1186"/>
      <c r="AH533" s="1222"/>
      <c r="AI533" s="1222"/>
      <c r="AJ533" s="1222"/>
      <c r="AK533" s="1222"/>
      <c r="AL533" s="1222"/>
      <c r="AM533" s="1222"/>
      <c r="AN533" s="1222"/>
      <c r="AO533" s="1222"/>
      <c r="AP533" s="1222"/>
      <c r="AQ533" s="1222"/>
      <c r="AR533" s="1222"/>
      <c r="AS533" s="1222"/>
      <c r="AT533" s="1222"/>
      <c r="AU533" s="1120"/>
      <c r="AV533" s="445"/>
      <c r="AW533" s="607"/>
      <c r="AX533" s="607"/>
      <c r="AY533" s="607"/>
      <c r="AZ533" s="1209"/>
      <c r="BA533" s="1209"/>
    </row>
    <row r="534" spans="2:53" s="256" customFormat="1" ht="24.95" customHeight="1">
      <c r="B534" s="445"/>
      <c r="C534" s="204"/>
      <c r="D534" s="204"/>
      <c r="E534" s="204"/>
      <c r="F534" s="368"/>
      <c r="G534" s="1134"/>
      <c r="H534" s="401"/>
      <c r="I534" s="317"/>
      <c r="N534" s="317"/>
      <c r="O534" s="1135"/>
      <c r="P534" s="1136"/>
      <c r="Q534" s="1137"/>
      <c r="R534" s="1120"/>
      <c r="S534" s="1120"/>
      <c r="T534" s="1120"/>
      <c r="U534" s="1120"/>
      <c r="V534" s="1120"/>
      <c r="W534" s="1120"/>
      <c r="Z534" s="1145"/>
      <c r="AA534" s="1120"/>
      <c r="AB534" s="1120"/>
      <c r="AC534" s="1120"/>
      <c r="AD534" s="1212"/>
      <c r="AE534" s="1212"/>
      <c r="AF534" s="1186"/>
      <c r="AG534" s="1186"/>
      <c r="AH534" s="1222"/>
      <c r="AI534" s="1222"/>
      <c r="AJ534" s="1222"/>
      <c r="AK534" s="1222"/>
      <c r="AL534" s="1222"/>
      <c r="AM534" s="1222"/>
      <c r="AN534" s="1222"/>
      <c r="AO534" s="1222"/>
      <c r="AP534" s="1222"/>
      <c r="AQ534" s="1222"/>
      <c r="AR534" s="1222"/>
      <c r="AS534" s="1222"/>
      <c r="AT534" s="1222"/>
      <c r="AU534" s="1120"/>
      <c r="AV534" s="445"/>
      <c r="AW534" s="607"/>
      <c r="AX534" s="607"/>
      <c r="AY534" s="607"/>
      <c r="AZ534" s="1209"/>
      <c r="BA534" s="1209"/>
    </row>
    <row r="535" spans="2:53" s="256" customFormat="1" ht="24.95" customHeight="1">
      <c r="B535" s="445"/>
      <c r="C535" s="204"/>
      <c r="D535" s="204"/>
      <c r="E535" s="204"/>
      <c r="F535" s="368"/>
      <c r="G535" s="1134"/>
      <c r="H535" s="401"/>
      <c r="I535" s="317"/>
      <c r="N535" s="317"/>
      <c r="O535" s="1135"/>
      <c r="P535" s="1136"/>
      <c r="Q535" s="1137"/>
      <c r="R535" s="1120"/>
      <c r="S535" s="1120"/>
      <c r="T535" s="1120"/>
      <c r="U535" s="1120"/>
      <c r="V535" s="1120"/>
      <c r="W535" s="1120"/>
      <c r="Z535" s="1145"/>
      <c r="AA535" s="1120"/>
      <c r="AB535" s="1120"/>
      <c r="AC535" s="1120"/>
      <c r="AD535" s="1212"/>
      <c r="AE535" s="1212"/>
      <c r="AF535" s="1186"/>
      <c r="AG535" s="1186"/>
      <c r="AH535" s="1222"/>
      <c r="AI535" s="1222"/>
      <c r="AJ535" s="1222"/>
      <c r="AK535" s="1222"/>
      <c r="AL535" s="1222"/>
      <c r="AM535" s="1222"/>
      <c r="AN535" s="1222"/>
      <c r="AO535" s="1222"/>
      <c r="AP535" s="1222"/>
      <c r="AQ535" s="1222"/>
      <c r="AR535" s="1222"/>
      <c r="AS535" s="1222"/>
      <c r="AT535" s="1222"/>
      <c r="AU535" s="1120"/>
      <c r="AV535" s="445"/>
      <c r="AW535" s="607"/>
      <c r="AX535" s="607"/>
      <c r="AY535" s="607"/>
      <c r="AZ535" s="1209"/>
      <c r="BA535" s="1209"/>
    </row>
    <row r="536" spans="2:53" s="256" customFormat="1" ht="24.95" customHeight="1">
      <c r="B536" s="445"/>
      <c r="C536" s="204"/>
      <c r="D536" s="204"/>
      <c r="E536" s="204"/>
      <c r="F536" s="368"/>
      <c r="G536" s="1134"/>
      <c r="H536" s="401"/>
      <c r="I536" s="317"/>
      <c r="N536" s="317"/>
      <c r="O536" s="1135"/>
      <c r="P536" s="1136"/>
      <c r="Q536" s="1137"/>
      <c r="R536" s="1120"/>
      <c r="S536" s="1120"/>
      <c r="T536" s="1120"/>
      <c r="U536" s="1120"/>
      <c r="V536" s="1120"/>
      <c r="W536" s="1120"/>
      <c r="Z536" s="1145"/>
      <c r="AA536" s="1120"/>
      <c r="AB536" s="1120"/>
      <c r="AC536" s="1120"/>
      <c r="AD536" s="1212"/>
      <c r="AE536" s="1212"/>
      <c r="AF536" s="1186"/>
      <c r="AG536" s="1186"/>
      <c r="AH536" s="1222"/>
      <c r="AI536" s="1222"/>
      <c r="AJ536" s="1222"/>
      <c r="AK536" s="1222"/>
      <c r="AL536" s="1222"/>
      <c r="AM536" s="1222"/>
      <c r="AN536" s="1222"/>
      <c r="AO536" s="1222"/>
      <c r="AP536" s="1222"/>
      <c r="AQ536" s="1222"/>
      <c r="AR536" s="1222"/>
      <c r="AS536" s="1222"/>
      <c r="AT536" s="1222"/>
      <c r="AU536" s="1120"/>
      <c r="AV536" s="445"/>
      <c r="AW536" s="607"/>
      <c r="AX536" s="607"/>
      <c r="AY536" s="607"/>
      <c r="AZ536" s="1209"/>
      <c r="BA536" s="1209"/>
    </row>
    <row r="537" spans="2:53" s="256" customFormat="1" ht="24.95" customHeight="1">
      <c r="B537" s="445"/>
      <c r="C537" s="204"/>
      <c r="D537" s="204"/>
      <c r="E537" s="204"/>
      <c r="F537" s="368"/>
      <c r="G537" s="1134"/>
      <c r="H537" s="401"/>
      <c r="I537" s="317"/>
      <c r="N537" s="317"/>
      <c r="O537" s="1135"/>
      <c r="P537" s="1136"/>
      <c r="Q537" s="1137"/>
      <c r="R537" s="1120"/>
      <c r="S537" s="1120"/>
      <c r="T537" s="1120"/>
      <c r="U537" s="1120"/>
      <c r="V537" s="1120"/>
      <c r="W537" s="1120"/>
      <c r="Z537" s="1145"/>
      <c r="AA537" s="1120"/>
      <c r="AB537" s="1120"/>
      <c r="AC537" s="1120"/>
      <c r="AD537" s="1212"/>
      <c r="AE537" s="1212"/>
      <c r="AF537" s="1186"/>
      <c r="AG537" s="1186"/>
      <c r="AH537" s="1222"/>
      <c r="AI537" s="1222"/>
      <c r="AJ537" s="1222"/>
      <c r="AK537" s="1222"/>
      <c r="AL537" s="1222"/>
      <c r="AM537" s="1222"/>
      <c r="AN537" s="1222"/>
      <c r="AO537" s="1222"/>
      <c r="AP537" s="1222"/>
      <c r="AQ537" s="1222"/>
      <c r="AR537" s="1222"/>
      <c r="AS537" s="1222"/>
      <c r="AT537" s="1222"/>
      <c r="AU537" s="1120"/>
      <c r="AV537" s="445"/>
      <c r="AW537" s="607"/>
      <c r="AX537" s="607"/>
      <c r="AY537" s="607"/>
      <c r="AZ537" s="1209"/>
      <c r="BA537" s="1209"/>
    </row>
    <row r="538" spans="2:53" s="256" customFormat="1" ht="24.95" customHeight="1">
      <c r="B538" s="445"/>
      <c r="C538" s="204"/>
      <c r="D538" s="204"/>
      <c r="E538" s="204"/>
      <c r="F538" s="368"/>
      <c r="G538" s="1134"/>
      <c r="H538" s="401"/>
      <c r="I538" s="317"/>
      <c r="N538" s="317"/>
      <c r="O538" s="1135"/>
      <c r="P538" s="1136"/>
      <c r="Q538" s="1137"/>
      <c r="R538" s="1120"/>
      <c r="S538" s="1120"/>
      <c r="T538" s="1120"/>
      <c r="U538" s="1120"/>
      <c r="V538" s="1120"/>
      <c r="W538" s="1120"/>
      <c r="Z538" s="1145"/>
      <c r="AA538" s="1120"/>
      <c r="AB538" s="1120"/>
      <c r="AC538" s="1120"/>
      <c r="AD538" s="1212"/>
      <c r="AE538" s="1212"/>
      <c r="AF538" s="1186"/>
      <c r="AG538" s="1186"/>
      <c r="AH538" s="1222"/>
      <c r="AI538" s="1222"/>
      <c r="AJ538" s="1222"/>
      <c r="AK538" s="1222"/>
      <c r="AL538" s="1222"/>
      <c r="AM538" s="1222"/>
      <c r="AN538" s="1222"/>
      <c r="AO538" s="1222"/>
      <c r="AP538" s="1222"/>
      <c r="AQ538" s="1222"/>
      <c r="AR538" s="1222"/>
      <c r="AS538" s="1222"/>
      <c r="AT538" s="1222"/>
      <c r="AU538" s="1120"/>
      <c r="AV538" s="445"/>
      <c r="AW538" s="607"/>
      <c r="AX538" s="607"/>
      <c r="AY538" s="607"/>
      <c r="AZ538" s="1209"/>
      <c r="BA538" s="1209"/>
    </row>
    <row r="539" spans="2:53" s="256" customFormat="1" ht="24.95" customHeight="1">
      <c r="B539" s="445"/>
      <c r="C539" s="204"/>
      <c r="D539" s="204"/>
      <c r="E539" s="204"/>
      <c r="F539" s="368"/>
      <c r="G539" s="1134"/>
      <c r="H539" s="401"/>
      <c r="I539" s="317"/>
      <c r="N539" s="317"/>
      <c r="O539" s="1135"/>
      <c r="P539" s="1136"/>
      <c r="Q539" s="1137"/>
      <c r="R539" s="1120"/>
      <c r="S539" s="1120"/>
      <c r="T539" s="1120"/>
      <c r="U539" s="1120"/>
      <c r="V539" s="1120"/>
      <c r="W539" s="1120"/>
      <c r="Z539" s="1145"/>
      <c r="AA539" s="1120"/>
      <c r="AB539" s="1120"/>
      <c r="AC539" s="1120"/>
      <c r="AD539" s="1212"/>
      <c r="AE539" s="1212"/>
      <c r="AF539" s="1186"/>
      <c r="AG539" s="1186"/>
      <c r="AH539" s="1222"/>
      <c r="AI539" s="1222"/>
      <c r="AJ539" s="1222"/>
      <c r="AK539" s="1222"/>
      <c r="AL539" s="1222"/>
      <c r="AM539" s="1222"/>
      <c r="AN539" s="1222"/>
      <c r="AO539" s="1222"/>
      <c r="AP539" s="1222"/>
      <c r="AQ539" s="1222"/>
      <c r="AR539" s="1222"/>
      <c r="AS539" s="1222"/>
      <c r="AT539" s="1222"/>
      <c r="AU539" s="1120"/>
      <c r="AV539" s="445"/>
      <c r="AW539" s="607"/>
      <c r="AX539" s="607"/>
      <c r="AY539" s="607"/>
      <c r="AZ539" s="1209"/>
      <c r="BA539" s="1209"/>
    </row>
    <row r="540" spans="2:53" s="256" customFormat="1" ht="24.95" customHeight="1">
      <c r="B540" s="445"/>
      <c r="C540" s="204"/>
      <c r="D540" s="204"/>
      <c r="E540" s="204"/>
      <c r="F540" s="368"/>
      <c r="G540" s="1134"/>
      <c r="H540" s="401"/>
      <c r="I540" s="317"/>
      <c r="N540" s="317"/>
      <c r="O540" s="1135"/>
      <c r="P540" s="1136"/>
      <c r="Q540" s="1137"/>
      <c r="R540" s="1120"/>
      <c r="S540" s="1120"/>
      <c r="T540" s="1120"/>
      <c r="U540" s="1120"/>
      <c r="V540" s="1120"/>
      <c r="W540" s="1120"/>
      <c r="Z540" s="1145"/>
      <c r="AA540" s="1120"/>
      <c r="AB540" s="1120"/>
      <c r="AC540" s="1120"/>
      <c r="AD540" s="1212"/>
      <c r="AE540" s="1212"/>
      <c r="AF540" s="1186"/>
      <c r="AG540" s="1186"/>
      <c r="AH540" s="1222"/>
      <c r="AI540" s="1222"/>
      <c r="AJ540" s="1222"/>
      <c r="AK540" s="1222"/>
      <c r="AL540" s="1222"/>
      <c r="AM540" s="1222"/>
      <c r="AN540" s="1222"/>
      <c r="AO540" s="1222"/>
      <c r="AP540" s="1222"/>
      <c r="AQ540" s="1222"/>
      <c r="AR540" s="1222"/>
      <c r="AS540" s="1222"/>
      <c r="AT540" s="1222"/>
      <c r="AU540" s="1120"/>
      <c r="AV540" s="445"/>
      <c r="AW540" s="607"/>
      <c r="AX540" s="607"/>
      <c r="AY540" s="607"/>
      <c r="AZ540" s="1209"/>
      <c r="BA540" s="1209"/>
    </row>
    <row r="541" spans="2:53" s="256" customFormat="1" ht="24.95" customHeight="1">
      <c r="B541" s="445"/>
      <c r="C541" s="204"/>
      <c r="D541" s="204"/>
      <c r="E541" s="204"/>
      <c r="F541" s="368"/>
      <c r="G541" s="1134"/>
      <c r="H541" s="401"/>
      <c r="I541" s="317"/>
      <c r="N541" s="317"/>
      <c r="O541" s="1135"/>
      <c r="P541" s="1136"/>
      <c r="Q541" s="1137"/>
      <c r="R541" s="1120"/>
      <c r="S541" s="1120"/>
      <c r="T541" s="1120"/>
      <c r="U541" s="1120"/>
      <c r="V541" s="1120"/>
      <c r="W541" s="1120"/>
      <c r="Z541" s="1145"/>
      <c r="AA541" s="1120"/>
      <c r="AB541" s="1120"/>
      <c r="AC541" s="1120"/>
      <c r="AD541" s="1212"/>
      <c r="AE541" s="1212"/>
      <c r="AF541" s="1186"/>
      <c r="AG541" s="1186"/>
      <c r="AH541" s="1222"/>
      <c r="AI541" s="1222"/>
      <c r="AJ541" s="1222"/>
      <c r="AK541" s="1222"/>
      <c r="AL541" s="1222"/>
      <c r="AM541" s="1222"/>
      <c r="AN541" s="1222"/>
      <c r="AO541" s="1222"/>
      <c r="AP541" s="1222"/>
      <c r="AQ541" s="1222"/>
      <c r="AR541" s="1222"/>
      <c r="AS541" s="1222"/>
      <c r="AT541" s="1222"/>
      <c r="AU541" s="1120"/>
      <c r="AV541" s="445"/>
      <c r="AW541" s="607"/>
      <c r="AX541" s="607"/>
      <c r="AY541" s="607"/>
      <c r="AZ541" s="1209"/>
      <c r="BA541" s="1209"/>
    </row>
    <row r="542" spans="2:53" s="256" customFormat="1" ht="24.95" customHeight="1">
      <c r="B542" s="445"/>
      <c r="C542" s="204"/>
      <c r="D542" s="204"/>
      <c r="E542" s="204"/>
      <c r="F542" s="368"/>
      <c r="G542" s="1134"/>
      <c r="H542" s="401"/>
      <c r="I542" s="317"/>
      <c r="N542" s="317"/>
      <c r="O542" s="1135"/>
      <c r="P542" s="1136"/>
      <c r="Q542" s="1137"/>
      <c r="R542" s="1120"/>
      <c r="S542" s="1120"/>
      <c r="T542" s="1120"/>
      <c r="U542" s="1120"/>
      <c r="V542" s="1120"/>
      <c r="W542" s="1120"/>
      <c r="Z542" s="1145"/>
      <c r="AA542" s="1120"/>
      <c r="AB542" s="1120"/>
      <c r="AC542" s="1120"/>
      <c r="AD542" s="1212"/>
      <c r="AE542" s="1212"/>
      <c r="AF542" s="1186"/>
      <c r="AG542" s="1186"/>
      <c r="AH542" s="1222"/>
      <c r="AI542" s="1222"/>
      <c r="AJ542" s="1222"/>
      <c r="AK542" s="1222"/>
      <c r="AL542" s="1222"/>
      <c r="AM542" s="1222"/>
      <c r="AN542" s="1222"/>
      <c r="AO542" s="1222"/>
      <c r="AP542" s="1222"/>
      <c r="AQ542" s="1222"/>
      <c r="AR542" s="1222"/>
      <c r="AS542" s="1222"/>
      <c r="AT542" s="1222"/>
      <c r="AU542" s="1120"/>
      <c r="AV542" s="445"/>
      <c r="AW542" s="607"/>
      <c r="AX542" s="607"/>
      <c r="AY542" s="607"/>
      <c r="AZ542" s="1209"/>
      <c r="BA542" s="1209"/>
    </row>
    <row r="543" spans="2:53" s="256" customFormat="1" ht="24.95" customHeight="1">
      <c r="B543" s="445"/>
      <c r="C543" s="204"/>
      <c r="D543" s="204"/>
      <c r="E543" s="204"/>
      <c r="F543" s="368"/>
      <c r="G543" s="1134"/>
      <c r="H543" s="401"/>
      <c r="I543" s="317"/>
      <c r="N543" s="317"/>
      <c r="O543" s="1135"/>
      <c r="P543" s="1136"/>
      <c r="Q543" s="1137"/>
      <c r="R543" s="1120"/>
      <c r="S543" s="1120"/>
      <c r="T543" s="1120"/>
      <c r="U543" s="1120"/>
      <c r="V543" s="1120"/>
      <c r="W543" s="1120"/>
      <c r="Z543" s="1145"/>
      <c r="AA543" s="1120"/>
      <c r="AB543" s="1120"/>
      <c r="AC543" s="1120"/>
      <c r="AD543" s="1212"/>
      <c r="AE543" s="1212"/>
      <c r="AF543" s="1186"/>
      <c r="AG543" s="1186"/>
      <c r="AH543" s="1222"/>
      <c r="AI543" s="1222"/>
      <c r="AJ543" s="1222"/>
      <c r="AK543" s="1222"/>
      <c r="AL543" s="1222"/>
      <c r="AM543" s="1222"/>
      <c r="AN543" s="1222"/>
      <c r="AO543" s="1222"/>
      <c r="AP543" s="1222"/>
      <c r="AQ543" s="1222"/>
      <c r="AR543" s="1222"/>
      <c r="AS543" s="1222"/>
      <c r="AT543" s="1222"/>
      <c r="AU543" s="1120"/>
      <c r="AV543" s="445"/>
      <c r="AW543" s="607"/>
      <c r="AX543" s="607"/>
      <c r="AY543" s="607"/>
      <c r="AZ543" s="1209"/>
      <c r="BA543" s="1209"/>
    </row>
    <row r="544" spans="2:53" s="256" customFormat="1" ht="24.95" customHeight="1">
      <c r="B544" s="445"/>
      <c r="C544" s="204"/>
      <c r="D544" s="204"/>
      <c r="E544" s="204"/>
      <c r="F544" s="368"/>
      <c r="G544" s="1134"/>
      <c r="H544" s="401"/>
      <c r="I544" s="317"/>
      <c r="N544" s="317"/>
      <c r="O544" s="1135"/>
      <c r="P544" s="1136"/>
      <c r="Q544" s="1137"/>
      <c r="R544" s="1120"/>
      <c r="S544" s="1120"/>
      <c r="T544" s="1120"/>
      <c r="U544" s="1120"/>
      <c r="V544" s="1120"/>
      <c r="W544" s="1120"/>
      <c r="Z544" s="1145"/>
      <c r="AA544" s="1120"/>
      <c r="AB544" s="1120"/>
      <c r="AC544" s="1120"/>
      <c r="AD544" s="1212"/>
      <c r="AE544" s="1212"/>
      <c r="AF544" s="1186"/>
      <c r="AG544" s="1186"/>
      <c r="AH544" s="1222"/>
      <c r="AI544" s="1222"/>
      <c r="AJ544" s="1222"/>
      <c r="AK544" s="1222"/>
      <c r="AL544" s="1222"/>
      <c r="AM544" s="1222"/>
      <c r="AN544" s="1222"/>
      <c r="AO544" s="1222"/>
      <c r="AP544" s="1222"/>
      <c r="AQ544" s="1222"/>
      <c r="AR544" s="1222"/>
      <c r="AS544" s="1222"/>
      <c r="AT544" s="1222"/>
      <c r="AU544" s="1120"/>
      <c r="AV544" s="445"/>
      <c r="AW544" s="607"/>
      <c r="AX544" s="607"/>
      <c r="AY544" s="607"/>
      <c r="AZ544" s="1209"/>
      <c r="BA544" s="1209"/>
    </row>
    <row r="545" spans="2:53" s="256" customFormat="1" ht="24.95" customHeight="1">
      <c r="B545" s="445"/>
      <c r="C545" s="204"/>
      <c r="D545" s="204"/>
      <c r="E545" s="204"/>
      <c r="F545" s="368"/>
      <c r="G545" s="1134"/>
      <c r="H545" s="401"/>
      <c r="I545" s="317"/>
      <c r="N545" s="317"/>
      <c r="O545" s="1135"/>
      <c r="P545" s="1136"/>
      <c r="Q545" s="1137"/>
      <c r="R545" s="1120"/>
      <c r="S545" s="1120"/>
      <c r="T545" s="1120"/>
      <c r="U545" s="1120"/>
      <c r="V545" s="1120"/>
      <c r="W545" s="1120"/>
      <c r="Z545" s="1145"/>
      <c r="AA545" s="1120"/>
      <c r="AB545" s="1120"/>
      <c r="AC545" s="1120"/>
      <c r="AD545" s="1212"/>
      <c r="AE545" s="1212"/>
      <c r="AF545" s="1186"/>
      <c r="AG545" s="1186"/>
      <c r="AH545" s="1222"/>
      <c r="AI545" s="1222"/>
      <c r="AJ545" s="1222"/>
      <c r="AK545" s="1222"/>
      <c r="AL545" s="1222"/>
      <c r="AM545" s="1222"/>
      <c r="AN545" s="1222"/>
      <c r="AO545" s="1222"/>
      <c r="AP545" s="1222"/>
      <c r="AQ545" s="1222"/>
      <c r="AR545" s="1222"/>
      <c r="AS545" s="1222"/>
      <c r="AT545" s="1222"/>
      <c r="AU545" s="1120"/>
      <c r="AV545" s="445"/>
      <c r="AW545" s="607"/>
      <c r="AX545" s="607"/>
      <c r="AY545" s="607"/>
      <c r="AZ545" s="1209"/>
      <c r="BA545" s="1209"/>
    </row>
    <row r="546" spans="2:53" s="256" customFormat="1" ht="24.95" customHeight="1">
      <c r="B546" s="445"/>
      <c r="C546" s="204"/>
      <c r="D546" s="204"/>
      <c r="E546" s="204"/>
      <c r="F546" s="368"/>
      <c r="G546" s="1134"/>
      <c r="H546" s="401"/>
      <c r="I546" s="317"/>
      <c r="N546" s="317"/>
      <c r="O546" s="1135"/>
      <c r="P546" s="1136"/>
      <c r="Q546" s="1137"/>
      <c r="R546" s="1120"/>
      <c r="S546" s="1120"/>
      <c r="T546" s="1120"/>
      <c r="U546" s="1120"/>
      <c r="V546" s="1120"/>
      <c r="W546" s="1120"/>
      <c r="Z546" s="1145"/>
      <c r="AA546" s="1120"/>
      <c r="AB546" s="1120"/>
      <c r="AC546" s="1120"/>
      <c r="AD546" s="1212"/>
      <c r="AE546" s="1212"/>
      <c r="AF546" s="1186"/>
      <c r="AG546" s="1186"/>
      <c r="AH546" s="1222"/>
      <c r="AI546" s="1222"/>
      <c r="AJ546" s="1222"/>
      <c r="AK546" s="1222"/>
      <c r="AL546" s="1222"/>
      <c r="AM546" s="1222"/>
      <c r="AN546" s="1222"/>
      <c r="AO546" s="1222"/>
      <c r="AP546" s="1222"/>
      <c r="AQ546" s="1222"/>
      <c r="AR546" s="1222"/>
      <c r="AS546" s="1222"/>
      <c r="AT546" s="1222"/>
      <c r="AU546" s="1120"/>
      <c r="AV546" s="445"/>
      <c r="AW546" s="607"/>
      <c r="AX546" s="607"/>
      <c r="AY546" s="607"/>
      <c r="AZ546" s="1209"/>
      <c r="BA546" s="1209"/>
    </row>
    <row r="547" spans="2:53" s="256" customFormat="1" ht="24.95" customHeight="1">
      <c r="B547" s="445"/>
      <c r="C547" s="204"/>
      <c r="D547" s="204"/>
      <c r="E547" s="204"/>
      <c r="F547" s="368"/>
      <c r="G547" s="1134"/>
      <c r="H547" s="401"/>
      <c r="I547" s="317"/>
      <c r="N547" s="317"/>
      <c r="O547" s="1135"/>
      <c r="P547" s="1136"/>
      <c r="Q547" s="1137"/>
      <c r="R547" s="1120"/>
      <c r="S547" s="1120"/>
      <c r="T547" s="1120"/>
      <c r="U547" s="1120"/>
      <c r="V547" s="1120"/>
      <c r="W547" s="1120"/>
      <c r="Z547" s="1145"/>
      <c r="AA547" s="1120"/>
      <c r="AB547" s="1120"/>
      <c r="AC547" s="1120"/>
      <c r="AD547" s="1212"/>
      <c r="AE547" s="1212"/>
      <c r="AF547" s="1186"/>
      <c r="AG547" s="1186"/>
      <c r="AH547" s="1222"/>
      <c r="AI547" s="1222"/>
      <c r="AJ547" s="1222"/>
      <c r="AK547" s="1222"/>
      <c r="AL547" s="1222"/>
      <c r="AM547" s="1222"/>
      <c r="AN547" s="1222"/>
      <c r="AO547" s="1222"/>
      <c r="AP547" s="1222"/>
      <c r="AQ547" s="1222"/>
      <c r="AR547" s="1222"/>
      <c r="AS547" s="1222"/>
      <c r="AT547" s="1222"/>
      <c r="AU547" s="1120"/>
      <c r="AV547" s="445"/>
      <c r="AW547" s="607"/>
      <c r="AX547" s="607"/>
      <c r="AY547" s="607"/>
      <c r="AZ547" s="1209"/>
      <c r="BA547" s="1209"/>
    </row>
    <row r="548" spans="2:53" s="256" customFormat="1" ht="24.95" customHeight="1">
      <c r="B548" s="445"/>
      <c r="C548" s="204"/>
      <c r="D548" s="204"/>
      <c r="E548" s="204"/>
      <c r="F548" s="368"/>
      <c r="G548" s="1134"/>
      <c r="H548" s="401"/>
      <c r="I548" s="317"/>
      <c r="N548" s="317"/>
      <c r="O548" s="1135"/>
      <c r="P548" s="1136"/>
      <c r="Q548" s="1137"/>
      <c r="R548" s="1120"/>
      <c r="S548" s="1120"/>
      <c r="T548" s="1120"/>
      <c r="U548" s="1120"/>
      <c r="V548" s="1120"/>
      <c r="W548" s="1120"/>
      <c r="Z548" s="1145"/>
      <c r="AA548" s="1120"/>
      <c r="AB548" s="1120"/>
      <c r="AC548" s="1120"/>
      <c r="AD548" s="1212"/>
      <c r="AE548" s="1212"/>
      <c r="AF548" s="1186"/>
      <c r="AG548" s="1186"/>
      <c r="AH548" s="1222"/>
      <c r="AI548" s="1222"/>
      <c r="AJ548" s="1222"/>
      <c r="AK548" s="1222"/>
      <c r="AL548" s="1222"/>
      <c r="AM548" s="1222"/>
      <c r="AN548" s="1222"/>
      <c r="AO548" s="1222"/>
      <c r="AP548" s="1222"/>
      <c r="AQ548" s="1222"/>
      <c r="AR548" s="1222"/>
      <c r="AS548" s="1222"/>
      <c r="AT548" s="1222"/>
      <c r="AU548" s="1120"/>
      <c r="AV548" s="445"/>
      <c r="AW548" s="607"/>
      <c r="AX548" s="607"/>
      <c r="AY548" s="607"/>
      <c r="AZ548" s="1209"/>
      <c r="BA548" s="1209"/>
    </row>
    <row r="549" spans="2:53" s="256" customFormat="1" ht="24.95" customHeight="1">
      <c r="B549" s="445"/>
      <c r="C549" s="204"/>
      <c r="D549" s="204"/>
      <c r="E549" s="204"/>
      <c r="F549" s="368"/>
      <c r="G549" s="1134"/>
      <c r="H549" s="401"/>
      <c r="I549" s="317"/>
      <c r="N549" s="317"/>
      <c r="O549" s="1135"/>
      <c r="P549" s="1136"/>
      <c r="Q549" s="1137"/>
      <c r="R549" s="1120"/>
      <c r="S549" s="1120"/>
      <c r="T549" s="1120"/>
      <c r="U549" s="1120"/>
      <c r="V549" s="1120"/>
      <c r="W549" s="1120"/>
      <c r="Z549" s="1145"/>
      <c r="AA549" s="1120"/>
      <c r="AB549" s="1120"/>
      <c r="AC549" s="1120"/>
      <c r="AD549" s="1212"/>
      <c r="AE549" s="1212"/>
      <c r="AF549" s="1186"/>
      <c r="AG549" s="1186"/>
      <c r="AH549" s="1222"/>
      <c r="AI549" s="1222"/>
      <c r="AJ549" s="1222"/>
      <c r="AK549" s="1222"/>
      <c r="AL549" s="1222"/>
      <c r="AM549" s="1222"/>
      <c r="AN549" s="1222"/>
      <c r="AO549" s="1222"/>
      <c r="AP549" s="1222"/>
      <c r="AQ549" s="1222"/>
      <c r="AR549" s="1222"/>
      <c r="AS549" s="1222"/>
      <c r="AT549" s="1222"/>
      <c r="AU549" s="1120"/>
      <c r="AV549" s="445"/>
      <c r="AW549" s="607"/>
      <c r="AX549" s="607"/>
      <c r="AY549" s="607"/>
      <c r="AZ549" s="1209"/>
      <c r="BA549" s="1209"/>
    </row>
    <row r="550" spans="2:53" s="256" customFormat="1" ht="24.95" customHeight="1">
      <c r="B550" s="445"/>
      <c r="C550" s="204"/>
      <c r="D550" s="204"/>
      <c r="E550" s="204"/>
      <c r="F550" s="368"/>
      <c r="G550" s="1134"/>
      <c r="H550" s="401"/>
      <c r="I550" s="317"/>
      <c r="N550" s="317"/>
      <c r="O550" s="1135"/>
      <c r="P550" s="1136"/>
      <c r="Q550" s="1137"/>
      <c r="R550" s="1120"/>
      <c r="S550" s="1120"/>
      <c r="T550" s="1120"/>
      <c r="U550" s="1120"/>
      <c r="V550" s="1120"/>
      <c r="W550" s="1120"/>
      <c r="Z550" s="1145"/>
      <c r="AA550" s="1120"/>
      <c r="AB550" s="1120"/>
      <c r="AC550" s="1120"/>
      <c r="AD550" s="1212"/>
      <c r="AE550" s="1212"/>
      <c r="AF550" s="1186"/>
      <c r="AG550" s="1186"/>
      <c r="AH550" s="1222"/>
      <c r="AI550" s="1222"/>
      <c r="AJ550" s="1222"/>
      <c r="AK550" s="1222"/>
      <c r="AL550" s="1222"/>
      <c r="AM550" s="1222"/>
      <c r="AN550" s="1222"/>
      <c r="AO550" s="1222"/>
      <c r="AP550" s="1222"/>
      <c r="AQ550" s="1222"/>
      <c r="AR550" s="1222"/>
      <c r="AS550" s="1222"/>
      <c r="AT550" s="1222"/>
      <c r="AU550" s="1120"/>
      <c r="AV550" s="445"/>
      <c r="AW550" s="607"/>
      <c r="AX550" s="607"/>
      <c r="AY550" s="607"/>
      <c r="AZ550" s="1209"/>
      <c r="BA550" s="1209"/>
    </row>
    <row r="551" spans="2:53" s="256" customFormat="1" ht="24.95" customHeight="1">
      <c r="B551" s="445"/>
      <c r="C551" s="204"/>
      <c r="D551" s="204"/>
      <c r="E551" s="204"/>
      <c r="F551" s="368"/>
      <c r="G551" s="1134"/>
      <c r="H551" s="401"/>
      <c r="I551" s="317"/>
      <c r="N551" s="317"/>
      <c r="O551" s="1135"/>
      <c r="P551" s="1136"/>
      <c r="Q551" s="1137"/>
      <c r="R551" s="1120"/>
      <c r="S551" s="1120"/>
      <c r="T551" s="1120"/>
      <c r="U551" s="1120"/>
      <c r="V551" s="1120"/>
      <c r="W551" s="1120"/>
      <c r="Z551" s="1145"/>
      <c r="AA551" s="1120"/>
      <c r="AB551" s="1120"/>
      <c r="AC551" s="1120"/>
      <c r="AD551" s="1212"/>
      <c r="AE551" s="1212"/>
      <c r="AF551" s="1186"/>
      <c r="AG551" s="1186"/>
      <c r="AH551" s="1222"/>
      <c r="AI551" s="1222"/>
      <c r="AJ551" s="1222"/>
      <c r="AK551" s="1222"/>
      <c r="AL551" s="1222"/>
      <c r="AM551" s="1222"/>
      <c r="AN551" s="1222"/>
      <c r="AO551" s="1222"/>
      <c r="AP551" s="1222"/>
      <c r="AQ551" s="1222"/>
      <c r="AR551" s="1222"/>
      <c r="AS551" s="1222"/>
      <c r="AT551" s="1222"/>
      <c r="AU551" s="1120"/>
      <c r="AV551" s="445"/>
      <c r="AW551" s="607"/>
      <c r="AX551" s="607"/>
      <c r="AY551" s="607"/>
      <c r="AZ551" s="1209"/>
      <c r="BA551" s="1209"/>
    </row>
    <row r="552" spans="2:53" s="256" customFormat="1" ht="24.95" customHeight="1">
      <c r="B552" s="445"/>
      <c r="C552" s="204"/>
      <c r="D552" s="204"/>
      <c r="E552" s="204"/>
      <c r="F552" s="368"/>
      <c r="G552" s="1134"/>
      <c r="H552" s="401"/>
      <c r="I552" s="317"/>
      <c r="N552" s="317"/>
      <c r="O552" s="1135"/>
      <c r="P552" s="1136"/>
      <c r="Q552" s="1137"/>
      <c r="R552" s="1120"/>
      <c r="S552" s="1120"/>
      <c r="T552" s="1120"/>
      <c r="U552" s="1120"/>
      <c r="V552" s="1120"/>
      <c r="W552" s="1120"/>
      <c r="Z552" s="1145"/>
      <c r="AA552" s="1120"/>
      <c r="AB552" s="1120"/>
      <c r="AC552" s="1120"/>
      <c r="AD552" s="1212"/>
      <c r="AE552" s="1212"/>
      <c r="AF552" s="1186"/>
      <c r="AG552" s="1186"/>
      <c r="AH552" s="1222"/>
      <c r="AI552" s="1222"/>
      <c r="AJ552" s="1222"/>
      <c r="AK552" s="1222"/>
      <c r="AL552" s="1222"/>
      <c r="AM552" s="1222"/>
      <c r="AN552" s="1222"/>
      <c r="AO552" s="1222"/>
      <c r="AP552" s="1222"/>
      <c r="AQ552" s="1222"/>
      <c r="AR552" s="1222"/>
      <c r="AS552" s="1222"/>
      <c r="AT552" s="1222"/>
      <c r="AU552" s="1120"/>
      <c r="AV552" s="445"/>
      <c r="AW552" s="607"/>
      <c r="AX552" s="607"/>
      <c r="AY552" s="607"/>
      <c r="AZ552" s="1209"/>
      <c r="BA552" s="1209"/>
    </row>
    <row r="553" spans="2:53" s="256" customFormat="1" ht="24.95" customHeight="1">
      <c r="B553" s="445"/>
      <c r="C553" s="204"/>
      <c r="D553" s="204"/>
      <c r="E553" s="204"/>
      <c r="F553" s="368"/>
      <c r="G553" s="1134"/>
      <c r="H553" s="401"/>
      <c r="I553" s="317"/>
      <c r="N553" s="317"/>
      <c r="O553" s="1135"/>
      <c r="P553" s="1136"/>
      <c r="Q553" s="1137"/>
      <c r="R553" s="1120"/>
      <c r="S553" s="1120"/>
      <c r="T553" s="1120"/>
      <c r="U553" s="1120"/>
      <c r="V553" s="1120"/>
      <c r="W553" s="1120"/>
      <c r="Z553" s="1145"/>
      <c r="AA553" s="1120"/>
      <c r="AB553" s="1120"/>
      <c r="AC553" s="1120"/>
      <c r="AD553" s="1212"/>
      <c r="AE553" s="1212"/>
      <c r="AF553" s="1186"/>
      <c r="AG553" s="1186"/>
      <c r="AH553" s="1222"/>
      <c r="AI553" s="1222"/>
      <c r="AJ553" s="1222"/>
      <c r="AK553" s="1222"/>
      <c r="AL553" s="1222"/>
      <c r="AM553" s="1222"/>
      <c r="AN553" s="1222"/>
      <c r="AO553" s="1222"/>
      <c r="AP553" s="1222"/>
      <c r="AQ553" s="1222"/>
      <c r="AR553" s="1222"/>
      <c r="AS553" s="1222"/>
      <c r="AT553" s="1222"/>
      <c r="AU553" s="1120"/>
      <c r="AV553" s="445"/>
      <c r="AW553" s="607"/>
      <c r="AX553" s="607"/>
      <c r="AY553" s="607"/>
      <c r="AZ553" s="1209"/>
      <c r="BA553" s="1209"/>
    </row>
    <row r="554" spans="2:53" s="256" customFormat="1" ht="24.95" customHeight="1">
      <c r="B554" s="445"/>
      <c r="C554" s="204"/>
      <c r="D554" s="204"/>
      <c r="E554" s="204"/>
      <c r="F554" s="368"/>
      <c r="G554" s="1134"/>
      <c r="H554" s="401"/>
      <c r="I554" s="317"/>
      <c r="N554" s="317"/>
      <c r="O554" s="1135"/>
      <c r="P554" s="1136"/>
      <c r="Q554" s="1137"/>
      <c r="R554" s="1120"/>
      <c r="S554" s="1120"/>
      <c r="T554" s="1120"/>
      <c r="U554" s="1120"/>
      <c r="V554" s="1120"/>
      <c r="W554" s="1120"/>
      <c r="Z554" s="1145"/>
      <c r="AA554" s="1120"/>
      <c r="AB554" s="1120"/>
      <c r="AC554" s="1120"/>
      <c r="AD554" s="1212"/>
      <c r="AE554" s="1212"/>
      <c r="AF554" s="1186"/>
      <c r="AG554" s="1186"/>
      <c r="AH554" s="1222"/>
      <c r="AI554" s="1222"/>
      <c r="AJ554" s="1222"/>
      <c r="AK554" s="1222"/>
      <c r="AL554" s="1222"/>
      <c r="AM554" s="1222"/>
      <c r="AN554" s="1222"/>
      <c r="AO554" s="1222"/>
      <c r="AP554" s="1222"/>
      <c r="AQ554" s="1222"/>
      <c r="AR554" s="1222"/>
      <c r="AS554" s="1222"/>
      <c r="AT554" s="1222"/>
      <c r="AU554" s="1120"/>
      <c r="AV554" s="445"/>
      <c r="AW554" s="607"/>
      <c r="AX554" s="607"/>
      <c r="AY554" s="607"/>
      <c r="AZ554" s="1209"/>
      <c r="BA554" s="1209"/>
    </row>
    <row r="555" spans="2:53" s="256" customFormat="1" ht="24.95" customHeight="1">
      <c r="B555" s="445"/>
      <c r="C555" s="204"/>
      <c r="D555" s="204"/>
      <c r="E555" s="204"/>
      <c r="F555" s="368"/>
      <c r="G555" s="1134"/>
      <c r="H555" s="401"/>
      <c r="I555" s="317"/>
      <c r="N555" s="317"/>
      <c r="O555" s="1135"/>
      <c r="P555" s="1136"/>
      <c r="Q555" s="1137"/>
      <c r="R555" s="1120"/>
      <c r="S555" s="1120"/>
      <c r="T555" s="1120"/>
      <c r="U555" s="1120"/>
      <c r="V555" s="1120"/>
      <c r="W555" s="1120"/>
      <c r="Z555" s="1145"/>
      <c r="AA555" s="1120"/>
      <c r="AB555" s="1120"/>
      <c r="AC555" s="1120"/>
      <c r="AD555" s="1212"/>
      <c r="AE555" s="1212"/>
      <c r="AF555" s="1186"/>
      <c r="AG555" s="1186"/>
      <c r="AH555" s="1222"/>
      <c r="AI555" s="1222"/>
      <c r="AJ555" s="1222"/>
      <c r="AK555" s="1222"/>
      <c r="AL555" s="1222"/>
      <c r="AM555" s="1222"/>
      <c r="AN555" s="1222"/>
      <c r="AO555" s="1222"/>
      <c r="AP555" s="1222"/>
      <c r="AQ555" s="1222"/>
      <c r="AR555" s="1222"/>
      <c r="AS555" s="1222"/>
      <c r="AT555" s="1222"/>
      <c r="AU555" s="1120"/>
      <c r="AV555" s="445"/>
      <c r="AW555" s="607"/>
      <c r="AX555" s="607"/>
      <c r="AY555" s="607"/>
      <c r="AZ555" s="1209"/>
      <c r="BA555" s="1209"/>
    </row>
    <row r="556" spans="2:53" s="256" customFormat="1" ht="24.95" customHeight="1">
      <c r="B556" s="445"/>
      <c r="C556" s="204"/>
      <c r="D556" s="204"/>
      <c r="E556" s="204"/>
      <c r="F556" s="368"/>
      <c r="G556" s="1134"/>
      <c r="H556" s="401"/>
      <c r="I556" s="317"/>
      <c r="N556" s="317"/>
      <c r="O556" s="1135"/>
      <c r="P556" s="1136"/>
      <c r="Q556" s="1137"/>
      <c r="R556" s="1120"/>
      <c r="S556" s="1120"/>
      <c r="T556" s="1120"/>
      <c r="U556" s="1120"/>
      <c r="V556" s="1120"/>
      <c r="W556" s="1120"/>
      <c r="Z556" s="1145"/>
      <c r="AA556" s="1120"/>
      <c r="AB556" s="1120"/>
      <c r="AC556" s="1120"/>
      <c r="AD556" s="1212"/>
      <c r="AE556" s="1212"/>
      <c r="AF556" s="1186"/>
      <c r="AG556" s="1186"/>
      <c r="AH556" s="1222"/>
      <c r="AI556" s="1222"/>
      <c r="AJ556" s="1222"/>
      <c r="AK556" s="1222"/>
      <c r="AL556" s="1222"/>
      <c r="AM556" s="1222"/>
      <c r="AN556" s="1222"/>
      <c r="AO556" s="1222"/>
      <c r="AP556" s="1222"/>
      <c r="AQ556" s="1222"/>
      <c r="AR556" s="1222"/>
      <c r="AS556" s="1222"/>
      <c r="AT556" s="1222"/>
      <c r="AU556" s="1120"/>
      <c r="AV556" s="445"/>
      <c r="AW556" s="607"/>
      <c r="AX556" s="607"/>
      <c r="AY556" s="607"/>
      <c r="AZ556" s="1209"/>
      <c r="BA556" s="1209"/>
    </row>
    <row r="557" spans="2:53" s="256" customFormat="1" ht="24.95" customHeight="1">
      <c r="B557" s="445"/>
      <c r="C557" s="204"/>
      <c r="D557" s="204"/>
      <c r="E557" s="204"/>
      <c r="F557" s="368"/>
      <c r="G557" s="1134"/>
      <c r="H557" s="401"/>
      <c r="I557" s="317"/>
      <c r="N557" s="317"/>
      <c r="O557" s="1135"/>
      <c r="P557" s="1136"/>
      <c r="Q557" s="1137"/>
      <c r="R557" s="1120"/>
      <c r="S557" s="1120"/>
      <c r="T557" s="1120"/>
      <c r="U557" s="1120"/>
      <c r="V557" s="1120"/>
      <c r="W557" s="1120"/>
      <c r="Z557" s="1145"/>
      <c r="AA557" s="1120"/>
      <c r="AB557" s="1120"/>
      <c r="AC557" s="1120"/>
      <c r="AD557" s="1212"/>
      <c r="AE557" s="1212"/>
      <c r="AF557" s="1186"/>
      <c r="AG557" s="1186"/>
      <c r="AH557" s="1222"/>
      <c r="AI557" s="1222"/>
      <c r="AJ557" s="1222"/>
      <c r="AK557" s="1222"/>
      <c r="AL557" s="1222"/>
      <c r="AM557" s="1222"/>
      <c r="AN557" s="1222"/>
      <c r="AO557" s="1222"/>
      <c r="AP557" s="1222"/>
      <c r="AQ557" s="1222"/>
      <c r="AR557" s="1222"/>
      <c r="AS557" s="1222"/>
      <c r="AT557" s="1222"/>
      <c r="AU557" s="1120"/>
      <c r="AV557" s="445"/>
      <c r="AW557" s="607"/>
      <c r="AX557" s="607"/>
      <c r="AY557" s="607"/>
      <c r="AZ557" s="1209"/>
      <c r="BA557" s="1209"/>
    </row>
    <row r="558" spans="2:53" s="256" customFormat="1" ht="24.95" customHeight="1">
      <c r="B558" s="445"/>
      <c r="C558" s="204"/>
      <c r="D558" s="204"/>
      <c r="E558" s="204"/>
      <c r="F558" s="368"/>
      <c r="G558" s="1134"/>
      <c r="H558" s="401"/>
      <c r="I558" s="317"/>
      <c r="N558" s="317"/>
      <c r="O558" s="1135"/>
      <c r="P558" s="1136"/>
      <c r="Q558" s="1137"/>
      <c r="R558" s="1120"/>
      <c r="S558" s="1120"/>
      <c r="T558" s="1120"/>
      <c r="U558" s="1120"/>
      <c r="V558" s="1120"/>
      <c r="W558" s="1120"/>
      <c r="Z558" s="1145"/>
      <c r="AA558" s="1120"/>
      <c r="AB558" s="1120"/>
      <c r="AC558" s="1120"/>
      <c r="AD558" s="1212"/>
      <c r="AE558" s="1212"/>
      <c r="AF558" s="1186"/>
      <c r="AG558" s="1186"/>
      <c r="AH558" s="1222"/>
      <c r="AI558" s="1222"/>
      <c r="AJ558" s="1222"/>
      <c r="AK558" s="1222"/>
      <c r="AL558" s="1222"/>
      <c r="AM558" s="1222"/>
      <c r="AN558" s="1222"/>
      <c r="AO558" s="1222"/>
      <c r="AP558" s="1222"/>
      <c r="AQ558" s="1222"/>
      <c r="AR558" s="1222"/>
      <c r="AS558" s="1222"/>
      <c r="AT558" s="1222"/>
      <c r="AU558" s="1120"/>
      <c r="AV558" s="445"/>
      <c r="AW558" s="607"/>
      <c r="AX558" s="607"/>
      <c r="AY558" s="607"/>
      <c r="AZ558" s="1209"/>
      <c r="BA558" s="1209"/>
    </row>
    <row r="559" spans="2:53" s="256" customFormat="1" ht="24.95" customHeight="1">
      <c r="B559" s="445"/>
      <c r="C559" s="204"/>
      <c r="D559" s="204"/>
      <c r="E559" s="204"/>
      <c r="F559" s="368"/>
      <c r="G559" s="1134"/>
      <c r="H559" s="401"/>
      <c r="I559" s="317"/>
      <c r="N559" s="317"/>
      <c r="O559" s="1135"/>
      <c r="P559" s="1136"/>
      <c r="Q559" s="1137"/>
      <c r="R559" s="1120"/>
      <c r="S559" s="1120"/>
      <c r="T559" s="1120"/>
      <c r="U559" s="1120"/>
      <c r="V559" s="1120"/>
      <c r="W559" s="1120"/>
      <c r="Z559" s="1145"/>
      <c r="AA559" s="1120"/>
      <c r="AB559" s="1120"/>
      <c r="AC559" s="1120"/>
      <c r="AD559" s="1212"/>
      <c r="AE559" s="1212"/>
      <c r="AF559" s="1186"/>
      <c r="AG559" s="1186"/>
      <c r="AH559" s="1222"/>
      <c r="AI559" s="1222"/>
      <c r="AJ559" s="1222"/>
      <c r="AK559" s="1222"/>
      <c r="AL559" s="1222"/>
      <c r="AM559" s="1222"/>
      <c r="AN559" s="1222"/>
      <c r="AO559" s="1222"/>
      <c r="AP559" s="1222"/>
      <c r="AQ559" s="1222"/>
      <c r="AR559" s="1222"/>
      <c r="AS559" s="1222"/>
      <c r="AT559" s="1222"/>
      <c r="AU559" s="1120"/>
      <c r="AV559" s="445"/>
      <c r="AW559" s="607"/>
      <c r="AX559" s="607"/>
      <c r="AY559" s="607"/>
      <c r="AZ559" s="1209"/>
      <c r="BA559" s="1209"/>
    </row>
    <row r="560" spans="2:53" s="256" customFormat="1" ht="24.95" customHeight="1">
      <c r="B560" s="445"/>
      <c r="C560" s="204"/>
      <c r="D560" s="204"/>
      <c r="E560" s="204"/>
      <c r="F560" s="368"/>
      <c r="G560" s="1134"/>
      <c r="H560" s="401"/>
      <c r="I560" s="317"/>
      <c r="N560" s="317"/>
      <c r="O560" s="1135"/>
      <c r="P560" s="1136"/>
      <c r="Q560" s="1137"/>
      <c r="R560" s="1120"/>
      <c r="S560" s="1120"/>
      <c r="T560" s="1120"/>
      <c r="U560" s="1120"/>
      <c r="V560" s="1120"/>
      <c r="W560" s="1120"/>
      <c r="Z560" s="1145"/>
      <c r="AA560" s="1120"/>
      <c r="AB560" s="1120"/>
      <c r="AC560" s="1120"/>
      <c r="AD560" s="1212"/>
      <c r="AE560" s="1212"/>
      <c r="AF560" s="1186"/>
      <c r="AG560" s="1186"/>
      <c r="AH560" s="1222"/>
      <c r="AI560" s="1222"/>
      <c r="AJ560" s="1222"/>
      <c r="AK560" s="1222"/>
      <c r="AL560" s="1222"/>
      <c r="AM560" s="1222"/>
      <c r="AN560" s="1222"/>
      <c r="AO560" s="1222"/>
      <c r="AP560" s="1222"/>
      <c r="AQ560" s="1222"/>
      <c r="AR560" s="1222"/>
      <c r="AS560" s="1222"/>
      <c r="AT560" s="1222"/>
      <c r="AU560" s="1120"/>
      <c r="AV560" s="445"/>
      <c r="AW560" s="607"/>
      <c r="AX560" s="607"/>
      <c r="AY560" s="607"/>
      <c r="AZ560" s="1209"/>
      <c r="BA560" s="1209"/>
    </row>
    <row r="561" spans="2:53" s="256" customFormat="1" ht="24.95" customHeight="1">
      <c r="B561" s="445"/>
      <c r="C561" s="204"/>
      <c r="D561" s="204"/>
      <c r="E561" s="204"/>
      <c r="F561" s="368"/>
      <c r="G561" s="1134"/>
      <c r="H561" s="401"/>
      <c r="I561" s="317"/>
      <c r="N561" s="317"/>
      <c r="O561" s="1135"/>
      <c r="P561" s="1136"/>
      <c r="Q561" s="1137"/>
      <c r="R561" s="1120"/>
      <c r="S561" s="1120"/>
      <c r="T561" s="1120"/>
      <c r="U561" s="1120"/>
      <c r="V561" s="1120"/>
      <c r="W561" s="1120"/>
      <c r="Z561" s="1145"/>
      <c r="AA561" s="1120"/>
      <c r="AB561" s="1120"/>
      <c r="AC561" s="1120"/>
      <c r="AD561" s="1212"/>
      <c r="AE561" s="1212"/>
      <c r="AF561" s="1186"/>
      <c r="AG561" s="1186"/>
      <c r="AH561" s="1222"/>
      <c r="AI561" s="1222"/>
      <c r="AJ561" s="1222"/>
      <c r="AK561" s="1222"/>
      <c r="AL561" s="1222"/>
      <c r="AM561" s="1222"/>
      <c r="AN561" s="1222"/>
      <c r="AO561" s="1222"/>
      <c r="AP561" s="1222"/>
      <c r="AQ561" s="1222"/>
      <c r="AR561" s="1222"/>
      <c r="AS561" s="1222"/>
      <c r="AT561" s="1222"/>
      <c r="AU561" s="1120"/>
      <c r="AV561" s="445"/>
      <c r="AW561" s="607"/>
      <c r="AX561" s="607"/>
      <c r="AY561" s="607"/>
      <c r="AZ561" s="1209"/>
      <c r="BA561" s="1209"/>
    </row>
    <row r="562" spans="2:53" s="256" customFormat="1" ht="24.95" customHeight="1">
      <c r="B562" s="445"/>
      <c r="C562" s="204"/>
      <c r="D562" s="204"/>
      <c r="E562" s="204"/>
      <c r="F562" s="368"/>
      <c r="G562" s="1134"/>
      <c r="H562" s="401"/>
      <c r="I562" s="317"/>
      <c r="N562" s="317"/>
      <c r="O562" s="1135"/>
      <c r="P562" s="1136"/>
      <c r="Q562" s="1137"/>
      <c r="R562" s="1120"/>
      <c r="S562" s="1120"/>
      <c r="T562" s="1120"/>
      <c r="U562" s="1120"/>
      <c r="V562" s="1120"/>
      <c r="W562" s="1120"/>
      <c r="Z562" s="1145"/>
      <c r="AA562" s="1120"/>
      <c r="AB562" s="1120"/>
      <c r="AC562" s="1120"/>
      <c r="AD562" s="1212"/>
      <c r="AE562" s="1212"/>
      <c r="AF562" s="1186"/>
      <c r="AG562" s="1186"/>
      <c r="AH562" s="1222"/>
      <c r="AI562" s="1222"/>
      <c r="AJ562" s="1222"/>
      <c r="AK562" s="1222"/>
      <c r="AL562" s="1222"/>
      <c r="AM562" s="1222"/>
      <c r="AN562" s="1222"/>
      <c r="AO562" s="1222"/>
      <c r="AP562" s="1222"/>
      <c r="AQ562" s="1222"/>
      <c r="AR562" s="1222"/>
      <c r="AS562" s="1222"/>
      <c r="AT562" s="1222"/>
      <c r="AU562" s="1120"/>
      <c r="AV562" s="445"/>
      <c r="AW562" s="607"/>
      <c r="AX562" s="607"/>
      <c r="AY562" s="607"/>
      <c r="AZ562" s="1209"/>
      <c r="BA562" s="1209"/>
    </row>
    <row r="563" spans="2:53" s="256" customFormat="1" ht="24.95" customHeight="1">
      <c r="B563" s="445"/>
      <c r="C563" s="204"/>
      <c r="D563" s="204"/>
      <c r="E563" s="204"/>
      <c r="F563" s="368"/>
      <c r="G563" s="1134"/>
      <c r="H563" s="401"/>
      <c r="I563" s="317"/>
      <c r="N563" s="317"/>
      <c r="O563" s="1135"/>
      <c r="P563" s="1136"/>
      <c r="Q563" s="1137"/>
      <c r="R563" s="1120"/>
      <c r="S563" s="1120"/>
      <c r="T563" s="1120"/>
      <c r="U563" s="1120"/>
      <c r="V563" s="1120"/>
      <c r="W563" s="1120"/>
      <c r="Z563" s="1145"/>
      <c r="AA563" s="1120"/>
      <c r="AB563" s="1120"/>
      <c r="AC563" s="1120"/>
      <c r="AD563" s="1212"/>
      <c r="AE563" s="1212"/>
      <c r="AF563" s="1186"/>
      <c r="AG563" s="1186"/>
      <c r="AH563" s="1222"/>
      <c r="AI563" s="1222"/>
      <c r="AJ563" s="1222"/>
      <c r="AK563" s="1222"/>
      <c r="AL563" s="1222"/>
      <c r="AM563" s="1222"/>
      <c r="AN563" s="1222"/>
      <c r="AO563" s="1222"/>
      <c r="AP563" s="1222"/>
      <c r="AQ563" s="1222"/>
      <c r="AR563" s="1222"/>
      <c r="AS563" s="1222"/>
      <c r="AT563" s="1222"/>
      <c r="AU563" s="1120"/>
      <c r="AV563" s="445"/>
      <c r="AW563" s="607"/>
      <c r="AX563" s="607"/>
      <c r="AY563" s="607"/>
      <c r="AZ563" s="1209"/>
      <c r="BA563" s="1209"/>
    </row>
    <row r="564" spans="2:53" s="256" customFormat="1" ht="24.95" customHeight="1">
      <c r="B564" s="445"/>
      <c r="C564" s="204"/>
      <c r="D564" s="204"/>
      <c r="E564" s="204"/>
      <c r="F564" s="368"/>
      <c r="G564" s="1134"/>
      <c r="H564" s="401"/>
      <c r="I564" s="317"/>
      <c r="N564" s="317"/>
      <c r="O564" s="1135"/>
      <c r="P564" s="1136"/>
      <c r="Q564" s="1137"/>
      <c r="R564" s="1120"/>
      <c r="S564" s="1120"/>
      <c r="T564" s="1120"/>
      <c r="U564" s="1120"/>
      <c r="V564" s="1120"/>
      <c r="W564" s="1120"/>
      <c r="Z564" s="1145"/>
      <c r="AA564" s="1120"/>
      <c r="AB564" s="1120"/>
      <c r="AC564" s="1120"/>
      <c r="AD564" s="1212"/>
      <c r="AE564" s="1212"/>
      <c r="AF564" s="1186"/>
      <c r="AG564" s="1186"/>
      <c r="AH564" s="1222"/>
      <c r="AI564" s="1222"/>
      <c r="AJ564" s="1222"/>
      <c r="AK564" s="1222"/>
      <c r="AL564" s="1222"/>
      <c r="AM564" s="1222"/>
      <c r="AN564" s="1222"/>
      <c r="AO564" s="1222"/>
      <c r="AP564" s="1222"/>
      <c r="AQ564" s="1222"/>
      <c r="AR564" s="1222"/>
      <c r="AS564" s="1222"/>
      <c r="AT564" s="1222"/>
      <c r="AU564" s="1120"/>
      <c r="AV564" s="445"/>
      <c r="AW564" s="607"/>
      <c r="AX564" s="607"/>
      <c r="AY564" s="607"/>
      <c r="AZ564" s="1209"/>
      <c r="BA564" s="1209"/>
    </row>
    <row r="565" spans="2:53" s="256" customFormat="1" ht="24.95" customHeight="1">
      <c r="B565" s="445"/>
      <c r="C565" s="204"/>
      <c r="D565" s="204"/>
      <c r="E565" s="204"/>
      <c r="F565" s="368"/>
      <c r="G565" s="1134"/>
      <c r="H565" s="401"/>
      <c r="I565" s="317"/>
      <c r="N565" s="317"/>
      <c r="O565" s="1135"/>
      <c r="P565" s="1136"/>
      <c r="Q565" s="1137"/>
      <c r="R565" s="1120"/>
      <c r="S565" s="1120"/>
      <c r="T565" s="1120"/>
      <c r="U565" s="1120"/>
      <c r="V565" s="1120"/>
      <c r="W565" s="1120"/>
      <c r="Z565" s="1145"/>
      <c r="AA565" s="1120"/>
      <c r="AB565" s="1120"/>
      <c r="AC565" s="1120"/>
      <c r="AD565" s="1212"/>
      <c r="AE565" s="1212"/>
      <c r="AF565" s="1186"/>
      <c r="AG565" s="1186"/>
      <c r="AH565" s="1222"/>
      <c r="AI565" s="1222"/>
      <c r="AJ565" s="1222"/>
      <c r="AK565" s="1222"/>
      <c r="AL565" s="1222"/>
      <c r="AM565" s="1222"/>
      <c r="AN565" s="1222"/>
      <c r="AO565" s="1222"/>
      <c r="AP565" s="1222"/>
      <c r="AQ565" s="1222"/>
      <c r="AR565" s="1222"/>
      <c r="AS565" s="1222"/>
      <c r="AT565" s="1222"/>
      <c r="AU565" s="1120"/>
      <c r="AV565" s="445"/>
      <c r="AW565" s="607"/>
      <c r="AX565" s="607"/>
      <c r="AY565" s="607"/>
      <c r="AZ565" s="1209"/>
      <c r="BA565" s="1209"/>
    </row>
    <row r="566" spans="2:53" s="256" customFormat="1" ht="24.95" customHeight="1">
      <c r="B566" s="445"/>
      <c r="C566" s="204"/>
      <c r="D566" s="204"/>
      <c r="E566" s="204"/>
      <c r="F566" s="368"/>
      <c r="G566" s="1134"/>
      <c r="H566" s="401"/>
      <c r="I566" s="317"/>
      <c r="N566" s="317"/>
      <c r="O566" s="1135"/>
      <c r="P566" s="1136"/>
      <c r="Q566" s="1137"/>
      <c r="R566" s="1120"/>
      <c r="S566" s="1120"/>
      <c r="T566" s="1120"/>
      <c r="U566" s="1120"/>
      <c r="V566" s="1120"/>
      <c r="W566" s="1120"/>
      <c r="Z566" s="1145"/>
      <c r="AA566" s="1120"/>
      <c r="AB566" s="1120"/>
      <c r="AC566" s="1120"/>
      <c r="AD566" s="1212"/>
      <c r="AE566" s="1212"/>
      <c r="AF566" s="1186"/>
      <c r="AG566" s="1186"/>
      <c r="AH566" s="1222"/>
      <c r="AI566" s="1222"/>
      <c r="AJ566" s="1222"/>
      <c r="AK566" s="1222"/>
      <c r="AL566" s="1222"/>
      <c r="AM566" s="1222"/>
      <c r="AN566" s="1222"/>
      <c r="AO566" s="1222"/>
      <c r="AP566" s="1222"/>
      <c r="AQ566" s="1222"/>
      <c r="AR566" s="1222"/>
      <c r="AS566" s="1222"/>
      <c r="AT566" s="1222"/>
      <c r="AU566" s="1120"/>
      <c r="AV566" s="445"/>
      <c r="AW566" s="607"/>
      <c r="AX566" s="607"/>
      <c r="AY566" s="607"/>
      <c r="AZ566" s="1209"/>
      <c r="BA566" s="1209"/>
    </row>
    <row r="567" spans="2:53" s="256" customFormat="1" ht="24.95" customHeight="1">
      <c r="B567" s="445"/>
      <c r="C567" s="204"/>
      <c r="D567" s="204"/>
      <c r="E567" s="204"/>
      <c r="F567" s="368"/>
      <c r="G567" s="1134"/>
      <c r="H567" s="401"/>
      <c r="I567" s="317"/>
      <c r="N567" s="317"/>
      <c r="O567" s="1135"/>
      <c r="P567" s="1136"/>
      <c r="Q567" s="1137"/>
      <c r="R567" s="1120"/>
      <c r="S567" s="1120"/>
      <c r="T567" s="1120"/>
      <c r="U567" s="1120"/>
      <c r="V567" s="1120"/>
      <c r="W567" s="1120"/>
      <c r="Z567" s="1145"/>
      <c r="AA567" s="1120"/>
      <c r="AB567" s="1120"/>
      <c r="AC567" s="1120"/>
      <c r="AD567" s="1212"/>
      <c r="AE567" s="1212"/>
      <c r="AF567" s="1186"/>
      <c r="AG567" s="1186"/>
      <c r="AH567" s="1222"/>
      <c r="AI567" s="1222"/>
      <c r="AJ567" s="1222"/>
      <c r="AK567" s="1222"/>
      <c r="AL567" s="1222"/>
      <c r="AM567" s="1222"/>
      <c r="AN567" s="1222"/>
      <c r="AO567" s="1222"/>
      <c r="AP567" s="1222"/>
      <c r="AQ567" s="1222"/>
      <c r="AR567" s="1222"/>
      <c r="AS567" s="1222"/>
      <c r="AT567" s="1222"/>
      <c r="AU567" s="1120"/>
      <c r="AV567" s="445"/>
      <c r="AW567" s="607"/>
      <c r="AX567" s="607"/>
      <c r="AY567" s="607"/>
      <c r="AZ567" s="1209"/>
      <c r="BA567" s="1209"/>
    </row>
    <row r="568" spans="2:53" s="256" customFormat="1" ht="24.95" customHeight="1">
      <c r="B568" s="445"/>
      <c r="C568" s="204"/>
      <c r="D568" s="204"/>
      <c r="E568" s="204"/>
      <c r="F568" s="368"/>
      <c r="G568" s="1134"/>
      <c r="H568" s="401"/>
      <c r="I568" s="317"/>
      <c r="N568" s="317"/>
      <c r="O568" s="1135"/>
      <c r="P568" s="1136"/>
      <c r="Q568" s="1137"/>
      <c r="R568" s="1120"/>
      <c r="S568" s="1120"/>
      <c r="T568" s="1120"/>
      <c r="U568" s="1120"/>
      <c r="V568" s="1120"/>
      <c r="W568" s="1120"/>
      <c r="Z568" s="1145"/>
      <c r="AA568" s="1120"/>
      <c r="AB568" s="1120"/>
      <c r="AC568" s="1120"/>
      <c r="AD568" s="1212"/>
      <c r="AE568" s="1212"/>
      <c r="AF568" s="1186"/>
      <c r="AG568" s="1186"/>
      <c r="AH568" s="1222"/>
      <c r="AI568" s="1222"/>
      <c r="AJ568" s="1222"/>
      <c r="AK568" s="1222"/>
      <c r="AL568" s="1222"/>
      <c r="AM568" s="1222"/>
      <c r="AN568" s="1222"/>
      <c r="AO568" s="1222"/>
      <c r="AP568" s="1222"/>
      <c r="AQ568" s="1222"/>
      <c r="AR568" s="1222"/>
      <c r="AS568" s="1222"/>
      <c r="AT568" s="1222"/>
      <c r="AU568" s="1120"/>
      <c r="AV568" s="445"/>
      <c r="AW568" s="607"/>
      <c r="AX568" s="607"/>
      <c r="AY568" s="607"/>
      <c r="AZ568" s="1209"/>
      <c r="BA568" s="1209"/>
    </row>
    <row r="569" spans="2:53" s="256" customFormat="1" ht="24.95" customHeight="1">
      <c r="B569" s="445"/>
      <c r="C569" s="204"/>
      <c r="D569" s="204"/>
      <c r="E569" s="204"/>
      <c r="F569" s="368"/>
      <c r="G569" s="1134"/>
      <c r="H569" s="401"/>
      <c r="I569" s="317"/>
      <c r="N569" s="317"/>
      <c r="O569" s="1135"/>
      <c r="P569" s="1136"/>
      <c r="Q569" s="1137"/>
      <c r="R569" s="1120"/>
      <c r="S569" s="1120"/>
      <c r="T569" s="1120"/>
      <c r="U569" s="1120"/>
      <c r="V569" s="1120"/>
      <c r="W569" s="1120"/>
      <c r="Z569" s="1145"/>
      <c r="AA569" s="1120"/>
      <c r="AB569" s="1120"/>
      <c r="AC569" s="1120"/>
      <c r="AD569" s="1212"/>
      <c r="AE569" s="1212"/>
      <c r="AF569" s="1186"/>
      <c r="AG569" s="1186"/>
      <c r="AH569" s="1222"/>
      <c r="AI569" s="1222"/>
      <c r="AJ569" s="1222"/>
      <c r="AK569" s="1222"/>
      <c r="AL569" s="1222"/>
      <c r="AM569" s="1222"/>
      <c r="AN569" s="1222"/>
      <c r="AO569" s="1222"/>
      <c r="AP569" s="1222"/>
      <c r="AQ569" s="1222"/>
      <c r="AR569" s="1222"/>
      <c r="AS569" s="1222"/>
      <c r="AT569" s="1222"/>
      <c r="AU569" s="1120"/>
      <c r="AV569" s="445"/>
      <c r="AW569" s="607"/>
      <c r="AX569" s="607"/>
      <c r="AY569" s="607"/>
      <c r="AZ569" s="1209"/>
      <c r="BA569" s="1209"/>
    </row>
    <row r="570" spans="2:53" s="256" customFormat="1" ht="24.95" customHeight="1">
      <c r="B570" s="445"/>
      <c r="C570" s="204"/>
      <c r="D570" s="204"/>
      <c r="E570" s="204"/>
      <c r="F570" s="368"/>
      <c r="G570" s="1134"/>
      <c r="H570" s="401"/>
      <c r="I570" s="317"/>
      <c r="N570" s="317"/>
      <c r="O570" s="1135"/>
      <c r="P570" s="1136"/>
      <c r="Q570" s="1137"/>
      <c r="R570" s="1120"/>
      <c r="S570" s="1120"/>
      <c r="T570" s="1120"/>
      <c r="U570" s="1120"/>
      <c r="V570" s="1120"/>
      <c r="W570" s="1120"/>
      <c r="Z570" s="1145"/>
      <c r="AA570" s="1120"/>
      <c r="AB570" s="1120"/>
      <c r="AC570" s="1120"/>
      <c r="AD570" s="1212"/>
      <c r="AE570" s="1212"/>
      <c r="AF570" s="1186"/>
      <c r="AG570" s="1186"/>
      <c r="AH570" s="1222"/>
      <c r="AI570" s="1222"/>
      <c r="AJ570" s="1222"/>
      <c r="AK570" s="1222"/>
      <c r="AL570" s="1222"/>
      <c r="AM570" s="1222"/>
      <c r="AN570" s="1222"/>
      <c r="AO570" s="1222"/>
      <c r="AP570" s="1222"/>
      <c r="AQ570" s="1222"/>
      <c r="AR570" s="1222"/>
      <c r="AS570" s="1222"/>
      <c r="AT570" s="1222"/>
      <c r="AU570" s="1120"/>
      <c r="AV570" s="445"/>
      <c r="AW570" s="607"/>
      <c r="AX570" s="607"/>
      <c r="AY570" s="607"/>
      <c r="AZ570" s="1209"/>
      <c r="BA570" s="1209"/>
    </row>
    <row r="571" spans="2:53" s="256" customFormat="1" ht="24.95" customHeight="1">
      <c r="B571" s="445"/>
      <c r="C571" s="204"/>
      <c r="D571" s="204"/>
      <c r="E571" s="204"/>
      <c r="F571" s="368"/>
      <c r="G571" s="1134"/>
      <c r="H571" s="401"/>
      <c r="I571" s="317"/>
      <c r="N571" s="317"/>
      <c r="O571" s="1135"/>
      <c r="P571" s="1136"/>
      <c r="Q571" s="1137"/>
      <c r="R571" s="1120"/>
      <c r="S571" s="1120"/>
      <c r="T571" s="1120"/>
      <c r="U571" s="1120"/>
      <c r="V571" s="1120"/>
      <c r="W571" s="1120"/>
      <c r="Z571" s="1145"/>
      <c r="AA571" s="1120"/>
      <c r="AB571" s="1120"/>
      <c r="AC571" s="1120"/>
      <c r="AD571" s="1212"/>
      <c r="AE571" s="1212"/>
      <c r="AF571" s="1186"/>
      <c r="AG571" s="1186"/>
      <c r="AH571" s="1222"/>
      <c r="AI571" s="1222"/>
      <c r="AJ571" s="1222"/>
      <c r="AK571" s="1222"/>
      <c r="AL571" s="1222"/>
      <c r="AM571" s="1222"/>
      <c r="AN571" s="1222"/>
      <c r="AO571" s="1222"/>
      <c r="AP571" s="1222"/>
      <c r="AQ571" s="1222"/>
      <c r="AR571" s="1222"/>
      <c r="AS571" s="1222"/>
      <c r="AT571" s="1222"/>
      <c r="AU571" s="1120"/>
      <c r="AV571" s="445"/>
      <c r="AW571" s="607"/>
      <c r="AX571" s="607"/>
      <c r="AY571" s="607"/>
      <c r="AZ571" s="1209"/>
      <c r="BA571" s="1209"/>
    </row>
    <row r="572" spans="2:53" s="256" customFormat="1" ht="24.95" customHeight="1">
      <c r="B572" s="445"/>
      <c r="C572" s="204"/>
      <c r="D572" s="204"/>
      <c r="E572" s="204"/>
      <c r="F572" s="368"/>
      <c r="G572" s="1134"/>
      <c r="H572" s="401"/>
      <c r="I572" s="317"/>
      <c r="N572" s="317"/>
      <c r="O572" s="1135"/>
      <c r="P572" s="1136"/>
      <c r="Q572" s="1137"/>
      <c r="R572" s="1120"/>
      <c r="S572" s="1120"/>
      <c r="T572" s="1120"/>
      <c r="U572" s="1120"/>
      <c r="V572" s="1120"/>
      <c r="W572" s="1120"/>
      <c r="Z572" s="1145"/>
      <c r="AA572" s="1120"/>
      <c r="AB572" s="1120"/>
      <c r="AC572" s="1120"/>
      <c r="AD572" s="1212"/>
      <c r="AE572" s="1212"/>
      <c r="AF572" s="1186"/>
      <c r="AG572" s="1186"/>
      <c r="AH572" s="1222"/>
      <c r="AI572" s="1222"/>
      <c r="AJ572" s="1222"/>
      <c r="AK572" s="1222"/>
      <c r="AL572" s="1222"/>
      <c r="AM572" s="1222"/>
      <c r="AN572" s="1222"/>
      <c r="AO572" s="1222"/>
      <c r="AP572" s="1222"/>
      <c r="AQ572" s="1222"/>
      <c r="AR572" s="1222"/>
      <c r="AS572" s="1222"/>
      <c r="AT572" s="1222"/>
      <c r="AU572" s="1120"/>
      <c r="AV572" s="445"/>
      <c r="AW572" s="607"/>
      <c r="AX572" s="607"/>
      <c r="AY572" s="607"/>
      <c r="AZ572" s="1209"/>
      <c r="BA572" s="1209"/>
    </row>
    <row r="573" spans="2:53" s="256" customFormat="1" ht="24.95" customHeight="1">
      <c r="B573" s="445"/>
      <c r="C573" s="204"/>
      <c r="D573" s="204"/>
      <c r="E573" s="204"/>
      <c r="F573" s="368"/>
      <c r="G573" s="1134"/>
      <c r="H573" s="401"/>
      <c r="I573" s="317"/>
      <c r="N573" s="317"/>
      <c r="O573" s="1135"/>
      <c r="P573" s="1136"/>
      <c r="Q573" s="1137"/>
      <c r="R573" s="1120"/>
      <c r="S573" s="1120"/>
      <c r="T573" s="1120"/>
      <c r="U573" s="1120"/>
      <c r="V573" s="1120"/>
      <c r="W573" s="1120"/>
      <c r="Z573" s="1145"/>
      <c r="AA573" s="1120"/>
      <c r="AB573" s="1120"/>
      <c r="AC573" s="1120"/>
      <c r="AD573" s="1212"/>
      <c r="AE573" s="1212"/>
      <c r="AF573" s="1186"/>
      <c r="AG573" s="1186"/>
      <c r="AH573" s="1222"/>
      <c r="AI573" s="1222"/>
      <c r="AJ573" s="1222"/>
      <c r="AK573" s="1222"/>
      <c r="AL573" s="1222"/>
      <c r="AM573" s="1222"/>
      <c r="AN573" s="1222"/>
      <c r="AO573" s="1222"/>
      <c r="AP573" s="1222"/>
      <c r="AQ573" s="1222"/>
      <c r="AR573" s="1222"/>
      <c r="AS573" s="1222"/>
      <c r="AT573" s="1222"/>
      <c r="AU573" s="1120"/>
      <c r="AV573" s="445"/>
      <c r="AW573" s="607"/>
      <c r="AX573" s="607"/>
      <c r="AY573" s="607"/>
      <c r="AZ573" s="1209"/>
      <c r="BA573" s="1209"/>
    </row>
    <row r="574" spans="2:53" s="256" customFormat="1" ht="24.95" customHeight="1">
      <c r="B574" s="445"/>
      <c r="C574" s="204"/>
      <c r="D574" s="204"/>
      <c r="E574" s="204"/>
      <c r="F574" s="368"/>
      <c r="G574" s="1134"/>
      <c r="H574" s="401"/>
      <c r="I574" s="317"/>
      <c r="N574" s="317"/>
      <c r="O574" s="1135"/>
      <c r="P574" s="1136"/>
      <c r="Q574" s="1137"/>
      <c r="R574" s="1120"/>
      <c r="S574" s="1120"/>
      <c r="T574" s="1120"/>
      <c r="U574" s="1120"/>
      <c r="V574" s="1120"/>
      <c r="W574" s="1120"/>
      <c r="Z574" s="1145"/>
      <c r="AA574" s="1120"/>
      <c r="AB574" s="1120"/>
      <c r="AC574" s="1120"/>
      <c r="AD574" s="1212"/>
      <c r="AE574" s="1212"/>
      <c r="AF574" s="1186"/>
      <c r="AG574" s="1186"/>
      <c r="AH574" s="1222"/>
      <c r="AI574" s="1222"/>
      <c r="AJ574" s="1222"/>
      <c r="AK574" s="1222"/>
      <c r="AL574" s="1222"/>
      <c r="AM574" s="1222"/>
      <c r="AN574" s="1222"/>
      <c r="AO574" s="1222"/>
      <c r="AP574" s="1222"/>
      <c r="AQ574" s="1222"/>
      <c r="AR574" s="1222"/>
      <c r="AS574" s="1222"/>
      <c r="AT574" s="1222"/>
      <c r="AU574" s="1120"/>
      <c r="AV574" s="445"/>
      <c r="AW574" s="607"/>
      <c r="AX574" s="607"/>
      <c r="AY574" s="607"/>
      <c r="AZ574" s="1209"/>
      <c r="BA574" s="1209"/>
    </row>
    <row r="575" spans="2:53" s="256" customFormat="1" ht="24.95" customHeight="1">
      <c r="B575" s="445"/>
      <c r="C575" s="204"/>
      <c r="D575" s="204"/>
      <c r="E575" s="204"/>
      <c r="F575" s="368"/>
      <c r="G575" s="1134"/>
      <c r="H575" s="401"/>
      <c r="I575" s="317"/>
      <c r="N575" s="317"/>
      <c r="O575" s="1135"/>
      <c r="P575" s="1136"/>
      <c r="Q575" s="1137"/>
      <c r="R575" s="1120"/>
      <c r="S575" s="1120"/>
      <c r="T575" s="1120"/>
      <c r="U575" s="1120"/>
      <c r="V575" s="1120"/>
      <c r="W575" s="1120"/>
      <c r="Z575" s="1145"/>
      <c r="AA575" s="1120"/>
      <c r="AB575" s="1120"/>
      <c r="AC575" s="1120"/>
      <c r="AD575" s="1212"/>
      <c r="AE575" s="1212"/>
      <c r="AF575" s="1186"/>
      <c r="AG575" s="1186"/>
      <c r="AH575" s="1222"/>
      <c r="AI575" s="1222"/>
      <c r="AJ575" s="1222"/>
      <c r="AK575" s="1222"/>
      <c r="AL575" s="1222"/>
      <c r="AM575" s="1222"/>
      <c r="AN575" s="1222"/>
      <c r="AO575" s="1222"/>
      <c r="AP575" s="1222"/>
      <c r="AQ575" s="1222"/>
      <c r="AR575" s="1222"/>
      <c r="AS575" s="1222"/>
      <c r="AT575" s="1222"/>
      <c r="AU575" s="1120"/>
      <c r="AV575" s="445"/>
      <c r="AW575" s="607"/>
      <c r="AX575" s="607"/>
      <c r="AY575" s="607"/>
      <c r="AZ575" s="1209"/>
      <c r="BA575" s="1209"/>
    </row>
    <row r="576" spans="2:53" s="256" customFormat="1" ht="24.95" customHeight="1">
      <c r="B576" s="445"/>
      <c r="C576" s="204"/>
      <c r="D576" s="204"/>
      <c r="E576" s="204"/>
      <c r="F576" s="368"/>
      <c r="G576" s="1134"/>
      <c r="H576" s="401"/>
      <c r="I576" s="317"/>
      <c r="N576" s="317"/>
      <c r="O576" s="1135"/>
      <c r="P576" s="1136"/>
      <c r="Q576" s="1137"/>
      <c r="R576" s="1120"/>
      <c r="S576" s="1120"/>
      <c r="T576" s="1120"/>
      <c r="U576" s="1120"/>
      <c r="V576" s="1120"/>
      <c r="W576" s="1120"/>
      <c r="Z576" s="1145"/>
      <c r="AA576" s="1120"/>
      <c r="AB576" s="1120"/>
      <c r="AC576" s="1120"/>
      <c r="AD576" s="1212"/>
      <c r="AE576" s="1212"/>
      <c r="AF576" s="1186"/>
      <c r="AG576" s="1186"/>
      <c r="AH576" s="1222"/>
      <c r="AI576" s="1222"/>
      <c r="AJ576" s="1222"/>
      <c r="AK576" s="1222"/>
      <c r="AL576" s="1222"/>
      <c r="AM576" s="1222"/>
      <c r="AN576" s="1222"/>
      <c r="AO576" s="1222"/>
      <c r="AP576" s="1222"/>
      <c r="AQ576" s="1222"/>
      <c r="AR576" s="1222"/>
      <c r="AS576" s="1222"/>
      <c r="AT576" s="1222"/>
      <c r="AU576" s="1120"/>
      <c r="AV576" s="445"/>
      <c r="AW576" s="607"/>
      <c r="AX576" s="607"/>
      <c r="AY576" s="607"/>
      <c r="AZ576" s="1209"/>
      <c r="BA576" s="1209"/>
    </row>
    <row r="577" spans="2:53" s="256" customFormat="1" ht="24.95" customHeight="1">
      <c r="B577" s="445"/>
      <c r="C577" s="204"/>
      <c r="D577" s="204"/>
      <c r="E577" s="204"/>
      <c r="F577" s="368"/>
      <c r="G577" s="1134"/>
      <c r="H577" s="401"/>
      <c r="I577" s="317"/>
      <c r="N577" s="317"/>
      <c r="O577" s="1135"/>
      <c r="P577" s="1136"/>
      <c r="Q577" s="1137"/>
      <c r="R577" s="1120"/>
      <c r="S577" s="1120"/>
      <c r="T577" s="1120"/>
      <c r="U577" s="1120"/>
      <c r="V577" s="1120"/>
      <c r="W577" s="1120"/>
      <c r="Z577" s="1145"/>
      <c r="AA577" s="1120"/>
      <c r="AB577" s="1120"/>
      <c r="AC577" s="1120"/>
      <c r="AD577" s="1212"/>
      <c r="AE577" s="1212"/>
      <c r="AF577" s="1186"/>
      <c r="AG577" s="1186"/>
      <c r="AH577" s="1222"/>
      <c r="AI577" s="1222"/>
      <c r="AJ577" s="1222"/>
      <c r="AK577" s="1222"/>
      <c r="AL577" s="1222"/>
      <c r="AM577" s="1222"/>
      <c r="AN577" s="1222"/>
      <c r="AO577" s="1222"/>
      <c r="AP577" s="1222"/>
      <c r="AQ577" s="1222"/>
      <c r="AR577" s="1222"/>
      <c r="AS577" s="1222"/>
      <c r="AT577" s="1222"/>
      <c r="AU577" s="1120"/>
      <c r="AV577" s="445"/>
      <c r="AW577" s="607"/>
      <c r="AX577" s="607"/>
      <c r="AY577" s="607"/>
      <c r="AZ577" s="1209"/>
      <c r="BA577" s="1209"/>
    </row>
    <row r="578" spans="2:53" s="256" customFormat="1" ht="24.95" customHeight="1">
      <c r="B578" s="445"/>
      <c r="C578" s="204"/>
      <c r="D578" s="204"/>
      <c r="E578" s="204"/>
      <c r="F578" s="368"/>
      <c r="G578" s="1134"/>
      <c r="H578" s="401"/>
      <c r="I578" s="317"/>
      <c r="N578" s="317"/>
      <c r="O578" s="1135"/>
      <c r="P578" s="1136"/>
      <c r="Q578" s="1137"/>
      <c r="R578" s="1120"/>
      <c r="S578" s="1120"/>
      <c r="T578" s="1120"/>
      <c r="U578" s="1120"/>
      <c r="V578" s="1120"/>
      <c r="W578" s="1120"/>
      <c r="Z578" s="1145"/>
      <c r="AA578" s="1120"/>
      <c r="AB578" s="1120"/>
      <c r="AC578" s="1120"/>
      <c r="AD578" s="1212"/>
      <c r="AE578" s="1212"/>
      <c r="AF578" s="1186"/>
      <c r="AG578" s="1186"/>
      <c r="AH578" s="1222"/>
      <c r="AI578" s="1222"/>
      <c r="AJ578" s="1222"/>
      <c r="AK578" s="1222"/>
      <c r="AL578" s="1222"/>
      <c r="AM578" s="1222"/>
      <c r="AN578" s="1222"/>
      <c r="AO578" s="1222"/>
      <c r="AP578" s="1222"/>
      <c r="AQ578" s="1222"/>
      <c r="AR578" s="1222"/>
      <c r="AS578" s="1222"/>
      <c r="AT578" s="1222"/>
      <c r="AU578" s="1120"/>
      <c r="AV578" s="445"/>
      <c r="AW578" s="607"/>
      <c r="AX578" s="607"/>
      <c r="AY578" s="607"/>
      <c r="AZ578" s="1209"/>
      <c r="BA578" s="1209"/>
    </row>
    <row r="579" spans="2:53" s="256" customFormat="1" ht="24.95" customHeight="1">
      <c r="B579" s="445"/>
      <c r="C579" s="204"/>
      <c r="D579" s="204"/>
      <c r="E579" s="204"/>
      <c r="F579" s="368"/>
      <c r="G579" s="1134"/>
      <c r="H579" s="401"/>
      <c r="I579" s="317"/>
      <c r="N579" s="317"/>
      <c r="O579" s="1135"/>
      <c r="P579" s="1136"/>
      <c r="Q579" s="1137"/>
      <c r="R579" s="1120"/>
      <c r="S579" s="1120"/>
      <c r="T579" s="1120"/>
      <c r="U579" s="1120"/>
      <c r="V579" s="1120"/>
      <c r="W579" s="1120"/>
      <c r="Z579" s="1145"/>
      <c r="AA579" s="1120"/>
      <c r="AB579" s="1120"/>
      <c r="AC579" s="1120"/>
      <c r="AD579" s="1212"/>
      <c r="AE579" s="1212"/>
      <c r="AF579" s="1186"/>
      <c r="AG579" s="1186"/>
      <c r="AH579" s="1222"/>
      <c r="AI579" s="1222"/>
      <c r="AJ579" s="1222"/>
      <c r="AK579" s="1222"/>
      <c r="AL579" s="1222"/>
      <c r="AM579" s="1222"/>
      <c r="AN579" s="1222"/>
      <c r="AO579" s="1222"/>
      <c r="AP579" s="1222"/>
      <c r="AQ579" s="1222"/>
      <c r="AR579" s="1222"/>
      <c r="AS579" s="1222"/>
      <c r="AT579" s="1222"/>
      <c r="AU579" s="1120"/>
      <c r="AV579" s="445"/>
      <c r="AW579" s="607"/>
      <c r="AX579" s="607"/>
      <c r="AY579" s="607"/>
      <c r="AZ579" s="1209"/>
      <c r="BA579" s="1209"/>
    </row>
    <row r="580" spans="2:53" s="256" customFormat="1" ht="24.95" customHeight="1">
      <c r="B580" s="445"/>
      <c r="C580" s="204"/>
      <c r="D580" s="204"/>
      <c r="E580" s="204"/>
      <c r="F580" s="368"/>
      <c r="G580" s="1134"/>
      <c r="H580" s="401"/>
      <c r="I580" s="317"/>
      <c r="N580" s="317"/>
      <c r="O580" s="1135"/>
      <c r="P580" s="1136"/>
      <c r="Q580" s="1137"/>
      <c r="R580" s="1120"/>
      <c r="S580" s="1120"/>
      <c r="T580" s="1120"/>
      <c r="U580" s="1120"/>
      <c r="V580" s="1120"/>
      <c r="W580" s="1120"/>
      <c r="Z580" s="1145"/>
      <c r="AA580" s="1120"/>
      <c r="AB580" s="1120"/>
      <c r="AC580" s="1120"/>
      <c r="AD580" s="1212"/>
      <c r="AE580" s="1212"/>
      <c r="AF580" s="1186"/>
      <c r="AG580" s="1186"/>
      <c r="AH580" s="1222"/>
      <c r="AI580" s="1222"/>
      <c r="AJ580" s="1222"/>
      <c r="AK580" s="1222"/>
      <c r="AL580" s="1222"/>
      <c r="AM580" s="1222"/>
      <c r="AN580" s="1222"/>
      <c r="AO580" s="1222"/>
      <c r="AP580" s="1222"/>
      <c r="AQ580" s="1222"/>
      <c r="AR580" s="1222"/>
      <c r="AS580" s="1222"/>
      <c r="AT580" s="1222"/>
      <c r="AU580" s="1120"/>
      <c r="AV580" s="445"/>
      <c r="AW580" s="607"/>
      <c r="AX580" s="607"/>
      <c r="AY580" s="607"/>
      <c r="AZ580" s="1209"/>
      <c r="BA580" s="1209"/>
    </row>
    <row r="581" spans="2:53" s="256" customFormat="1" ht="24.95" customHeight="1">
      <c r="B581" s="445"/>
      <c r="C581" s="204"/>
      <c r="D581" s="204"/>
      <c r="E581" s="204"/>
      <c r="F581" s="368"/>
      <c r="G581" s="1134"/>
      <c r="H581" s="401"/>
      <c r="I581" s="317"/>
      <c r="N581" s="317"/>
      <c r="O581" s="1135"/>
      <c r="P581" s="1136"/>
      <c r="Q581" s="1137"/>
      <c r="R581" s="1120"/>
      <c r="S581" s="1120"/>
      <c r="T581" s="1120"/>
      <c r="U581" s="1120"/>
      <c r="V581" s="1120"/>
      <c r="W581" s="1120"/>
      <c r="Z581" s="1145"/>
      <c r="AA581" s="1120"/>
      <c r="AB581" s="1120"/>
      <c r="AC581" s="1120"/>
      <c r="AD581" s="1212"/>
      <c r="AE581" s="1212"/>
      <c r="AF581" s="1186"/>
      <c r="AG581" s="1186"/>
      <c r="AH581" s="1222"/>
      <c r="AI581" s="1222"/>
      <c r="AJ581" s="1222"/>
      <c r="AK581" s="1222"/>
      <c r="AL581" s="1222"/>
      <c r="AM581" s="1222"/>
      <c r="AN581" s="1222"/>
      <c r="AO581" s="1222"/>
      <c r="AP581" s="1222"/>
      <c r="AQ581" s="1222"/>
      <c r="AR581" s="1222"/>
      <c r="AS581" s="1222"/>
      <c r="AT581" s="1222"/>
      <c r="AU581" s="1120"/>
      <c r="AV581" s="445"/>
      <c r="AW581" s="607"/>
      <c r="AX581" s="607"/>
      <c r="AY581" s="607"/>
      <c r="AZ581" s="1209"/>
      <c r="BA581" s="1209"/>
    </row>
    <row r="582" spans="2:53" s="256" customFormat="1" ht="24.95" customHeight="1">
      <c r="B582" s="445"/>
      <c r="C582" s="204"/>
      <c r="D582" s="204"/>
      <c r="E582" s="204"/>
      <c r="F582" s="368"/>
      <c r="G582" s="1134"/>
      <c r="H582" s="401"/>
      <c r="I582" s="317"/>
      <c r="N582" s="317"/>
      <c r="O582" s="1135"/>
      <c r="P582" s="1136"/>
      <c r="Q582" s="1137"/>
      <c r="R582" s="1120"/>
      <c r="S582" s="1120"/>
      <c r="T582" s="1120"/>
      <c r="U582" s="1120"/>
      <c r="V582" s="1120"/>
      <c r="W582" s="1120"/>
      <c r="Z582" s="1145"/>
      <c r="AA582" s="1120"/>
      <c r="AB582" s="1120"/>
      <c r="AC582" s="1120"/>
      <c r="AD582" s="1212"/>
      <c r="AE582" s="1212"/>
      <c r="AF582" s="1186"/>
      <c r="AG582" s="1186"/>
      <c r="AH582" s="1222"/>
      <c r="AI582" s="1222"/>
      <c r="AJ582" s="1222"/>
      <c r="AK582" s="1222"/>
      <c r="AL582" s="1222"/>
      <c r="AM582" s="1222"/>
      <c r="AN582" s="1222"/>
      <c r="AO582" s="1222"/>
      <c r="AP582" s="1222"/>
      <c r="AQ582" s="1222"/>
      <c r="AR582" s="1222"/>
      <c r="AS582" s="1222"/>
      <c r="AT582" s="1222"/>
      <c r="AU582" s="1120"/>
      <c r="AV582" s="445"/>
      <c r="AW582" s="607"/>
      <c r="AX582" s="607"/>
      <c r="AY582" s="607"/>
      <c r="AZ582" s="1209"/>
      <c r="BA582" s="1209"/>
    </row>
    <row r="583" spans="2:53" s="256" customFormat="1" ht="24.95" customHeight="1">
      <c r="B583" s="445"/>
      <c r="C583" s="204"/>
      <c r="D583" s="204"/>
      <c r="E583" s="204"/>
      <c r="F583" s="368"/>
      <c r="G583" s="1134"/>
      <c r="H583" s="401"/>
      <c r="I583" s="317"/>
      <c r="N583" s="317"/>
      <c r="O583" s="1135"/>
      <c r="P583" s="1136"/>
      <c r="Q583" s="1137"/>
      <c r="R583" s="1120"/>
      <c r="S583" s="1120"/>
      <c r="T583" s="1120"/>
      <c r="U583" s="1120"/>
      <c r="V583" s="1120"/>
      <c r="W583" s="1120"/>
      <c r="Z583" s="1145"/>
      <c r="AA583" s="1120"/>
      <c r="AB583" s="1120"/>
      <c r="AC583" s="1120"/>
      <c r="AD583" s="1212"/>
      <c r="AE583" s="1212"/>
      <c r="AF583" s="1186"/>
      <c r="AG583" s="1186"/>
      <c r="AH583" s="1222"/>
      <c r="AI583" s="1222"/>
      <c r="AJ583" s="1222"/>
      <c r="AK583" s="1222"/>
      <c r="AL583" s="1222"/>
      <c r="AM583" s="1222"/>
      <c r="AN583" s="1222"/>
      <c r="AO583" s="1222"/>
      <c r="AP583" s="1222"/>
      <c r="AQ583" s="1222"/>
      <c r="AR583" s="1222"/>
      <c r="AS583" s="1222"/>
      <c r="AT583" s="1222"/>
      <c r="AU583" s="1120"/>
      <c r="AV583" s="445"/>
      <c r="AW583" s="607"/>
      <c r="AX583" s="607"/>
      <c r="AY583" s="607"/>
      <c r="AZ583" s="1209"/>
      <c r="BA583" s="1209"/>
    </row>
    <row r="584" spans="2:53" s="256" customFormat="1" ht="24.95" customHeight="1">
      <c r="B584" s="445"/>
      <c r="C584" s="204"/>
      <c r="D584" s="204"/>
      <c r="E584" s="204"/>
      <c r="F584" s="368"/>
      <c r="G584" s="1134"/>
      <c r="H584" s="401"/>
      <c r="I584" s="317"/>
      <c r="N584" s="317"/>
      <c r="O584" s="1135"/>
      <c r="P584" s="1136"/>
      <c r="Q584" s="1137"/>
      <c r="R584" s="1120"/>
      <c r="S584" s="1120"/>
      <c r="T584" s="1120"/>
      <c r="U584" s="1120"/>
      <c r="V584" s="1120"/>
      <c r="W584" s="1120"/>
      <c r="Z584" s="1145"/>
      <c r="AA584" s="1120"/>
      <c r="AB584" s="1120"/>
      <c r="AC584" s="1120"/>
      <c r="AD584" s="1212"/>
      <c r="AE584" s="1212"/>
      <c r="AF584" s="1186"/>
      <c r="AG584" s="1186"/>
      <c r="AH584" s="1222"/>
      <c r="AI584" s="1222"/>
      <c r="AJ584" s="1222"/>
      <c r="AK584" s="1222"/>
      <c r="AL584" s="1222"/>
      <c r="AM584" s="1222"/>
      <c r="AN584" s="1222"/>
      <c r="AO584" s="1222"/>
      <c r="AP584" s="1222"/>
      <c r="AQ584" s="1222"/>
      <c r="AR584" s="1222"/>
      <c r="AS584" s="1222"/>
      <c r="AT584" s="1222"/>
      <c r="AU584" s="1120"/>
      <c r="AV584" s="445"/>
      <c r="AW584" s="607"/>
      <c r="AX584" s="607"/>
      <c r="AY584" s="607"/>
      <c r="AZ584" s="1209"/>
      <c r="BA584" s="1209"/>
    </row>
    <row r="585" spans="2:53" s="256" customFormat="1" ht="24.95" customHeight="1">
      <c r="B585" s="445"/>
      <c r="C585" s="204"/>
      <c r="D585" s="204"/>
      <c r="E585" s="204"/>
      <c r="F585" s="368"/>
      <c r="G585" s="1134"/>
      <c r="H585" s="401"/>
      <c r="I585" s="317"/>
      <c r="N585" s="317"/>
      <c r="O585" s="1135"/>
      <c r="P585" s="1136"/>
      <c r="Q585" s="1137"/>
      <c r="R585" s="1120"/>
      <c r="S585" s="1120"/>
      <c r="T585" s="1120"/>
      <c r="U585" s="1120"/>
      <c r="V585" s="1120"/>
      <c r="W585" s="1120"/>
      <c r="Z585" s="1145"/>
      <c r="AA585" s="1120"/>
      <c r="AB585" s="1120"/>
      <c r="AC585" s="1120"/>
      <c r="AD585" s="1212"/>
      <c r="AE585" s="1212"/>
      <c r="AF585" s="1186"/>
      <c r="AG585" s="1186"/>
      <c r="AH585" s="1222"/>
      <c r="AI585" s="1222"/>
      <c r="AJ585" s="1222"/>
      <c r="AK585" s="1222"/>
      <c r="AL585" s="1222"/>
      <c r="AM585" s="1222"/>
      <c r="AN585" s="1222"/>
      <c r="AO585" s="1222"/>
      <c r="AP585" s="1222"/>
      <c r="AQ585" s="1222"/>
      <c r="AR585" s="1222"/>
      <c r="AS585" s="1222"/>
      <c r="AT585" s="1222"/>
      <c r="AU585" s="1120"/>
      <c r="AV585" s="445"/>
      <c r="AW585" s="607"/>
      <c r="AX585" s="607"/>
      <c r="AY585" s="607"/>
      <c r="AZ585" s="1209"/>
      <c r="BA585" s="1209"/>
    </row>
    <row r="586" spans="2:53" s="256" customFormat="1" ht="24.95" customHeight="1">
      <c r="B586" s="445"/>
      <c r="C586" s="204"/>
      <c r="D586" s="204"/>
      <c r="E586" s="204"/>
      <c r="F586" s="368"/>
      <c r="G586" s="1134"/>
      <c r="H586" s="401"/>
      <c r="I586" s="317"/>
      <c r="N586" s="317"/>
      <c r="O586" s="1135"/>
      <c r="P586" s="1136"/>
      <c r="Q586" s="1137"/>
      <c r="R586" s="1120"/>
      <c r="S586" s="1120"/>
      <c r="T586" s="1120"/>
      <c r="U586" s="1120"/>
      <c r="V586" s="1120"/>
      <c r="W586" s="1120"/>
      <c r="Z586" s="1145"/>
      <c r="AA586" s="1120"/>
      <c r="AB586" s="1120"/>
      <c r="AC586" s="1120"/>
      <c r="AD586" s="1212"/>
      <c r="AE586" s="1212"/>
      <c r="AF586" s="1186"/>
      <c r="AG586" s="1186"/>
      <c r="AH586" s="1222"/>
      <c r="AI586" s="1222"/>
      <c r="AJ586" s="1222"/>
      <c r="AK586" s="1222"/>
      <c r="AL586" s="1222"/>
      <c r="AM586" s="1222"/>
      <c r="AN586" s="1222"/>
      <c r="AO586" s="1222"/>
      <c r="AP586" s="1222"/>
      <c r="AQ586" s="1222"/>
      <c r="AR586" s="1222"/>
      <c r="AS586" s="1222"/>
      <c r="AT586" s="1222"/>
      <c r="AU586" s="1120"/>
      <c r="AV586" s="445"/>
      <c r="AW586" s="607"/>
      <c r="AX586" s="607"/>
      <c r="AY586" s="607"/>
      <c r="AZ586" s="1209"/>
      <c r="BA586" s="1209"/>
    </row>
    <row r="587" spans="2:53" s="256" customFormat="1" ht="24.95" customHeight="1">
      <c r="B587" s="445"/>
      <c r="C587" s="204"/>
      <c r="D587" s="204"/>
      <c r="E587" s="204"/>
      <c r="F587" s="368"/>
      <c r="G587" s="1134"/>
      <c r="H587" s="401"/>
      <c r="I587" s="317"/>
      <c r="N587" s="317"/>
      <c r="O587" s="1135"/>
      <c r="P587" s="1136"/>
      <c r="Q587" s="1137"/>
      <c r="R587" s="1120"/>
      <c r="S587" s="1120"/>
      <c r="T587" s="1120"/>
      <c r="U587" s="1120"/>
      <c r="V587" s="1120"/>
      <c r="W587" s="1120"/>
      <c r="Z587" s="1145"/>
      <c r="AA587" s="1120"/>
      <c r="AB587" s="1120"/>
      <c r="AC587" s="1120"/>
      <c r="AD587" s="1212"/>
      <c r="AE587" s="1212"/>
      <c r="AF587" s="1186"/>
      <c r="AG587" s="1186"/>
      <c r="AH587" s="1222"/>
      <c r="AI587" s="1222"/>
      <c r="AJ587" s="1222"/>
      <c r="AK587" s="1222"/>
      <c r="AL587" s="1222"/>
      <c r="AM587" s="1222"/>
      <c r="AN587" s="1222"/>
      <c r="AO587" s="1222"/>
      <c r="AP587" s="1222"/>
      <c r="AQ587" s="1222"/>
      <c r="AR587" s="1222"/>
      <c r="AS587" s="1222"/>
      <c r="AT587" s="1222"/>
      <c r="AU587" s="1120"/>
      <c r="AV587" s="445"/>
      <c r="AW587" s="607"/>
      <c r="AX587" s="607"/>
      <c r="AY587" s="607"/>
      <c r="AZ587" s="1209"/>
      <c r="BA587" s="1209"/>
    </row>
    <row r="588" spans="2:53" s="256" customFormat="1" ht="24.95" customHeight="1">
      <c r="B588" s="445"/>
      <c r="C588" s="204"/>
      <c r="D588" s="204"/>
      <c r="E588" s="204"/>
      <c r="F588" s="368"/>
      <c r="G588" s="1134"/>
      <c r="H588" s="401"/>
      <c r="I588" s="317"/>
      <c r="N588" s="317"/>
      <c r="O588" s="1135"/>
      <c r="P588" s="1136"/>
      <c r="Q588" s="1137"/>
      <c r="R588" s="1120"/>
      <c r="S588" s="1120"/>
      <c r="T588" s="1120"/>
      <c r="U588" s="1120"/>
      <c r="V588" s="1120"/>
      <c r="W588" s="1120"/>
      <c r="Z588" s="1145"/>
      <c r="AA588" s="1120"/>
      <c r="AB588" s="1120"/>
      <c r="AC588" s="1120"/>
      <c r="AD588" s="1212"/>
      <c r="AE588" s="1212"/>
      <c r="AF588" s="1186"/>
      <c r="AG588" s="1186"/>
      <c r="AH588" s="1222"/>
      <c r="AI588" s="1222"/>
      <c r="AJ588" s="1222"/>
      <c r="AK588" s="1222"/>
      <c r="AL588" s="1222"/>
      <c r="AM588" s="1222"/>
      <c r="AN588" s="1222"/>
      <c r="AO588" s="1222"/>
      <c r="AP588" s="1222"/>
      <c r="AQ588" s="1222"/>
      <c r="AR588" s="1222"/>
      <c r="AS588" s="1222"/>
      <c r="AT588" s="1222"/>
      <c r="AU588" s="1120"/>
      <c r="AV588" s="445"/>
      <c r="AW588" s="607"/>
      <c r="AX588" s="607"/>
      <c r="AY588" s="607"/>
      <c r="AZ588" s="1209"/>
      <c r="BA588" s="1209"/>
    </row>
    <row r="589" spans="2:53" s="256" customFormat="1" ht="24.95" customHeight="1">
      <c r="B589" s="445"/>
      <c r="C589" s="204"/>
      <c r="D589" s="204"/>
      <c r="E589" s="204"/>
      <c r="F589" s="368"/>
      <c r="G589" s="1134"/>
      <c r="H589" s="401"/>
      <c r="I589" s="317"/>
      <c r="N589" s="317"/>
      <c r="O589" s="1135"/>
      <c r="P589" s="1136"/>
      <c r="Q589" s="1137"/>
      <c r="R589" s="1120"/>
      <c r="S589" s="1120"/>
      <c r="T589" s="1120"/>
      <c r="U589" s="1120"/>
      <c r="V589" s="1120"/>
      <c r="W589" s="1120"/>
      <c r="Z589" s="1145"/>
      <c r="AA589" s="1120"/>
      <c r="AB589" s="1120"/>
      <c r="AC589" s="1120"/>
      <c r="AD589" s="1212"/>
      <c r="AE589" s="1212"/>
      <c r="AF589" s="1186"/>
      <c r="AG589" s="1186"/>
      <c r="AH589" s="1222"/>
      <c r="AI589" s="1222"/>
      <c r="AJ589" s="1222"/>
      <c r="AK589" s="1222"/>
      <c r="AL589" s="1222"/>
      <c r="AM589" s="1222"/>
      <c r="AN589" s="1222"/>
      <c r="AO589" s="1222"/>
      <c r="AP589" s="1222"/>
      <c r="AQ589" s="1222"/>
      <c r="AR589" s="1222"/>
      <c r="AS589" s="1222"/>
      <c r="AT589" s="1222"/>
      <c r="AU589" s="1120"/>
      <c r="AV589" s="445"/>
      <c r="AW589" s="607"/>
      <c r="AX589" s="607"/>
      <c r="AY589" s="607"/>
      <c r="AZ589" s="1209"/>
      <c r="BA589" s="1209"/>
    </row>
    <row r="590" spans="2:53" s="256" customFormat="1" ht="24.95" customHeight="1">
      <c r="B590" s="445"/>
      <c r="C590" s="204"/>
      <c r="D590" s="204"/>
      <c r="E590" s="204"/>
      <c r="F590" s="368"/>
      <c r="G590" s="1134"/>
      <c r="H590" s="401"/>
      <c r="I590" s="317"/>
      <c r="N590" s="317"/>
      <c r="O590" s="1135"/>
      <c r="P590" s="1136"/>
      <c r="Q590" s="1137"/>
      <c r="R590" s="1120"/>
      <c r="S590" s="1120"/>
      <c r="T590" s="1120"/>
      <c r="U590" s="1120"/>
      <c r="V590" s="1120"/>
      <c r="W590" s="1120"/>
      <c r="Z590" s="1145"/>
      <c r="AA590" s="1120"/>
      <c r="AB590" s="1120"/>
      <c r="AC590" s="1120"/>
      <c r="AD590" s="1212"/>
      <c r="AE590" s="1212"/>
      <c r="AF590" s="1186"/>
      <c r="AG590" s="1186"/>
      <c r="AH590" s="1222"/>
      <c r="AI590" s="1222"/>
      <c r="AJ590" s="1222"/>
      <c r="AK590" s="1222"/>
      <c r="AL590" s="1222"/>
      <c r="AM590" s="1222"/>
      <c r="AN590" s="1222"/>
      <c r="AO590" s="1222"/>
      <c r="AP590" s="1222"/>
      <c r="AQ590" s="1222"/>
      <c r="AR590" s="1222"/>
      <c r="AS590" s="1222"/>
      <c r="AT590" s="1222"/>
      <c r="AU590" s="1120"/>
      <c r="AV590" s="445"/>
      <c r="AW590" s="607"/>
      <c r="AX590" s="607"/>
      <c r="AY590" s="607"/>
      <c r="AZ590" s="1209"/>
      <c r="BA590" s="1209"/>
    </row>
    <row r="591" spans="2:53" s="256" customFormat="1" ht="24.95" customHeight="1">
      <c r="B591" s="445"/>
      <c r="C591" s="204"/>
      <c r="D591" s="204"/>
      <c r="E591" s="204"/>
      <c r="F591" s="368"/>
      <c r="G591" s="1134"/>
      <c r="H591" s="401"/>
      <c r="I591" s="317"/>
      <c r="N591" s="317"/>
      <c r="O591" s="1135"/>
      <c r="P591" s="1136"/>
      <c r="Q591" s="1137"/>
      <c r="R591" s="1120"/>
      <c r="S591" s="1120"/>
      <c r="T591" s="1120"/>
      <c r="U591" s="1120"/>
      <c r="V591" s="1120"/>
      <c r="W591" s="1120"/>
      <c r="Z591" s="1145"/>
      <c r="AA591" s="1120"/>
      <c r="AB591" s="1120"/>
      <c r="AC591" s="1120"/>
      <c r="AD591" s="1212"/>
      <c r="AE591" s="1212"/>
      <c r="AF591" s="1186"/>
      <c r="AG591" s="1186"/>
      <c r="AH591" s="1222"/>
      <c r="AI591" s="1222"/>
      <c r="AJ591" s="1222"/>
      <c r="AK591" s="1222"/>
      <c r="AL591" s="1222"/>
      <c r="AM591" s="1222"/>
      <c r="AN591" s="1222"/>
      <c r="AO591" s="1222"/>
      <c r="AP591" s="1222"/>
      <c r="AQ591" s="1222"/>
      <c r="AR591" s="1222"/>
      <c r="AS591" s="1222"/>
      <c r="AT591" s="1222"/>
      <c r="AU591" s="1120"/>
      <c r="AV591" s="445"/>
      <c r="AW591" s="607"/>
      <c r="AX591" s="607"/>
      <c r="AY591" s="607"/>
      <c r="AZ591" s="1209"/>
      <c r="BA591" s="1209"/>
    </row>
    <row r="592" spans="2:53" s="256" customFormat="1" ht="24.95" customHeight="1">
      <c r="B592" s="445"/>
      <c r="C592" s="204"/>
      <c r="D592" s="204"/>
      <c r="E592" s="204"/>
      <c r="F592" s="368"/>
      <c r="G592" s="1134"/>
      <c r="H592" s="401"/>
      <c r="I592" s="317"/>
      <c r="N592" s="317"/>
      <c r="O592" s="1135"/>
      <c r="P592" s="1136"/>
      <c r="Q592" s="1137"/>
      <c r="R592" s="1120"/>
      <c r="S592" s="1120"/>
      <c r="T592" s="1120"/>
      <c r="U592" s="1120"/>
      <c r="V592" s="1120"/>
      <c r="W592" s="1120"/>
      <c r="Z592" s="1145"/>
      <c r="AA592" s="1120"/>
      <c r="AB592" s="1120"/>
      <c r="AC592" s="1120"/>
      <c r="AD592" s="1212"/>
      <c r="AE592" s="1212"/>
      <c r="AF592" s="1186"/>
      <c r="AG592" s="1186"/>
      <c r="AH592" s="1222"/>
      <c r="AI592" s="1222"/>
      <c r="AJ592" s="1222"/>
      <c r="AK592" s="1222"/>
      <c r="AL592" s="1222"/>
      <c r="AM592" s="1222"/>
      <c r="AN592" s="1222"/>
      <c r="AO592" s="1222"/>
      <c r="AP592" s="1222"/>
      <c r="AQ592" s="1222"/>
      <c r="AR592" s="1222"/>
      <c r="AS592" s="1222"/>
      <c r="AT592" s="1222"/>
      <c r="AU592" s="1120"/>
      <c r="AV592" s="445"/>
      <c r="AW592" s="607"/>
      <c r="AX592" s="607"/>
      <c r="AY592" s="607"/>
      <c r="AZ592" s="1209"/>
      <c r="BA592" s="1209"/>
    </row>
    <row r="593" spans="2:53" s="256" customFormat="1" ht="24.95" customHeight="1">
      <c r="B593" s="445"/>
      <c r="C593" s="204"/>
      <c r="D593" s="204"/>
      <c r="E593" s="204"/>
      <c r="F593" s="368"/>
      <c r="G593" s="1134"/>
      <c r="H593" s="401"/>
      <c r="I593" s="317"/>
      <c r="N593" s="317"/>
      <c r="O593" s="1135"/>
      <c r="P593" s="1136"/>
      <c r="Q593" s="1137"/>
      <c r="R593" s="1120"/>
      <c r="S593" s="1120"/>
      <c r="T593" s="1120"/>
      <c r="U593" s="1120"/>
      <c r="V593" s="1120"/>
      <c r="W593" s="1120"/>
      <c r="Z593" s="1145"/>
      <c r="AA593" s="1120"/>
      <c r="AB593" s="1120"/>
      <c r="AC593" s="1120"/>
      <c r="AD593" s="1212"/>
      <c r="AE593" s="1212"/>
      <c r="AF593" s="1186"/>
      <c r="AG593" s="1186"/>
      <c r="AH593" s="1222"/>
      <c r="AI593" s="1222"/>
      <c r="AJ593" s="1222"/>
      <c r="AK593" s="1222"/>
      <c r="AL593" s="1222"/>
      <c r="AM593" s="1222"/>
      <c r="AN593" s="1222"/>
      <c r="AO593" s="1222"/>
      <c r="AP593" s="1222"/>
      <c r="AQ593" s="1222"/>
      <c r="AR593" s="1222"/>
      <c r="AS593" s="1222"/>
      <c r="AT593" s="1222"/>
      <c r="AU593" s="1120"/>
      <c r="AV593" s="445"/>
      <c r="AW593" s="607"/>
      <c r="AX593" s="607"/>
      <c r="AY593" s="607"/>
      <c r="AZ593" s="1209"/>
      <c r="BA593" s="1209"/>
    </row>
    <row r="594" spans="2:53" s="256" customFormat="1" ht="24.95" customHeight="1">
      <c r="B594" s="445"/>
      <c r="C594" s="204"/>
      <c r="D594" s="204"/>
      <c r="E594" s="204"/>
      <c r="F594" s="368"/>
      <c r="G594" s="1134"/>
      <c r="H594" s="401"/>
      <c r="I594" s="317"/>
      <c r="N594" s="317"/>
      <c r="O594" s="1135"/>
      <c r="P594" s="1136"/>
      <c r="Q594" s="1137"/>
      <c r="R594" s="1120"/>
      <c r="S594" s="1120"/>
      <c r="T594" s="1120"/>
      <c r="U594" s="1120"/>
      <c r="V594" s="1120"/>
      <c r="W594" s="1120"/>
      <c r="Z594" s="1145"/>
      <c r="AA594" s="1120"/>
      <c r="AB594" s="1120"/>
      <c r="AC594" s="1120"/>
      <c r="AD594" s="1212"/>
      <c r="AE594" s="1212"/>
      <c r="AF594" s="1186"/>
      <c r="AG594" s="1186"/>
      <c r="AH594" s="1222"/>
      <c r="AI594" s="1222"/>
      <c r="AJ594" s="1222"/>
      <c r="AK594" s="1222"/>
      <c r="AL594" s="1222"/>
      <c r="AM594" s="1222"/>
      <c r="AN594" s="1222"/>
      <c r="AO594" s="1222"/>
      <c r="AP594" s="1222"/>
      <c r="AQ594" s="1222"/>
      <c r="AR594" s="1222"/>
      <c r="AS594" s="1222"/>
      <c r="AT594" s="1222"/>
      <c r="AU594" s="1120"/>
      <c r="AV594" s="445"/>
      <c r="AW594" s="607"/>
      <c r="AX594" s="607"/>
      <c r="AY594" s="607"/>
      <c r="AZ594" s="1209"/>
      <c r="BA594" s="1209"/>
    </row>
    <row r="595" spans="2:53" s="256" customFormat="1" ht="24.95" customHeight="1">
      <c r="B595" s="445"/>
      <c r="C595" s="204"/>
      <c r="D595" s="204"/>
      <c r="E595" s="204"/>
      <c r="F595" s="368"/>
      <c r="G595" s="1134"/>
      <c r="H595" s="401"/>
      <c r="I595" s="317"/>
      <c r="N595" s="317"/>
      <c r="O595" s="1135"/>
      <c r="P595" s="1136"/>
      <c r="Q595" s="1137"/>
      <c r="R595" s="1120"/>
      <c r="S595" s="1120"/>
      <c r="T595" s="1120"/>
      <c r="U595" s="1120"/>
      <c r="V595" s="1120"/>
      <c r="W595" s="1120"/>
      <c r="Z595" s="1145"/>
      <c r="AA595" s="1120"/>
      <c r="AB595" s="1120"/>
      <c r="AC595" s="1120"/>
      <c r="AD595" s="1212"/>
      <c r="AE595" s="1212"/>
      <c r="AF595" s="1186"/>
      <c r="AG595" s="1186"/>
      <c r="AH595" s="1222"/>
      <c r="AI595" s="1222"/>
      <c r="AJ595" s="1222"/>
      <c r="AK595" s="1222"/>
      <c r="AL595" s="1222"/>
      <c r="AM595" s="1222"/>
      <c r="AN595" s="1222"/>
      <c r="AO595" s="1222"/>
      <c r="AP595" s="1222"/>
      <c r="AQ595" s="1222"/>
      <c r="AR595" s="1222"/>
      <c r="AS595" s="1222"/>
      <c r="AT595" s="1222"/>
      <c r="AU595" s="1120"/>
      <c r="AV595" s="445"/>
      <c r="AW595" s="607"/>
      <c r="AX595" s="607"/>
      <c r="AY595" s="607"/>
      <c r="AZ595" s="1209"/>
      <c r="BA595" s="1209"/>
    </row>
    <row r="596" spans="2:53" s="256" customFormat="1" ht="24.95" customHeight="1">
      <c r="B596" s="445"/>
      <c r="C596" s="204"/>
      <c r="D596" s="204"/>
      <c r="E596" s="204"/>
      <c r="F596" s="368"/>
      <c r="G596" s="1134"/>
      <c r="H596" s="401"/>
      <c r="I596" s="317"/>
      <c r="N596" s="317"/>
      <c r="O596" s="1135"/>
      <c r="P596" s="1136"/>
      <c r="Q596" s="1137"/>
      <c r="R596" s="1120"/>
      <c r="S596" s="1120"/>
      <c r="T596" s="1120"/>
      <c r="U596" s="1120"/>
      <c r="V596" s="1120"/>
      <c r="W596" s="1120"/>
      <c r="Z596" s="1145"/>
      <c r="AA596" s="1120"/>
      <c r="AB596" s="1120"/>
      <c r="AC596" s="1120"/>
      <c r="AD596" s="1212"/>
      <c r="AE596" s="1212"/>
      <c r="AF596" s="1186"/>
      <c r="AG596" s="1186"/>
      <c r="AH596" s="1222"/>
      <c r="AI596" s="1222"/>
      <c r="AJ596" s="1222"/>
      <c r="AK596" s="1222"/>
      <c r="AL596" s="1222"/>
      <c r="AM596" s="1222"/>
      <c r="AN596" s="1222"/>
      <c r="AO596" s="1222"/>
      <c r="AP596" s="1222"/>
      <c r="AQ596" s="1222"/>
      <c r="AR596" s="1222"/>
      <c r="AS596" s="1222"/>
      <c r="AT596" s="1222"/>
      <c r="AU596" s="1120"/>
      <c r="AV596" s="445"/>
      <c r="AW596" s="607"/>
      <c r="AX596" s="607"/>
      <c r="AY596" s="607"/>
      <c r="AZ596" s="1209"/>
      <c r="BA596" s="1209"/>
    </row>
    <row r="597" spans="2:53" s="256" customFormat="1" ht="24.95" customHeight="1">
      <c r="B597" s="445"/>
      <c r="C597" s="204"/>
      <c r="D597" s="204"/>
      <c r="E597" s="204"/>
      <c r="F597" s="368"/>
      <c r="G597" s="1134"/>
      <c r="H597" s="401"/>
      <c r="I597" s="317"/>
      <c r="N597" s="317"/>
      <c r="O597" s="1135"/>
      <c r="P597" s="1136"/>
      <c r="Q597" s="1137"/>
      <c r="R597" s="1120"/>
      <c r="S597" s="1120"/>
      <c r="T597" s="1120"/>
      <c r="U597" s="1120"/>
      <c r="V597" s="1120"/>
      <c r="W597" s="1120"/>
      <c r="Z597" s="1145"/>
      <c r="AA597" s="1120"/>
      <c r="AB597" s="1120"/>
      <c r="AC597" s="1120"/>
      <c r="AD597" s="1212"/>
      <c r="AE597" s="1212"/>
      <c r="AF597" s="1186"/>
      <c r="AG597" s="1186"/>
      <c r="AH597" s="1222"/>
      <c r="AI597" s="1222"/>
      <c r="AJ597" s="1222"/>
      <c r="AK597" s="1222"/>
      <c r="AL597" s="1222"/>
      <c r="AM597" s="1222"/>
      <c r="AN597" s="1222"/>
      <c r="AO597" s="1222"/>
      <c r="AP597" s="1222"/>
      <c r="AQ597" s="1222"/>
      <c r="AR597" s="1222"/>
      <c r="AS597" s="1222"/>
      <c r="AT597" s="1222"/>
      <c r="AU597" s="1120"/>
      <c r="AV597" s="445"/>
      <c r="AW597" s="607"/>
      <c r="AX597" s="607"/>
      <c r="AY597" s="607"/>
      <c r="AZ597" s="1209"/>
      <c r="BA597" s="1209"/>
    </row>
    <row r="598" spans="2:53" s="256" customFormat="1" ht="24.95" customHeight="1">
      <c r="B598" s="445"/>
      <c r="C598" s="204"/>
      <c r="D598" s="204"/>
      <c r="E598" s="204"/>
      <c r="F598" s="368"/>
      <c r="G598" s="1134"/>
      <c r="H598" s="401"/>
      <c r="I598" s="317"/>
      <c r="N598" s="317"/>
      <c r="O598" s="1135"/>
      <c r="P598" s="1136"/>
      <c r="Q598" s="1137"/>
      <c r="R598" s="1120"/>
      <c r="S598" s="1120"/>
      <c r="T598" s="1120"/>
      <c r="U598" s="1120"/>
      <c r="V598" s="1120"/>
      <c r="W598" s="1120"/>
      <c r="Z598" s="1145"/>
      <c r="AA598" s="1120"/>
      <c r="AB598" s="1120"/>
      <c r="AC598" s="1120"/>
      <c r="AD598" s="1212"/>
      <c r="AE598" s="1212"/>
      <c r="AF598" s="1186"/>
      <c r="AG598" s="1186"/>
      <c r="AH598" s="1222"/>
      <c r="AI598" s="1222"/>
      <c r="AJ598" s="1222"/>
      <c r="AK598" s="1222"/>
      <c r="AL598" s="1222"/>
      <c r="AM598" s="1222"/>
      <c r="AN598" s="1222"/>
      <c r="AO598" s="1222"/>
      <c r="AP598" s="1222"/>
      <c r="AQ598" s="1222"/>
      <c r="AR598" s="1222"/>
      <c r="AS598" s="1222"/>
      <c r="AT598" s="1222"/>
      <c r="AU598" s="1120"/>
      <c r="AV598" s="445"/>
      <c r="AW598" s="607"/>
      <c r="AX598" s="607"/>
      <c r="AY598" s="607"/>
      <c r="AZ598" s="1209"/>
      <c r="BA598" s="1209"/>
    </row>
    <row r="599" spans="2:53" s="256" customFormat="1" ht="24.95" customHeight="1">
      <c r="B599" s="445"/>
      <c r="C599" s="204"/>
      <c r="D599" s="204"/>
      <c r="E599" s="204"/>
      <c r="F599" s="368"/>
      <c r="G599" s="1134"/>
      <c r="H599" s="401"/>
      <c r="I599" s="317"/>
      <c r="N599" s="317"/>
      <c r="O599" s="1135"/>
      <c r="P599" s="1136"/>
      <c r="Q599" s="1137"/>
      <c r="R599" s="1120"/>
      <c r="S599" s="1120"/>
      <c r="T599" s="1120"/>
      <c r="U599" s="1120"/>
      <c r="V599" s="1120"/>
      <c r="W599" s="1120"/>
      <c r="Z599" s="1145"/>
      <c r="AA599" s="1120"/>
      <c r="AB599" s="1120"/>
      <c r="AC599" s="1120"/>
      <c r="AD599" s="1212"/>
      <c r="AE599" s="1212"/>
      <c r="AF599" s="1186"/>
      <c r="AG599" s="1186"/>
      <c r="AH599" s="1222"/>
      <c r="AI599" s="1222"/>
      <c r="AJ599" s="1222"/>
      <c r="AK599" s="1222"/>
      <c r="AL599" s="1222"/>
      <c r="AM599" s="1222"/>
      <c r="AN599" s="1222"/>
      <c r="AO599" s="1222"/>
      <c r="AP599" s="1222"/>
      <c r="AQ599" s="1222"/>
      <c r="AR599" s="1222"/>
      <c r="AS599" s="1222"/>
      <c r="AT599" s="1222"/>
      <c r="AU599" s="1120"/>
      <c r="AV599" s="445"/>
      <c r="AW599" s="607"/>
      <c r="AX599" s="607"/>
      <c r="AY599" s="607"/>
      <c r="AZ599" s="1209"/>
      <c r="BA599" s="1209"/>
    </row>
    <row r="600" spans="2:53" s="256" customFormat="1" ht="24.95" customHeight="1">
      <c r="B600" s="445"/>
      <c r="C600" s="204"/>
      <c r="D600" s="204"/>
      <c r="E600" s="204"/>
      <c r="F600" s="368"/>
      <c r="G600" s="1134"/>
      <c r="H600" s="401"/>
      <c r="I600" s="317"/>
      <c r="N600" s="317"/>
      <c r="O600" s="1135"/>
      <c r="P600" s="1136"/>
      <c r="Q600" s="1137"/>
      <c r="R600" s="1120"/>
      <c r="S600" s="1120"/>
      <c r="T600" s="1120"/>
      <c r="U600" s="1120"/>
      <c r="V600" s="1120"/>
      <c r="W600" s="1120"/>
      <c r="Z600" s="1145"/>
      <c r="AA600" s="1120"/>
      <c r="AB600" s="1120"/>
      <c r="AC600" s="1120"/>
      <c r="AD600" s="1212"/>
      <c r="AE600" s="1212"/>
      <c r="AF600" s="1186"/>
      <c r="AG600" s="1186"/>
      <c r="AH600" s="1222"/>
      <c r="AI600" s="1222"/>
      <c r="AJ600" s="1222"/>
      <c r="AK600" s="1222"/>
      <c r="AL600" s="1222"/>
      <c r="AM600" s="1222"/>
      <c r="AN600" s="1222"/>
      <c r="AO600" s="1222"/>
      <c r="AP600" s="1222"/>
      <c r="AQ600" s="1222"/>
      <c r="AR600" s="1222"/>
      <c r="AS600" s="1222"/>
      <c r="AT600" s="1222"/>
      <c r="AU600" s="1120"/>
      <c r="AV600" s="445"/>
      <c r="AW600" s="607"/>
      <c r="AX600" s="607"/>
      <c r="AY600" s="607"/>
      <c r="AZ600" s="1209"/>
      <c r="BA600" s="1209"/>
    </row>
    <row r="601" spans="2:53" s="256" customFormat="1" ht="24.95" customHeight="1">
      <c r="B601" s="445"/>
      <c r="C601" s="204"/>
      <c r="D601" s="204"/>
      <c r="E601" s="204"/>
      <c r="F601" s="368"/>
      <c r="G601" s="1134"/>
      <c r="H601" s="401"/>
      <c r="I601" s="317"/>
      <c r="N601" s="317"/>
      <c r="O601" s="1135"/>
      <c r="P601" s="1136"/>
      <c r="Q601" s="1137"/>
      <c r="R601" s="1120"/>
      <c r="S601" s="1120"/>
      <c r="T601" s="1120"/>
      <c r="U601" s="1120"/>
      <c r="V601" s="1120"/>
      <c r="W601" s="1120"/>
      <c r="Z601" s="1145"/>
      <c r="AA601" s="1120"/>
      <c r="AB601" s="1120"/>
      <c r="AC601" s="1120"/>
      <c r="AD601" s="1212"/>
      <c r="AE601" s="1212"/>
      <c r="AF601" s="1186"/>
      <c r="AG601" s="1186"/>
      <c r="AH601" s="1222"/>
      <c r="AI601" s="1222"/>
      <c r="AJ601" s="1222"/>
      <c r="AK601" s="1222"/>
      <c r="AL601" s="1222"/>
      <c r="AM601" s="1222"/>
      <c r="AN601" s="1222"/>
      <c r="AO601" s="1222"/>
      <c r="AP601" s="1222"/>
      <c r="AQ601" s="1222"/>
      <c r="AR601" s="1222"/>
      <c r="AS601" s="1222"/>
      <c r="AT601" s="1222"/>
      <c r="AU601" s="1120"/>
      <c r="AV601" s="445"/>
      <c r="AW601" s="607"/>
      <c r="AX601" s="607"/>
      <c r="AY601" s="607"/>
      <c r="AZ601" s="1209"/>
      <c r="BA601" s="1209"/>
    </row>
    <row r="602" spans="2:53" s="256" customFormat="1" ht="24.95" customHeight="1">
      <c r="B602" s="445"/>
      <c r="C602" s="204"/>
      <c r="D602" s="204"/>
      <c r="E602" s="204"/>
      <c r="F602" s="368"/>
      <c r="G602" s="1134"/>
      <c r="H602" s="401"/>
      <c r="I602" s="317"/>
      <c r="N602" s="317"/>
      <c r="O602" s="1135"/>
      <c r="P602" s="1136"/>
      <c r="Q602" s="1137"/>
      <c r="R602" s="1120"/>
      <c r="S602" s="1120"/>
      <c r="T602" s="1120"/>
      <c r="U602" s="1120"/>
      <c r="V602" s="1120"/>
      <c r="W602" s="1120"/>
      <c r="Z602" s="1145"/>
      <c r="AA602" s="1120"/>
      <c r="AB602" s="1120"/>
      <c r="AC602" s="1120"/>
      <c r="AD602" s="1212"/>
      <c r="AE602" s="1212"/>
      <c r="AF602" s="1186"/>
      <c r="AG602" s="1186"/>
      <c r="AH602" s="1222"/>
      <c r="AI602" s="1222"/>
      <c r="AJ602" s="1222"/>
      <c r="AK602" s="1222"/>
      <c r="AL602" s="1222"/>
      <c r="AM602" s="1222"/>
      <c r="AN602" s="1222"/>
      <c r="AO602" s="1222"/>
      <c r="AP602" s="1222"/>
      <c r="AQ602" s="1222"/>
      <c r="AR602" s="1222"/>
      <c r="AS602" s="1222"/>
      <c r="AT602" s="1222"/>
      <c r="AU602" s="1120"/>
      <c r="AV602" s="445"/>
      <c r="AW602" s="607"/>
      <c r="AX602" s="607"/>
      <c r="AY602" s="607"/>
      <c r="AZ602" s="1209"/>
      <c r="BA602" s="1209"/>
    </row>
    <row r="603" spans="2:53" s="256" customFormat="1" ht="24.95" customHeight="1">
      <c r="B603" s="445"/>
      <c r="C603" s="204"/>
      <c r="D603" s="204"/>
      <c r="E603" s="204"/>
      <c r="F603" s="368"/>
      <c r="G603" s="1134"/>
      <c r="H603" s="401"/>
      <c r="I603" s="317"/>
      <c r="N603" s="317"/>
      <c r="O603" s="1135"/>
      <c r="P603" s="1136"/>
      <c r="Q603" s="1137"/>
      <c r="R603" s="1120"/>
      <c r="S603" s="1120"/>
      <c r="T603" s="1120"/>
      <c r="U603" s="1120"/>
      <c r="V603" s="1120"/>
      <c r="W603" s="1120"/>
      <c r="Z603" s="1145"/>
      <c r="AA603" s="1120"/>
      <c r="AB603" s="1120"/>
      <c r="AC603" s="1120"/>
      <c r="AD603" s="1212"/>
      <c r="AE603" s="1212"/>
      <c r="AF603" s="1186"/>
      <c r="AG603" s="1186"/>
      <c r="AH603" s="1222"/>
      <c r="AI603" s="1222"/>
      <c r="AJ603" s="1222"/>
      <c r="AK603" s="1222"/>
      <c r="AL603" s="1222"/>
      <c r="AM603" s="1222"/>
      <c r="AN603" s="1222"/>
      <c r="AO603" s="1222"/>
      <c r="AP603" s="1222"/>
      <c r="AQ603" s="1222"/>
      <c r="AR603" s="1222"/>
      <c r="AS603" s="1222"/>
      <c r="AT603" s="1222"/>
      <c r="AU603" s="1120"/>
      <c r="AV603" s="445"/>
      <c r="AW603" s="607"/>
      <c r="AX603" s="607"/>
      <c r="AY603" s="607"/>
      <c r="AZ603" s="1209"/>
      <c r="BA603" s="1209"/>
    </row>
    <row r="604" spans="2:53" s="256" customFormat="1" ht="24.95" customHeight="1">
      <c r="B604" s="445"/>
      <c r="C604" s="204"/>
      <c r="D604" s="204"/>
      <c r="E604" s="204"/>
      <c r="F604" s="368"/>
      <c r="G604" s="1134"/>
      <c r="H604" s="401"/>
      <c r="I604" s="317"/>
      <c r="N604" s="317"/>
      <c r="O604" s="1135"/>
      <c r="P604" s="1136"/>
      <c r="Q604" s="1137"/>
      <c r="R604" s="1120"/>
      <c r="S604" s="1120"/>
      <c r="T604" s="1120"/>
      <c r="U604" s="1120"/>
      <c r="V604" s="1120"/>
      <c r="W604" s="1120"/>
      <c r="Z604" s="1145"/>
      <c r="AA604" s="1120"/>
      <c r="AB604" s="1120"/>
      <c r="AC604" s="1120"/>
      <c r="AD604" s="1212"/>
      <c r="AE604" s="1212"/>
      <c r="AF604" s="1186"/>
      <c r="AG604" s="1186"/>
      <c r="AH604" s="1222"/>
      <c r="AI604" s="1222"/>
      <c r="AJ604" s="1222"/>
      <c r="AK604" s="1222"/>
      <c r="AL604" s="1222"/>
      <c r="AM604" s="1222"/>
      <c r="AN604" s="1222"/>
      <c r="AO604" s="1222"/>
      <c r="AP604" s="1222"/>
      <c r="AQ604" s="1222"/>
      <c r="AR604" s="1222"/>
      <c r="AS604" s="1222"/>
      <c r="AT604" s="1222"/>
      <c r="AU604" s="1120"/>
      <c r="AV604" s="445"/>
      <c r="AW604" s="607"/>
      <c r="AX604" s="607"/>
      <c r="AY604" s="607"/>
      <c r="AZ604" s="1209"/>
      <c r="BA604" s="1209"/>
    </row>
    <row r="605" spans="2:53" s="256" customFormat="1" ht="24.95" customHeight="1">
      <c r="B605" s="445"/>
      <c r="C605" s="204"/>
      <c r="D605" s="204"/>
      <c r="E605" s="204"/>
      <c r="F605" s="368"/>
      <c r="G605" s="1134"/>
      <c r="H605" s="401"/>
      <c r="I605" s="317"/>
      <c r="N605" s="317"/>
      <c r="O605" s="1135"/>
      <c r="P605" s="1136"/>
      <c r="Q605" s="1137"/>
      <c r="R605" s="1120"/>
      <c r="S605" s="1120"/>
      <c r="T605" s="1120"/>
      <c r="U605" s="1120"/>
      <c r="V605" s="1120"/>
      <c r="W605" s="1120"/>
      <c r="Z605" s="1145"/>
      <c r="AA605" s="1120"/>
      <c r="AB605" s="1120"/>
      <c r="AC605" s="1120"/>
      <c r="AD605" s="1212"/>
      <c r="AE605" s="1212"/>
      <c r="AF605" s="1186"/>
      <c r="AG605" s="1186"/>
      <c r="AH605" s="1222"/>
      <c r="AI605" s="1222"/>
      <c r="AJ605" s="1222"/>
      <c r="AK605" s="1222"/>
      <c r="AL605" s="1222"/>
      <c r="AM605" s="1222"/>
      <c r="AN605" s="1222"/>
      <c r="AO605" s="1222"/>
      <c r="AP605" s="1222"/>
      <c r="AQ605" s="1222"/>
      <c r="AR605" s="1222"/>
      <c r="AS605" s="1222"/>
      <c r="AT605" s="1222"/>
      <c r="AU605" s="1120"/>
      <c r="AV605" s="445"/>
      <c r="AW605" s="607"/>
      <c r="AX605" s="607"/>
      <c r="AY605" s="607"/>
      <c r="AZ605" s="1209"/>
      <c r="BA605" s="1209"/>
    </row>
    <row r="606" spans="2:53" s="256" customFormat="1" ht="24.95" customHeight="1">
      <c r="B606" s="445"/>
      <c r="C606" s="204"/>
      <c r="D606" s="204"/>
      <c r="E606" s="204"/>
      <c r="F606" s="368"/>
      <c r="G606" s="1134"/>
      <c r="H606" s="401"/>
      <c r="I606" s="317"/>
      <c r="N606" s="317"/>
      <c r="O606" s="1135"/>
      <c r="P606" s="1136"/>
      <c r="Q606" s="1137"/>
      <c r="R606" s="1120"/>
      <c r="S606" s="1120"/>
      <c r="T606" s="1120"/>
      <c r="U606" s="1120"/>
      <c r="V606" s="1120"/>
      <c r="W606" s="1120"/>
      <c r="Z606" s="1145"/>
      <c r="AA606" s="1120"/>
      <c r="AB606" s="1120"/>
      <c r="AC606" s="1120"/>
      <c r="AD606" s="1212"/>
      <c r="AE606" s="1212"/>
      <c r="AF606" s="1186"/>
      <c r="AG606" s="1186"/>
      <c r="AH606" s="1222"/>
      <c r="AI606" s="1222"/>
      <c r="AJ606" s="1222"/>
      <c r="AK606" s="1222"/>
      <c r="AL606" s="1222"/>
      <c r="AM606" s="1222"/>
      <c r="AN606" s="1222"/>
      <c r="AO606" s="1222"/>
      <c r="AP606" s="1222"/>
      <c r="AQ606" s="1222"/>
      <c r="AR606" s="1222"/>
      <c r="AS606" s="1222"/>
      <c r="AT606" s="1222"/>
      <c r="AU606" s="1120"/>
      <c r="AV606" s="445"/>
      <c r="AW606" s="607"/>
      <c r="AX606" s="607"/>
      <c r="AY606" s="607"/>
      <c r="AZ606" s="1209"/>
      <c r="BA606" s="1209"/>
    </row>
    <row r="607" spans="2:53" s="256" customFormat="1" ht="24.95" customHeight="1">
      <c r="B607" s="445"/>
      <c r="C607" s="204"/>
      <c r="D607" s="204"/>
      <c r="E607" s="204"/>
      <c r="F607" s="368"/>
      <c r="G607" s="1134"/>
      <c r="H607" s="401"/>
      <c r="I607" s="317"/>
      <c r="N607" s="317"/>
      <c r="O607" s="1135"/>
      <c r="P607" s="1136"/>
      <c r="Q607" s="1137"/>
      <c r="R607" s="1120"/>
      <c r="S607" s="1120"/>
      <c r="T607" s="1120"/>
      <c r="U607" s="1120"/>
      <c r="V607" s="1120"/>
      <c r="W607" s="1120"/>
      <c r="Z607" s="1145"/>
      <c r="AA607" s="1120"/>
      <c r="AB607" s="1120"/>
      <c r="AC607" s="1120"/>
      <c r="AD607" s="1212"/>
      <c r="AE607" s="1212"/>
      <c r="AF607" s="1186"/>
      <c r="AG607" s="1186"/>
      <c r="AH607" s="1222"/>
      <c r="AI607" s="1222"/>
      <c r="AJ607" s="1222"/>
      <c r="AK607" s="1222"/>
      <c r="AL607" s="1222"/>
      <c r="AM607" s="1222"/>
      <c r="AN607" s="1222"/>
      <c r="AO607" s="1222"/>
      <c r="AP607" s="1222"/>
      <c r="AQ607" s="1222"/>
      <c r="AR607" s="1222"/>
      <c r="AS607" s="1222"/>
      <c r="AT607" s="1222"/>
      <c r="AU607" s="1120"/>
      <c r="AV607" s="445"/>
      <c r="AW607" s="607"/>
      <c r="AX607" s="607"/>
      <c r="AY607" s="607"/>
      <c r="AZ607" s="1209"/>
      <c r="BA607" s="1209"/>
    </row>
    <row r="608" spans="2:53" s="256" customFormat="1" ht="24.95" customHeight="1">
      <c r="B608" s="445"/>
      <c r="C608" s="204"/>
      <c r="D608" s="204"/>
      <c r="E608" s="204"/>
      <c r="F608" s="368"/>
      <c r="G608" s="1134"/>
      <c r="H608" s="401"/>
      <c r="I608" s="317"/>
      <c r="N608" s="317"/>
      <c r="O608" s="1135"/>
      <c r="P608" s="1136"/>
      <c r="Q608" s="1137"/>
      <c r="R608" s="1120"/>
      <c r="S608" s="1120"/>
      <c r="T608" s="1120"/>
      <c r="U608" s="1120"/>
      <c r="V608" s="1120"/>
      <c r="W608" s="1120"/>
      <c r="Z608" s="1145"/>
      <c r="AA608" s="1120"/>
      <c r="AB608" s="1120"/>
      <c r="AC608" s="1120"/>
      <c r="AD608" s="1212"/>
      <c r="AE608" s="1212"/>
      <c r="AF608" s="1186"/>
      <c r="AG608" s="1186"/>
      <c r="AH608" s="1222"/>
      <c r="AI608" s="1222"/>
      <c r="AJ608" s="1222"/>
      <c r="AK608" s="1222"/>
      <c r="AL608" s="1222"/>
      <c r="AM608" s="1222"/>
      <c r="AN608" s="1222"/>
      <c r="AO608" s="1222"/>
      <c r="AP608" s="1222"/>
      <c r="AQ608" s="1222"/>
      <c r="AR608" s="1222"/>
      <c r="AS608" s="1222"/>
      <c r="AT608" s="1222"/>
      <c r="AU608" s="1120"/>
      <c r="AV608" s="445"/>
      <c r="AW608" s="607"/>
      <c r="AX608" s="607"/>
      <c r="AY608" s="607"/>
      <c r="AZ608" s="1209"/>
      <c r="BA608" s="1209"/>
    </row>
    <row r="609" spans="2:53" s="256" customFormat="1" ht="24.95" customHeight="1">
      <c r="B609" s="445"/>
      <c r="C609" s="204"/>
      <c r="D609" s="204"/>
      <c r="E609" s="204"/>
      <c r="F609" s="368"/>
      <c r="G609" s="1134"/>
      <c r="H609" s="401"/>
      <c r="I609" s="317"/>
      <c r="N609" s="317"/>
      <c r="O609" s="1135"/>
      <c r="P609" s="1136"/>
      <c r="Q609" s="1137"/>
      <c r="R609" s="1120"/>
      <c r="S609" s="1120"/>
      <c r="T609" s="1120"/>
      <c r="U609" s="1120"/>
      <c r="V609" s="1120"/>
      <c r="W609" s="1120"/>
      <c r="Z609" s="1145"/>
      <c r="AA609" s="1120"/>
      <c r="AB609" s="1120"/>
      <c r="AC609" s="1120"/>
      <c r="AD609" s="1212"/>
      <c r="AE609" s="1212"/>
      <c r="AF609" s="1186"/>
      <c r="AG609" s="1186"/>
      <c r="AH609" s="1222"/>
      <c r="AI609" s="1222"/>
      <c r="AJ609" s="1222"/>
      <c r="AK609" s="1222"/>
      <c r="AL609" s="1222"/>
      <c r="AM609" s="1222"/>
      <c r="AN609" s="1222"/>
      <c r="AO609" s="1222"/>
      <c r="AP609" s="1222"/>
      <c r="AQ609" s="1222"/>
      <c r="AR609" s="1222"/>
      <c r="AS609" s="1222"/>
      <c r="AT609" s="1222"/>
      <c r="AU609" s="1120"/>
      <c r="AV609" s="445"/>
      <c r="AW609" s="607"/>
      <c r="AX609" s="607"/>
      <c r="AY609" s="607"/>
      <c r="AZ609" s="1209"/>
      <c r="BA609" s="1209"/>
    </row>
    <row r="610" spans="2:53" s="256" customFormat="1" ht="24.95" customHeight="1">
      <c r="B610" s="445"/>
      <c r="C610" s="204"/>
      <c r="D610" s="204"/>
      <c r="E610" s="204"/>
      <c r="F610" s="368"/>
      <c r="G610" s="1134"/>
      <c r="H610" s="401"/>
      <c r="I610" s="317"/>
      <c r="N610" s="317"/>
      <c r="O610" s="1135"/>
      <c r="P610" s="1136"/>
      <c r="Q610" s="1137"/>
      <c r="R610" s="1120"/>
      <c r="S610" s="1120"/>
      <c r="T610" s="1120"/>
      <c r="U610" s="1120"/>
      <c r="V610" s="1120"/>
      <c r="W610" s="1120"/>
      <c r="Z610" s="1145"/>
      <c r="AA610" s="1120"/>
      <c r="AB610" s="1120"/>
      <c r="AC610" s="1120"/>
      <c r="AD610" s="1212"/>
      <c r="AE610" s="1212"/>
      <c r="AF610" s="1186"/>
      <c r="AG610" s="1186"/>
      <c r="AH610" s="1222"/>
      <c r="AI610" s="1222"/>
      <c r="AJ610" s="1222"/>
      <c r="AK610" s="1222"/>
      <c r="AL610" s="1222"/>
      <c r="AM610" s="1222"/>
      <c r="AN610" s="1222"/>
      <c r="AO610" s="1222"/>
      <c r="AP610" s="1222"/>
      <c r="AQ610" s="1222"/>
      <c r="AR610" s="1222"/>
      <c r="AS610" s="1222"/>
      <c r="AT610" s="1222"/>
      <c r="AU610" s="1120"/>
      <c r="AV610" s="445"/>
      <c r="AW610" s="607"/>
      <c r="AX610" s="607"/>
      <c r="AY610" s="607"/>
      <c r="AZ610" s="1209"/>
      <c r="BA610" s="1209"/>
    </row>
    <row r="611" spans="2:53" s="256" customFormat="1" ht="24.95" customHeight="1">
      <c r="B611" s="445"/>
      <c r="C611" s="204"/>
      <c r="D611" s="204"/>
      <c r="E611" s="204"/>
      <c r="F611" s="368"/>
      <c r="G611" s="1134"/>
      <c r="H611" s="401"/>
      <c r="I611" s="317"/>
      <c r="N611" s="317"/>
      <c r="O611" s="1135"/>
      <c r="P611" s="1136"/>
      <c r="Q611" s="1137"/>
      <c r="R611" s="1120"/>
      <c r="S611" s="1120"/>
      <c r="T611" s="1120"/>
      <c r="U611" s="1120"/>
      <c r="V611" s="1120"/>
      <c r="W611" s="1120"/>
      <c r="Z611" s="1145"/>
      <c r="AA611" s="1120"/>
      <c r="AB611" s="1120"/>
      <c r="AC611" s="1120"/>
      <c r="AD611" s="1212"/>
      <c r="AE611" s="1212"/>
      <c r="AF611" s="1186"/>
      <c r="AG611" s="1186"/>
      <c r="AH611" s="1222"/>
      <c r="AI611" s="1222"/>
      <c r="AJ611" s="1222"/>
      <c r="AK611" s="1222"/>
      <c r="AL611" s="1222"/>
      <c r="AM611" s="1222"/>
      <c r="AN611" s="1222"/>
      <c r="AO611" s="1222"/>
      <c r="AP611" s="1222"/>
      <c r="AQ611" s="1222"/>
      <c r="AR611" s="1222"/>
      <c r="AS611" s="1222"/>
      <c r="AT611" s="1222"/>
      <c r="AU611" s="1120"/>
      <c r="AV611" s="445"/>
      <c r="AW611" s="607"/>
      <c r="AX611" s="607"/>
      <c r="AY611" s="607"/>
      <c r="AZ611" s="1209"/>
      <c r="BA611" s="1209"/>
    </row>
    <row r="612" spans="2:53" s="256" customFormat="1" ht="24.95" customHeight="1">
      <c r="B612" s="445"/>
      <c r="C612" s="204"/>
      <c r="D612" s="204"/>
      <c r="E612" s="204"/>
      <c r="F612" s="368"/>
      <c r="G612" s="1134"/>
      <c r="H612" s="401"/>
      <c r="I612" s="317"/>
      <c r="N612" s="317"/>
      <c r="O612" s="1135"/>
      <c r="P612" s="1136"/>
      <c r="Q612" s="1137"/>
      <c r="R612" s="1120"/>
      <c r="S612" s="1120"/>
      <c r="T612" s="1120"/>
      <c r="U612" s="1120"/>
      <c r="V612" s="1120"/>
      <c r="W612" s="1120"/>
      <c r="Z612" s="1145"/>
      <c r="AA612" s="1120"/>
      <c r="AB612" s="1120"/>
      <c r="AC612" s="1120"/>
      <c r="AD612" s="1212"/>
      <c r="AE612" s="1212"/>
      <c r="AF612" s="1186"/>
      <c r="AG612" s="1186"/>
      <c r="AH612" s="1222"/>
      <c r="AI612" s="1222"/>
      <c r="AJ612" s="1222"/>
      <c r="AK612" s="1222"/>
      <c r="AL612" s="1222"/>
      <c r="AM612" s="1222"/>
      <c r="AN612" s="1222"/>
      <c r="AO612" s="1222"/>
      <c r="AP612" s="1222"/>
      <c r="AQ612" s="1222"/>
      <c r="AR612" s="1222"/>
      <c r="AS612" s="1222"/>
      <c r="AT612" s="1222"/>
      <c r="AU612" s="1120"/>
      <c r="AV612" s="445"/>
      <c r="AW612" s="607"/>
      <c r="AX612" s="607"/>
      <c r="AY612" s="607"/>
      <c r="AZ612" s="1209"/>
      <c r="BA612" s="1209"/>
    </row>
    <row r="613" spans="2:53" s="256" customFormat="1" ht="24.95" customHeight="1">
      <c r="B613" s="445"/>
      <c r="C613" s="204"/>
      <c r="D613" s="204"/>
      <c r="E613" s="204"/>
      <c r="F613" s="368"/>
      <c r="G613" s="1134"/>
      <c r="H613" s="401"/>
      <c r="I613" s="317"/>
      <c r="N613" s="317"/>
      <c r="O613" s="1135"/>
      <c r="P613" s="1136"/>
      <c r="Q613" s="1137"/>
      <c r="R613" s="1120"/>
      <c r="S613" s="1120"/>
      <c r="T613" s="1120"/>
      <c r="U613" s="1120"/>
      <c r="V613" s="1120"/>
      <c r="W613" s="1120"/>
      <c r="Z613" s="1145"/>
      <c r="AA613" s="1120"/>
      <c r="AB613" s="1120"/>
      <c r="AC613" s="1120"/>
      <c r="AD613" s="1212"/>
      <c r="AE613" s="1212"/>
      <c r="AF613" s="1186"/>
      <c r="AG613" s="1186"/>
      <c r="AH613" s="1222"/>
      <c r="AI613" s="1222"/>
      <c r="AJ613" s="1222"/>
      <c r="AK613" s="1222"/>
      <c r="AL613" s="1222"/>
      <c r="AM613" s="1222"/>
      <c r="AN613" s="1222"/>
      <c r="AO613" s="1222"/>
      <c r="AP613" s="1222"/>
      <c r="AQ613" s="1222"/>
      <c r="AR613" s="1222"/>
      <c r="AS613" s="1222"/>
      <c r="AT613" s="1222"/>
      <c r="AU613" s="1120"/>
      <c r="AV613" s="445"/>
      <c r="AW613" s="607"/>
      <c r="AX613" s="607"/>
      <c r="AY613" s="607"/>
      <c r="AZ613" s="1209"/>
      <c r="BA613" s="1209"/>
    </row>
    <row r="614" spans="2:53" s="256" customFormat="1" ht="24.95" customHeight="1">
      <c r="B614" s="445"/>
      <c r="C614" s="204"/>
      <c r="D614" s="204"/>
      <c r="E614" s="204"/>
      <c r="F614" s="368"/>
      <c r="G614" s="1134"/>
      <c r="H614" s="401"/>
      <c r="I614" s="317"/>
      <c r="N614" s="317"/>
      <c r="O614" s="1135"/>
      <c r="P614" s="1136"/>
      <c r="Q614" s="1137"/>
      <c r="R614" s="1120"/>
      <c r="S614" s="1120"/>
      <c r="T614" s="1120"/>
      <c r="U614" s="1120"/>
      <c r="V614" s="1120"/>
      <c r="W614" s="1120"/>
      <c r="Z614" s="1145"/>
      <c r="AA614" s="1120"/>
      <c r="AB614" s="1120"/>
      <c r="AC614" s="1120"/>
      <c r="AD614" s="1212"/>
      <c r="AE614" s="1212"/>
      <c r="AF614" s="1186"/>
      <c r="AG614" s="1186"/>
      <c r="AH614" s="1222"/>
      <c r="AI614" s="1222"/>
      <c r="AJ614" s="1222"/>
      <c r="AK614" s="1222"/>
      <c r="AL614" s="1222"/>
      <c r="AM614" s="1222"/>
      <c r="AN614" s="1222"/>
      <c r="AO614" s="1222"/>
      <c r="AP614" s="1222"/>
      <c r="AQ614" s="1222"/>
      <c r="AR614" s="1222"/>
      <c r="AS614" s="1222"/>
      <c r="AT614" s="1222"/>
      <c r="AU614" s="1120"/>
      <c r="AV614" s="445"/>
      <c r="AW614" s="607"/>
      <c r="AX614" s="607"/>
      <c r="AY614" s="607"/>
      <c r="AZ614" s="1209"/>
      <c r="BA614" s="1209"/>
    </row>
    <row r="615" spans="2:53" s="256" customFormat="1" ht="24.95" customHeight="1">
      <c r="B615" s="445"/>
      <c r="C615" s="204"/>
      <c r="D615" s="204"/>
      <c r="E615" s="204"/>
      <c r="F615" s="368"/>
      <c r="G615" s="1134"/>
      <c r="H615" s="401"/>
      <c r="I615" s="317"/>
      <c r="N615" s="317"/>
      <c r="O615" s="1135"/>
      <c r="P615" s="1136"/>
      <c r="Q615" s="1137"/>
      <c r="R615" s="1120"/>
      <c r="S615" s="1120"/>
      <c r="T615" s="1120"/>
      <c r="U615" s="1120"/>
      <c r="V615" s="1120"/>
      <c r="W615" s="1120"/>
      <c r="Z615" s="1145"/>
      <c r="AA615" s="1120"/>
      <c r="AB615" s="1120"/>
      <c r="AC615" s="1120"/>
      <c r="AD615" s="1212"/>
      <c r="AE615" s="1212"/>
      <c r="AF615" s="1186"/>
      <c r="AG615" s="1186"/>
      <c r="AH615" s="1222"/>
      <c r="AI615" s="1222"/>
      <c r="AJ615" s="1222"/>
      <c r="AK615" s="1222"/>
      <c r="AL615" s="1222"/>
      <c r="AM615" s="1222"/>
      <c r="AN615" s="1222"/>
      <c r="AO615" s="1222"/>
      <c r="AP615" s="1222"/>
      <c r="AQ615" s="1222"/>
      <c r="AR615" s="1222"/>
      <c r="AS615" s="1222"/>
      <c r="AT615" s="1222"/>
      <c r="AU615" s="1120"/>
      <c r="AV615" s="445"/>
      <c r="AW615" s="607"/>
      <c r="AX615" s="607"/>
      <c r="AY615" s="607"/>
      <c r="AZ615" s="1209"/>
      <c r="BA615" s="1209"/>
    </row>
    <row r="616" spans="2:53" s="256" customFormat="1" ht="24.95" customHeight="1">
      <c r="B616" s="445"/>
      <c r="C616" s="204"/>
      <c r="D616" s="204"/>
      <c r="E616" s="204"/>
      <c r="F616" s="368"/>
      <c r="G616" s="1134"/>
      <c r="H616" s="401"/>
      <c r="I616" s="317"/>
      <c r="N616" s="317"/>
      <c r="O616" s="1135"/>
      <c r="P616" s="1136"/>
      <c r="Q616" s="1137"/>
      <c r="R616" s="1120"/>
      <c r="S616" s="1120"/>
      <c r="T616" s="1120"/>
      <c r="U616" s="1120"/>
      <c r="V616" s="1120"/>
      <c r="W616" s="1120"/>
      <c r="Z616" s="1145"/>
      <c r="AA616" s="1120"/>
      <c r="AB616" s="1120"/>
      <c r="AC616" s="1120"/>
      <c r="AD616" s="1212"/>
      <c r="AE616" s="1212"/>
      <c r="AF616" s="1186"/>
      <c r="AG616" s="1186"/>
      <c r="AH616" s="1222"/>
      <c r="AI616" s="1222"/>
      <c r="AJ616" s="1222"/>
      <c r="AK616" s="1222"/>
      <c r="AL616" s="1222"/>
      <c r="AM616" s="1222"/>
      <c r="AN616" s="1222"/>
      <c r="AO616" s="1222"/>
      <c r="AP616" s="1222"/>
      <c r="AQ616" s="1222"/>
      <c r="AR616" s="1222"/>
      <c r="AS616" s="1222"/>
      <c r="AT616" s="1222"/>
      <c r="AU616" s="1120"/>
      <c r="AV616" s="445"/>
      <c r="AW616" s="607"/>
      <c r="AX616" s="607"/>
      <c r="AY616" s="607"/>
      <c r="AZ616" s="1209"/>
      <c r="BA616" s="1209"/>
    </row>
    <row r="617" spans="2:53" s="256" customFormat="1" ht="24.95" customHeight="1">
      <c r="B617" s="445"/>
      <c r="C617" s="204"/>
      <c r="D617" s="204"/>
      <c r="E617" s="204"/>
      <c r="F617" s="368"/>
      <c r="G617" s="1134"/>
      <c r="H617" s="401"/>
      <c r="I617" s="317"/>
      <c r="N617" s="317"/>
      <c r="O617" s="1135"/>
      <c r="P617" s="1136"/>
      <c r="Q617" s="1137"/>
      <c r="R617" s="1120"/>
      <c r="S617" s="1120"/>
      <c r="T617" s="1120"/>
      <c r="U617" s="1120"/>
      <c r="V617" s="1120"/>
      <c r="W617" s="1120"/>
      <c r="Z617" s="1145"/>
      <c r="AA617" s="1120"/>
      <c r="AB617" s="1120"/>
      <c r="AC617" s="1120"/>
      <c r="AD617" s="1212"/>
      <c r="AE617" s="1212"/>
      <c r="AF617" s="1186"/>
      <c r="AG617" s="1186"/>
      <c r="AH617" s="1222"/>
      <c r="AI617" s="1222"/>
      <c r="AJ617" s="1222"/>
      <c r="AK617" s="1222"/>
      <c r="AL617" s="1222"/>
      <c r="AM617" s="1222"/>
      <c r="AN617" s="1222"/>
      <c r="AO617" s="1222"/>
      <c r="AP617" s="1222"/>
      <c r="AQ617" s="1222"/>
      <c r="AR617" s="1222"/>
      <c r="AS617" s="1222"/>
      <c r="AT617" s="1222"/>
      <c r="AU617" s="1120"/>
      <c r="AV617" s="445"/>
      <c r="AW617" s="607"/>
      <c r="AX617" s="607"/>
      <c r="AY617" s="607"/>
      <c r="AZ617" s="1209"/>
      <c r="BA617" s="1209"/>
    </row>
    <row r="618" spans="2:53" s="256" customFormat="1" ht="24.95" customHeight="1">
      <c r="B618" s="445"/>
      <c r="C618" s="204"/>
      <c r="D618" s="204"/>
      <c r="E618" s="204"/>
      <c r="F618" s="368"/>
      <c r="G618" s="1134"/>
      <c r="H618" s="401"/>
      <c r="I618" s="317"/>
      <c r="N618" s="317"/>
      <c r="O618" s="1135"/>
      <c r="P618" s="1136"/>
      <c r="Q618" s="1137"/>
      <c r="R618" s="1120"/>
      <c r="S618" s="1120"/>
      <c r="T618" s="1120"/>
      <c r="U618" s="1120"/>
      <c r="V618" s="1120"/>
      <c r="W618" s="1120"/>
      <c r="Z618" s="1145"/>
      <c r="AA618" s="1120"/>
      <c r="AB618" s="1120"/>
      <c r="AC618" s="1120"/>
      <c r="AD618" s="1212"/>
      <c r="AE618" s="1212"/>
      <c r="AF618" s="1186"/>
      <c r="AG618" s="1186"/>
      <c r="AH618" s="1222"/>
      <c r="AI618" s="1222"/>
      <c r="AJ618" s="1222"/>
      <c r="AK618" s="1222"/>
      <c r="AL618" s="1222"/>
      <c r="AM618" s="1222"/>
      <c r="AN618" s="1222"/>
      <c r="AO618" s="1222"/>
      <c r="AP618" s="1222"/>
      <c r="AQ618" s="1222"/>
      <c r="AR618" s="1222"/>
      <c r="AS618" s="1222"/>
      <c r="AT618" s="1222"/>
      <c r="AU618" s="1120"/>
      <c r="AV618" s="445"/>
      <c r="AW618" s="607"/>
      <c r="AX618" s="607"/>
      <c r="AY618" s="607"/>
      <c r="AZ618" s="1209"/>
      <c r="BA618" s="1209"/>
    </row>
    <row r="619" spans="2:53" s="256" customFormat="1" ht="24.95" customHeight="1">
      <c r="B619" s="445"/>
      <c r="C619" s="204"/>
      <c r="D619" s="204"/>
      <c r="E619" s="204"/>
      <c r="F619" s="368"/>
      <c r="G619" s="1134"/>
      <c r="H619" s="401"/>
      <c r="I619" s="317"/>
      <c r="N619" s="317"/>
      <c r="O619" s="1135"/>
      <c r="P619" s="1136"/>
      <c r="Q619" s="1137"/>
      <c r="R619" s="1120"/>
      <c r="S619" s="1120"/>
      <c r="T619" s="1120"/>
      <c r="U619" s="1120"/>
      <c r="V619" s="1120"/>
      <c r="W619" s="1120"/>
      <c r="Z619" s="1145"/>
      <c r="AA619" s="1120"/>
      <c r="AB619" s="1120"/>
      <c r="AC619" s="1120"/>
      <c r="AD619" s="1212"/>
      <c r="AE619" s="1212"/>
      <c r="AF619" s="1186"/>
      <c r="AG619" s="1186"/>
      <c r="AH619" s="1222"/>
      <c r="AI619" s="1222"/>
      <c r="AJ619" s="1222"/>
      <c r="AK619" s="1222"/>
      <c r="AL619" s="1222"/>
      <c r="AM619" s="1222"/>
      <c r="AN619" s="1222"/>
      <c r="AO619" s="1222"/>
      <c r="AP619" s="1222"/>
      <c r="AQ619" s="1222"/>
      <c r="AR619" s="1222"/>
      <c r="AS619" s="1222"/>
      <c r="AT619" s="1222"/>
      <c r="AU619" s="1120"/>
      <c r="AV619" s="445"/>
      <c r="AW619" s="607"/>
      <c r="AX619" s="607"/>
      <c r="AY619" s="607"/>
      <c r="AZ619" s="1209"/>
      <c r="BA619" s="1209"/>
    </row>
    <row r="620" spans="2:53" s="256" customFormat="1" ht="24.95" customHeight="1">
      <c r="B620" s="445"/>
      <c r="C620" s="204"/>
      <c r="D620" s="204"/>
      <c r="E620" s="204"/>
      <c r="F620" s="368"/>
      <c r="G620" s="1134"/>
      <c r="H620" s="401"/>
      <c r="I620" s="317"/>
      <c r="N620" s="317"/>
      <c r="O620" s="1135"/>
      <c r="P620" s="1136"/>
      <c r="Q620" s="1137"/>
      <c r="R620" s="1120"/>
      <c r="S620" s="1120"/>
      <c r="T620" s="1120"/>
      <c r="U620" s="1120"/>
      <c r="V620" s="1120"/>
      <c r="W620" s="1120"/>
      <c r="Z620" s="1145"/>
      <c r="AA620" s="1120"/>
      <c r="AB620" s="1120"/>
      <c r="AC620" s="1120"/>
      <c r="AD620" s="1212"/>
      <c r="AE620" s="1212"/>
      <c r="AF620" s="1186"/>
      <c r="AG620" s="1186"/>
      <c r="AH620" s="1222"/>
      <c r="AI620" s="1222"/>
      <c r="AJ620" s="1222"/>
      <c r="AK620" s="1222"/>
      <c r="AL620" s="1222"/>
      <c r="AM620" s="1222"/>
      <c r="AN620" s="1222"/>
      <c r="AO620" s="1222"/>
      <c r="AP620" s="1222"/>
      <c r="AQ620" s="1222"/>
      <c r="AR620" s="1222"/>
      <c r="AS620" s="1222"/>
      <c r="AT620" s="1222"/>
      <c r="AU620" s="1120"/>
      <c r="AV620" s="445"/>
      <c r="AW620" s="607"/>
      <c r="AX620" s="607"/>
      <c r="AY620" s="607"/>
      <c r="AZ620" s="1209"/>
      <c r="BA620" s="1209"/>
    </row>
    <row r="621" spans="2:53" s="256" customFormat="1" ht="24.95" customHeight="1">
      <c r="B621" s="445"/>
      <c r="C621" s="204"/>
      <c r="D621" s="204"/>
      <c r="E621" s="204"/>
      <c r="F621" s="368"/>
      <c r="G621" s="1134"/>
      <c r="H621" s="401"/>
      <c r="I621" s="317"/>
      <c r="N621" s="317"/>
      <c r="O621" s="1135"/>
      <c r="P621" s="1136"/>
      <c r="Q621" s="1137"/>
      <c r="R621" s="1120"/>
      <c r="S621" s="1120"/>
      <c r="T621" s="1120"/>
      <c r="U621" s="1120"/>
      <c r="V621" s="1120"/>
      <c r="W621" s="1120"/>
      <c r="Z621" s="1145"/>
      <c r="AA621" s="1120"/>
      <c r="AB621" s="1120"/>
      <c r="AC621" s="1120"/>
      <c r="AD621" s="1212"/>
      <c r="AE621" s="1212"/>
      <c r="AF621" s="1186"/>
      <c r="AG621" s="1186"/>
      <c r="AH621" s="1222"/>
      <c r="AI621" s="1222"/>
      <c r="AJ621" s="1222"/>
      <c r="AK621" s="1222"/>
      <c r="AL621" s="1222"/>
      <c r="AM621" s="1222"/>
      <c r="AN621" s="1222"/>
      <c r="AO621" s="1222"/>
      <c r="AP621" s="1222"/>
      <c r="AQ621" s="1222"/>
      <c r="AR621" s="1222"/>
      <c r="AS621" s="1222"/>
      <c r="AT621" s="1222"/>
      <c r="AU621" s="1120"/>
      <c r="AV621" s="445"/>
      <c r="AW621" s="607"/>
      <c r="AX621" s="607"/>
      <c r="AY621" s="607"/>
      <c r="AZ621" s="1209"/>
      <c r="BA621" s="1209"/>
    </row>
    <row r="622" spans="2:53" s="256" customFormat="1" ht="24.95" customHeight="1">
      <c r="B622" s="445"/>
      <c r="C622" s="204"/>
      <c r="D622" s="204"/>
      <c r="E622" s="204"/>
      <c r="F622" s="368"/>
      <c r="G622" s="1134"/>
      <c r="H622" s="401"/>
      <c r="I622" s="317"/>
      <c r="N622" s="317"/>
      <c r="O622" s="1135"/>
      <c r="P622" s="1136"/>
      <c r="Q622" s="1137"/>
      <c r="R622" s="1120"/>
      <c r="S622" s="1120"/>
      <c r="T622" s="1120"/>
      <c r="U622" s="1120"/>
      <c r="V622" s="1120"/>
      <c r="W622" s="1120"/>
      <c r="Z622" s="1145"/>
      <c r="AA622" s="1120"/>
      <c r="AB622" s="1120"/>
      <c r="AC622" s="1120"/>
      <c r="AD622" s="1212"/>
      <c r="AE622" s="1212"/>
      <c r="AF622" s="1186"/>
      <c r="AG622" s="1186"/>
      <c r="AH622" s="1222"/>
      <c r="AI622" s="1222"/>
      <c r="AJ622" s="1222"/>
      <c r="AK622" s="1222"/>
      <c r="AL622" s="1222"/>
      <c r="AM622" s="1222"/>
      <c r="AN622" s="1222"/>
      <c r="AO622" s="1222"/>
      <c r="AP622" s="1222"/>
      <c r="AQ622" s="1222"/>
      <c r="AR622" s="1222"/>
      <c r="AS622" s="1222"/>
      <c r="AT622" s="1222"/>
      <c r="AU622" s="1120"/>
      <c r="AV622" s="445"/>
      <c r="AW622" s="607"/>
      <c r="AX622" s="607"/>
      <c r="AY622" s="607"/>
      <c r="AZ622" s="1209"/>
      <c r="BA622" s="1209"/>
    </row>
    <row r="623" spans="2:53" s="256" customFormat="1" ht="24.95" customHeight="1">
      <c r="B623" s="445"/>
      <c r="C623" s="204"/>
      <c r="D623" s="204"/>
      <c r="E623" s="204"/>
      <c r="F623" s="368"/>
      <c r="G623" s="1134"/>
      <c r="H623" s="401"/>
      <c r="I623" s="317"/>
      <c r="N623" s="317"/>
      <c r="O623" s="1135"/>
      <c r="P623" s="1136"/>
      <c r="Q623" s="1137"/>
      <c r="R623" s="1120"/>
      <c r="S623" s="1120"/>
      <c r="T623" s="1120"/>
      <c r="U623" s="1120"/>
      <c r="V623" s="1120"/>
      <c r="W623" s="1120"/>
      <c r="Z623" s="1145"/>
      <c r="AA623" s="1120"/>
      <c r="AB623" s="1120"/>
      <c r="AC623" s="1120"/>
      <c r="AD623" s="1212"/>
      <c r="AE623" s="1212"/>
      <c r="AF623" s="1186"/>
      <c r="AG623" s="1186"/>
      <c r="AH623" s="1222"/>
      <c r="AI623" s="1222"/>
      <c r="AJ623" s="1222"/>
      <c r="AK623" s="1222"/>
      <c r="AL623" s="1222"/>
      <c r="AM623" s="1222"/>
      <c r="AN623" s="1222"/>
      <c r="AO623" s="1222"/>
      <c r="AP623" s="1222"/>
      <c r="AQ623" s="1222"/>
      <c r="AR623" s="1222"/>
      <c r="AS623" s="1222"/>
      <c r="AT623" s="1222"/>
      <c r="AU623" s="1120"/>
      <c r="AV623" s="445"/>
      <c r="AW623" s="607"/>
      <c r="AX623" s="607"/>
      <c r="AY623" s="607"/>
      <c r="AZ623" s="1209"/>
      <c r="BA623" s="1209"/>
    </row>
    <row r="624" spans="2:53" s="256" customFormat="1" ht="24.95" customHeight="1">
      <c r="B624" s="445"/>
      <c r="C624" s="204"/>
      <c r="D624" s="204"/>
      <c r="E624" s="204"/>
      <c r="F624" s="368"/>
      <c r="G624" s="1134"/>
      <c r="H624" s="401"/>
      <c r="I624" s="317"/>
      <c r="N624" s="317"/>
      <c r="O624" s="1135"/>
      <c r="P624" s="1136"/>
      <c r="Q624" s="1137"/>
      <c r="R624" s="1120"/>
      <c r="S624" s="1120"/>
      <c r="T624" s="1120"/>
      <c r="U624" s="1120"/>
      <c r="V624" s="1120"/>
      <c r="W624" s="1120"/>
      <c r="Z624" s="1145"/>
      <c r="AA624" s="1120"/>
      <c r="AB624" s="1120"/>
      <c r="AC624" s="1120"/>
      <c r="AD624" s="1212"/>
      <c r="AE624" s="1212"/>
      <c r="AF624" s="1186"/>
      <c r="AG624" s="1186"/>
      <c r="AH624" s="1222"/>
      <c r="AI624" s="1222"/>
      <c r="AJ624" s="1222"/>
      <c r="AK624" s="1222"/>
      <c r="AL624" s="1222"/>
      <c r="AM624" s="1222"/>
      <c r="AN624" s="1222"/>
      <c r="AO624" s="1222"/>
      <c r="AP624" s="1222"/>
      <c r="AQ624" s="1222"/>
      <c r="AR624" s="1222"/>
      <c r="AS624" s="1222"/>
      <c r="AT624" s="1222"/>
      <c r="AU624" s="1120"/>
      <c r="AV624" s="445"/>
      <c r="AW624" s="607"/>
      <c r="AX624" s="607"/>
      <c r="AY624" s="607"/>
      <c r="AZ624" s="1209"/>
      <c r="BA624" s="1209"/>
    </row>
    <row r="625" spans="2:53" s="256" customFormat="1" ht="24.95" customHeight="1">
      <c r="B625" s="445"/>
      <c r="C625" s="204"/>
      <c r="D625" s="204"/>
      <c r="E625" s="204"/>
      <c r="F625" s="368"/>
      <c r="G625" s="1134"/>
      <c r="H625" s="401"/>
      <c r="I625" s="317"/>
      <c r="N625" s="317"/>
      <c r="O625" s="1135"/>
      <c r="P625" s="1136"/>
      <c r="Q625" s="1137"/>
      <c r="R625" s="1120"/>
      <c r="S625" s="1120"/>
      <c r="T625" s="1120"/>
      <c r="U625" s="1120"/>
      <c r="V625" s="1120"/>
      <c r="W625" s="1120"/>
      <c r="Z625" s="1145"/>
      <c r="AA625" s="1120"/>
      <c r="AB625" s="1120"/>
      <c r="AC625" s="1120"/>
      <c r="AD625" s="1212"/>
      <c r="AE625" s="1212"/>
      <c r="AF625" s="1186"/>
      <c r="AG625" s="1186"/>
      <c r="AH625" s="1222"/>
      <c r="AI625" s="1222"/>
      <c r="AJ625" s="1222"/>
      <c r="AK625" s="1222"/>
      <c r="AL625" s="1222"/>
      <c r="AM625" s="1222"/>
      <c r="AN625" s="1222"/>
      <c r="AO625" s="1222"/>
      <c r="AP625" s="1222"/>
      <c r="AQ625" s="1222"/>
      <c r="AR625" s="1222"/>
      <c r="AS625" s="1222"/>
      <c r="AT625" s="1222"/>
      <c r="AU625" s="1120"/>
      <c r="AV625" s="445"/>
      <c r="AW625" s="607"/>
      <c r="AX625" s="607"/>
      <c r="AY625" s="607"/>
      <c r="AZ625" s="1209"/>
      <c r="BA625" s="1209"/>
    </row>
    <row r="626" spans="2:53" s="256" customFormat="1" ht="24.95" customHeight="1">
      <c r="B626" s="445"/>
      <c r="C626" s="204"/>
      <c r="D626" s="204"/>
      <c r="E626" s="204"/>
      <c r="F626" s="368"/>
      <c r="G626" s="1134"/>
      <c r="H626" s="401"/>
      <c r="I626" s="317"/>
      <c r="N626" s="317"/>
      <c r="O626" s="1135"/>
      <c r="P626" s="1136"/>
      <c r="Q626" s="1137"/>
      <c r="R626" s="1120"/>
      <c r="S626" s="1120"/>
      <c r="T626" s="1120"/>
      <c r="U626" s="1120"/>
      <c r="V626" s="1120"/>
      <c r="W626" s="1120"/>
      <c r="Z626" s="1145"/>
      <c r="AA626" s="1120"/>
      <c r="AB626" s="1120"/>
      <c r="AC626" s="1120"/>
      <c r="AD626" s="1212"/>
      <c r="AE626" s="1212"/>
      <c r="AF626" s="1186"/>
      <c r="AG626" s="1186"/>
      <c r="AH626" s="1222"/>
      <c r="AI626" s="1222"/>
      <c r="AJ626" s="1222"/>
      <c r="AK626" s="1222"/>
      <c r="AL626" s="1222"/>
      <c r="AM626" s="1222"/>
      <c r="AN626" s="1222"/>
      <c r="AO626" s="1222"/>
      <c r="AP626" s="1222"/>
      <c r="AQ626" s="1222"/>
      <c r="AR626" s="1222"/>
      <c r="AS626" s="1222"/>
      <c r="AT626" s="1222"/>
      <c r="AU626" s="1120"/>
      <c r="AV626" s="445"/>
      <c r="AW626" s="607"/>
      <c r="AX626" s="607"/>
      <c r="AY626" s="607"/>
      <c r="AZ626" s="1209"/>
      <c r="BA626" s="1209"/>
    </row>
    <row r="627" spans="2:53" s="256" customFormat="1" ht="24.95" customHeight="1">
      <c r="B627" s="445"/>
      <c r="C627" s="204"/>
      <c r="D627" s="204"/>
      <c r="E627" s="204"/>
      <c r="F627" s="368"/>
      <c r="G627" s="1134"/>
      <c r="H627" s="401"/>
      <c r="I627" s="317"/>
      <c r="N627" s="317"/>
      <c r="O627" s="1135"/>
      <c r="P627" s="1136"/>
      <c r="Q627" s="1137"/>
      <c r="R627" s="1120"/>
      <c r="S627" s="1120"/>
      <c r="T627" s="1120"/>
      <c r="U627" s="1120"/>
      <c r="V627" s="1120"/>
      <c r="W627" s="1120"/>
      <c r="Z627" s="1145"/>
      <c r="AA627" s="1120"/>
      <c r="AB627" s="1120"/>
      <c r="AC627" s="1120"/>
      <c r="AD627" s="1212"/>
      <c r="AE627" s="1212"/>
      <c r="AF627" s="1186"/>
      <c r="AG627" s="1186"/>
      <c r="AH627" s="1222"/>
      <c r="AI627" s="1222"/>
      <c r="AJ627" s="1222"/>
      <c r="AK627" s="1222"/>
      <c r="AL627" s="1222"/>
      <c r="AM627" s="1222"/>
      <c r="AN627" s="1222"/>
      <c r="AO627" s="1222"/>
      <c r="AP627" s="1222"/>
      <c r="AQ627" s="1222"/>
      <c r="AR627" s="1222"/>
      <c r="AS627" s="1222"/>
      <c r="AT627" s="1222"/>
      <c r="AU627" s="1120"/>
      <c r="AV627" s="445"/>
      <c r="AW627" s="607"/>
      <c r="AX627" s="607"/>
      <c r="AY627" s="607"/>
      <c r="AZ627" s="1209"/>
      <c r="BA627" s="1209"/>
    </row>
    <row r="628" spans="2:53" s="256" customFormat="1" ht="24.95" customHeight="1">
      <c r="B628" s="445"/>
      <c r="C628" s="204"/>
      <c r="D628" s="204"/>
      <c r="E628" s="204"/>
      <c r="F628" s="368"/>
      <c r="G628" s="1134"/>
      <c r="H628" s="401"/>
      <c r="I628" s="317"/>
      <c r="N628" s="317"/>
      <c r="O628" s="1135"/>
      <c r="P628" s="1136"/>
      <c r="Q628" s="1137"/>
      <c r="R628" s="1120"/>
      <c r="S628" s="1120"/>
      <c r="T628" s="1120"/>
      <c r="U628" s="1120"/>
      <c r="V628" s="1120"/>
      <c r="W628" s="1120"/>
      <c r="Z628" s="1145"/>
      <c r="AA628" s="1120"/>
      <c r="AB628" s="1120"/>
      <c r="AC628" s="1120"/>
      <c r="AD628" s="1212"/>
      <c r="AE628" s="1212"/>
      <c r="AF628" s="1186"/>
      <c r="AG628" s="1186"/>
      <c r="AH628" s="1222"/>
      <c r="AI628" s="1222"/>
      <c r="AJ628" s="1222"/>
      <c r="AK628" s="1222"/>
      <c r="AL628" s="1222"/>
      <c r="AM628" s="1222"/>
      <c r="AN628" s="1222"/>
      <c r="AO628" s="1222"/>
      <c r="AP628" s="1222"/>
      <c r="AQ628" s="1222"/>
      <c r="AR628" s="1222"/>
      <c r="AS628" s="1222"/>
      <c r="AT628" s="1222"/>
      <c r="AU628" s="1120"/>
      <c r="AV628" s="445"/>
      <c r="AW628" s="607"/>
      <c r="AX628" s="607"/>
      <c r="AY628" s="607"/>
      <c r="AZ628" s="1209"/>
      <c r="BA628" s="1209"/>
    </row>
    <row r="629" spans="2:53" s="256" customFormat="1" ht="24.95" customHeight="1">
      <c r="B629" s="445"/>
      <c r="C629" s="204"/>
      <c r="D629" s="204"/>
      <c r="E629" s="204"/>
      <c r="F629" s="368"/>
      <c r="G629" s="1134"/>
      <c r="H629" s="401"/>
      <c r="I629" s="317"/>
      <c r="N629" s="317"/>
      <c r="O629" s="1135"/>
      <c r="P629" s="1136"/>
      <c r="Q629" s="1137"/>
      <c r="R629" s="1120"/>
      <c r="S629" s="1120"/>
      <c r="T629" s="1120"/>
      <c r="U629" s="1120"/>
      <c r="V629" s="1120"/>
      <c r="W629" s="1120"/>
      <c r="Z629" s="1145"/>
      <c r="AA629" s="1120"/>
      <c r="AB629" s="1120"/>
      <c r="AC629" s="1120"/>
      <c r="AD629" s="1212"/>
      <c r="AE629" s="1212"/>
      <c r="AF629" s="1186"/>
      <c r="AG629" s="1186"/>
      <c r="AH629" s="1222"/>
      <c r="AI629" s="1222"/>
      <c r="AJ629" s="1222"/>
      <c r="AK629" s="1222"/>
      <c r="AL629" s="1222"/>
      <c r="AM629" s="1222"/>
      <c r="AN629" s="1222"/>
      <c r="AO629" s="1222"/>
      <c r="AP629" s="1222"/>
      <c r="AQ629" s="1222"/>
      <c r="AR629" s="1222"/>
      <c r="AS629" s="1222"/>
      <c r="AT629" s="1222"/>
      <c r="AU629" s="1120"/>
      <c r="AV629" s="445"/>
      <c r="AW629" s="607"/>
      <c r="AX629" s="607"/>
      <c r="AY629" s="607"/>
      <c r="AZ629" s="1209"/>
      <c r="BA629" s="1209"/>
    </row>
    <row r="630" spans="2:53" s="256" customFormat="1" ht="24.95" customHeight="1">
      <c r="B630" s="445"/>
      <c r="C630" s="204"/>
      <c r="D630" s="204"/>
      <c r="E630" s="204"/>
      <c r="F630" s="368"/>
      <c r="G630" s="1134"/>
      <c r="H630" s="401"/>
      <c r="I630" s="317"/>
      <c r="N630" s="317"/>
      <c r="O630" s="1135"/>
      <c r="P630" s="1136"/>
      <c r="Q630" s="1137"/>
      <c r="R630" s="1120"/>
      <c r="S630" s="1120"/>
      <c r="T630" s="1120"/>
      <c r="U630" s="1120"/>
      <c r="V630" s="1120"/>
      <c r="W630" s="1120"/>
      <c r="Z630" s="1145"/>
      <c r="AA630" s="1120"/>
      <c r="AB630" s="1120"/>
      <c r="AC630" s="1120"/>
      <c r="AD630" s="1212"/>
      <c r="AE630" s="1212"/>
      <c r="AF630" s="1186"/>
      <c r="AG630" s="1186"/>
      <c r="AH630" s="1222"/>
      <c r="AI630" s="1222"/>
      <c r="AJ630" s="1222"/>
      <c r="AK630" s="1222"/>
      <c r="AL630" s="1222"/>
      <c r="AM630" s="1222"/>
      <c r="AN630" s="1222"/>
      <c r="AO630" s="1222"/>
      <c r="AP630" s="1222"/>
      <c r="AQ630" s="1222"/>
      <c r="AR630" s="1222"/>
      <c r="AS630" s="1222"/>
      <c r="AT630" s="1222"/>
      <c r="AU630" s="1120"/>
      <c r="AV630" s="445"/>
      <c r="AW630" s="607"/>
      <c r="AX630" s="607"/>
      <c r="AY630" s="607"/>
      <c r="AZ630" s="1209"/>
      <c r="BA630" s="1209"/>
    </row>
    <row r="631" spans="2:53" s="256" customFormat="1" ht="24.95" customHeight="1">
      <c r="B631" s="445"/>
      <c r="C631" s="204"/>
      <c r="D631" s="204"/>
      <c r="E631" s="204"/>
      <c r="F631" s="368"/>
      <c r="G631" s="1134"/>
      <c r="H631" s="401"/>
      <c r="I631" s="317"/>
      <c r="N631" s="317"/>
      <c r="O631" s="1135"/>
      <c r="P631" s="1136"/>
      <c r="Q631" s="1137"/>
      <c r="R631" s="1120"/>
      <c r="S631" s="1120"/>
      <c r="T631" s="1120"/>
      <c r="U631" s="1120"/>
      <c r="V631" s="1120"/>
      <c r="W631" s="1120"/>
      <c r="Z631" s="1145"/>
      <c r="AA631" s="1120"/>
      <c r="AB631" s="1120"/>
      <c r="AC631" s="1120"/>
      <c r="AD631" s="1212"/>
      <c r="AE631" s="1212"/>
      <c r="AF631" s="1186"/>
      <c r="AG631" s="1186"/>
      <c r="AH631" s="1222"/>
      <c r="AI631" s="1222"/>
      <c r="AJ631" s="1222"/>
      <c r="AK631" s="1222"/>
      <c r="AL631" s="1222"/>
      <c r="AM631" s="1222"/>
      <c r="AN631" s="1222"/>
      <c r="AO631" s="1222"/>
      <c r="AP631" s="1222"/>
      <c r="AQ631" s="1222"/>
      <c r="AR631" s="1222"/>
      <c r="AS631" s="1222"/>
      <c r="AT631" s="1222"/>
      <c r="AU631" s="1120"/>
      <c r="AV631" s="445"/>
      <c r="AW631" s="607"/>
      <c r="AX631" s="607"/>
      <c r="AY631" s="607"/>
      <c r="AZ631" s="1209"/>
      <c r="BA631" s="1209"/>
    </row>
    <row r="632" spans="2:53" s="256" customFormat="1" ht="24.95" customHeight="1">
      <c r="B632" s="445"/>
      <c r="C632" s="204"/>
      <c r="D632" s="204"/>
      <c r="E632" s="204"/>
      <c r="F632" s="368"/>
      <c r="G632" s="1134"/>
      <c r="H632" s="401"/>
      <c r="I632" s="317"/>
      <c r="N632" s="317"/>
      <c r="O632" s="1135"/>
      <c r="P632" s="1136"/>
      <c r="Q632" s="1137"/>
      <c r="R632" s="1120"/>
      <c r="S632" s="1120"/>
      <c r="T632" s="1120"/>
      <c r="U632" s="1120"/>
      <c r="V632" s="1120"/>
      <c r="W632" s="1120"/>
      <c r="Z632" s="1145"/>
      <c r="AA632" s="1120"/>
      <c r="AB632" s="1120"/>
      <c r="AC632" s="1120"/>
      <c r="AD632" s="1212"/>
      <c r="AE632" s="1212"/>
      <c r="AF632" s="1186"/>
      <c r="AG632" s="1186"/>
      <c r="AH632" s="1222"/>
      <c r="AI632" s="1222"/>
      <c r="AJ632" s="1222"/>
      <c r="AK632" s="1222"/>
      <c r="AL632" s="1222"/>
      <c r="AM632" s="1222"/>
      <c r="AN632" s="1222"/>
      <c r="AO632" s="1222"/>
      <c r="AP632" s="1222"/>
      <c r="AQ632" s="1222"/>
      <c r="AR632" s="1222"/>
      <c r="AS632" s="1222"/>
      <c r="AT632" s="1222"/>
      <c r="AU632" s="1120"/>
      <c r="AV632" s="445"/>
      <c r="AW632" s="607"/>
      <c r="AX632" s="607"/>
      <c r="AY632" s="607"/>
      <c r="AZ632" s="1209"/>
      <c r="BA632" s="1209"/>
    </row>
    <row r="633" spans="2:53" s="256" customFormat="1" ht="24.95" customHeight="1">
      <c r="B633" s="445"/>
      <c r="C633" s="204"/>
      <c r="D633" s="204"/>
      <c r="E633" s="204"/>
      <c r="F633" s="368"/>
      <c r="G633" s="1134"/>
      <c r="H633" s="401"/>
      <c r="I633" s="317"/>
      <c r="N633" s="317"/>
      <c r="O633" s="1135"/>
      <c r="P633" s="1136"/>
      <c r="Q633" s="1137"/>
      <c r="R633" s="1120"/>
      <c r="S633" s="1120"/>
      <c r="T633" s="1120"/>
      <c r="U633" s="1120"/>
      <c r="V633" s="1120"/>
      <c r="W633" s="1120"/>
      <c r="Z633" s="1145"/>
      <c r="AA633" s="1120"/>
      <c r="AB633" s="1120"/>
      <c r="AC633" s="1120"/>
      <c r="AD633" s="1212"/>
      <c r="AE633" s="1212"/>
      <c r="AF633" s="1186"/>
      <c r="AG633" s="1186"/>
      <c r="AH633" s="1222"/>
      <c r="AI633" s="1222"/>
      <c r="AJ633" s="1222"/>
      <c r="AK633" s="1222"/>
      <c r="AL633" s="1222"/>
      <c r="AM633" s="1222"/>
      <c r="AN633" s="1222"/>
      <c r="AO633" s="1222"/>
      <c r="AP633" s="1222"/>
      <c r="AQ633" s="1222"/>
      <c r="AR633" s="1222"/>
      <c r="AS633" s="1222"/>
      <c r="AT633" s="1222"/>
      <c r="AU633" s="1120"/>
      <c r="AV633" s="445"/>
      <c r="AW633" s="607"/>
      <c r="AX633" s="607"/>
      <c r="AY633" s="607"/>
      <c r="AZ633" s="1209"/>
      <c r="BA633" s="1209"/>
    </row>
    <row r="634" spans="2:53" s="256" customFormat="1" ht="24.95" customHeight="1">
      <c r="B634" s="445"/>
      <c r="C634" s="204"/>
      <c r="D634" s="204"/>
      <c r="E634" s="204"/>
      <c r="F634" s="368"/>
      <c r="G634" s="1134"/>
      <c r="H634" s="401"/>
      <c r="I634" s="317"/>
      <c r="N634" s="317"/>
      <c r="O634" s="1135"/>
      <c r="P634" s="1136"/>
      <c r="Q634" s="1137"/>
      <c r="R634" s="1120"/>
      <c r="S634" s="1120"/>
      <c r="T634" s="1120"/>
      <c r="U634" s="1120"/>
      <c r="V634" s="1120"/>
      <c r="W634" s="1120"/>
      <c r="Z634" s="1145"/>
      <c r="AA634" s="1120"/>
      <c r="AB634" s="1120"/>
      <c r="AC634" s="1120"/>
      <c r="AD634" s="1212"/>
      <c r="AE634" s="1212"/>
      <c r="AF634" s="1186"/>
      <c r="AG634" s="1186"/>
      <c r="AH634" s="1222"/>
      <c r="AI634" s="1222"/>
      <c r="AJ634" s="1222"/>
      <c r="AK634" s="1222"/>
      <c r="AL634" s="1222"/>
      <c r="AM634" s="1222"/>
      <c r="AN634" s="1222"/>
      <c r="AO634" s="1222"/>
      <c r="AP634" s="1222"/>
      <c r="AQ634" s="1222"/>
      <c r="AR634" s="1222"/>
      <c r="AS634" s="1222"/>
      <c r="AT634" s="1222"/>
      <c r="AU634" s="1120"/>
      <c r="AV634" s="445"/>
      <c r="AW634" s="607"/>
      <c r="AX634" s="607"/>
      <c r="AY634" s="607"/>
      <c r="AZ634" s="1209"/>
      <c r="BA634" s="1209"/>
    </row>
    <row r="635" spans="2:53" s="256" customFormat="1" ht="24.95" customHeight="1">
      <c r="B635" s="445"/>
      <c r="C635" s="204"/>
      <c r="D635" s="204"/>
      <c r="E635" s="204"/>
      <c r="F635" s="368"/>
      <c r="G635" s="1134"/>
      <c r="H635" s="401"/>
      <c r="I635" s="317"/>
      <c r="N635" s="317"/>
      <c r="O635" s="1135"/>
      <c r="P635" s="1136"/>
      <c r="Q635" s="1137"/>
      <c r="R635" s="1120"/>
      <c r="S635" s="1120"/>
      <c r="T635" s="1120"/>
      <c r="U635" s="1120"/>
      <c r="V635" s="1120"/>
      <c r="W635" s="1120"/>
      <c r="Z635" s="1145"/>
      <c r="AA635" s="1120"/>
      <c r="AB635" s="1120"/>
      <c r="AC635" s="1120"/>
      <c r="AD635" s="1212"/>
      <c r="AE635" s="1212"/>
      <c r="AF635" s="1186"/>
      <c r="AG635" s="1186"/>
      <c r="AH635" s="1222"/>
      <c r="AI635" s="1222"/>
      <c r="AJ635" s="1222"/>
      <c r="AK635" s="1222"/>
      <c r="AL635" s="1222"/>
      <c r="AM635" s="1222"/>
      <c r="AN635" s="1222"/>
      <c r="AO635" s="1222"/>
      <c r="AP635" s="1222"/>
      <c r="AQ635" s="1222"/>
      <c r="AR635" s="1222"/>
      <c r="AS635" s="1222"/>
      <c r="AT635" s="1222"/>
      <c r="AU635" s="1120"/>
      <c r="AV635" s="445"/>
      <c r="AW635" s="607"/>
      <c r="AX635" s="607"/>
      <c r="AY635" s="607"/>
      <c r="AZ635" s="1209"/>
      <c r="BA635" s="1209"/>
    </row>
    <row r="636" spans="2:53" s="256" customFormat="1" ht="24.95" customHeight="1">
      <c r="B636" s="445"/>
      <c r="C636" s="204"/>
      <c r="D636" s="204"/>
      <c r="E636" s="204"/>
      <c r="F636" s="368"/>
      <c r="G636" s="1134"/>
      <c r="H636" s="401"/>
      <c r="I636" s="317"/>
      <c r="N636" s="317"/>
      <c r="O636" s="1135"/>
      <c r="P636" s="1136"/>
      <c r="Q636" s="1137"/>
      <c r="R636" s="1120"/>
      <c r="S636" s="1120"/>
      <c r="T636" s="1120"/>
      <c r="U636" s="1120"/>
      <c r="V636" s="1120"/>
      <c r="W636" s="1120"/>
      <c r="Z636" s="1145"/>
      <c r="AA636" s="1120"/>
      <c r="AB636" s="1120"/>
      <c r="AC636" s="1120"/>
      <c r="AD636" s="1212"/>
      <c r="AE636" s="1212"/>
      <c r="AF636" s="1186"/>
      <c r="AG636" s="1186"/>
      <c r="AH636" s="1222"/>
      <c r="AI636" s="1222"/>
      <c r="AJ636" s="1222"/>
      <c r="AK636" s="1222"/>
      <c r="AL636" s="1222"/>
      <c r="AM636" s="1222"/>
      <c r="AN636" s="1222"/>
      <c r="AO636" s="1222"/>
      <c r="AP636" s="1222"/>
      <c r="AQ636" s="1222"/>
      <c r="AR636" s="1222"/>
      <c r="AS636" s="1222"/>
      <c r="AT636" s="1222"/>
      <c r="AU636" s="1120"/>
      <c r="AV636" s="445"/>
      <c r="AW636" s="607"/>
      <c r="AX636" s="607"/>
      <c r="AY636" s="607"/>
      <c r="AZ636" s="1209"/>
      <c r="BA636" s="1209"/>
    </row>
    <row r="637" spans="2:53" s="256" customFormat="1" ht="24.95" customHeight="1">
      <c r="B637" s="445"/>
      <c r="C637" s="204"/>
      <c r="D637" s="204"/>
      <c r="E637" s="204"/>
      <c r="F637" s="368"/>
      <c r="G637" s="1134"/>
      <c r="H637" s="401"/>
      <c r="I637" s="317"/>
      <c r="N637" s="317"/>
      <c r="O637" s="1135"/>
      <c r="P637" s="1136"/>
      <c r="Q637" s="1137"/>
      <c r="R637" s="1120"/>
      <c r="S637" s="1120"/>
      <c r="T637" s="1120"/>
      <c r="U637" s="1120"/>
      <c r="V637" s="1120"/>
      <c r="W637" s="1120"/>
      <c r="Z637" s="1145"/>
      <c r="AA637" s="1120"/>
      <c r="AB637" s="1120"/>
      <c r="AC637" s="1120"/>
      <c r="AD637" s="1212"/>
      <c r="AE637" s="1212"/>
      <c r="AF637" s="1186"/>
      <c r="AG637" s="1186"/>
      <c r="AH637" s="1222"/>
      <c r="AI637" s="1222"/>
      <c r="AJ637" s="1222"/>
      <c r="AK637" s="1222"/>
      <c r="AL637" s="1222"/>
      <c r="AM637" s="1222"/>
      <c r="AN637" s="1222"/>
      <c r="AO637" s="1222"/>
      <c r="AP637" s="1222"/>
      <c r="AQ637" s="1222"/>
      <c r="AR637" s="1222"/>
      <c r="AS637" s="1222"/>
      <c r="AT637" s="1222"/>
      <c r="AU637" s="1120"/>
      <c r="AV637" s="445"/>
      <c r="AW637" s="607"/>
      <c r="AX637" s="607"/>
      <c r="AY637" s="607"/>
      <c r="AZ637" s="1209"/>
      <c r="BA637" s="1209"/>
    </row>
    <row r="638" spans="2:53" s="256" customFormat="1" ht="24.95" customHeight="1">
      <c r="B638" s="445"/>
      <c r="C638" s="204"/>
      <c r="D638" s="204"/>
      <c r="E638" s="204"/>
      <c r="F638" s="368"/>
      <c r="G638" s="1134"/>
      <c r="H638" s="401"/>
      <c r="I638" s="317"/>
      <c r="N638" s="317"/>
      <c r="O638" s="1135"/>
      <c r="P638" s="1136"/>
      <c r="Q638" s="1137"/>
      <c r="R638" s="1120"/>
      <c r="S638" s="1120"/>
      <c r="T638" s="1120"/>
      <c r="U638" s="1120"/>
      <c r="V638" s="1120"/>
      <c r="W638" s="1120"/>
      <c r="Z638" s="1145"/>
      <c r="AA638" s="1120"/>
      <c r="AB638" s="1120"/>
      <c r="AC638" s="1120"/>
      <c r="AD638" s="1212"/>
      <c r="AE638" s="1212"/>
      <c r="AF638" s="1186"/>
      <c r="AG638" s="1186"/>
      <c r="AH638" s="1222"/>
      <c r="AI638" s="1222"/>
      <c r="AJ638" s="1222"/>
      <c r="AK638" s="1222"/>
      <c r="AL638" s="1222"/>
      <c r="AM638" s="1222"/>
      <c r="AN638" s="1222"/>
      <c r="AO638" s="1222"/>
      <c r="AP638" s="1222"/>
      <c r="AQ638" s="1222"/>
      <c r="AR638" s="1222"/>
      <c r="AS638" s="1222"/>
      <c r="AT638" s="1222"/>
      <c r="AU638" s="1120"/>
      <c r="AV638" s="445"/>
      <c r="AW638" s="607"/>
      <c r="AX638" s="607"/>
      <c r="AY638" s="607"/>
      <c r="AZ638" s="1209"/>
      <c r="BA638" s="1209"/>
    </row>
    <row r="639" spans="2:53" s="256" customFormat="1" ht="24.95" customHeight="1">
      <c r="B639" s="445"/>
      <c r="C639" s="204"/>
      <c r="D639" s="204"/>
      <c r="E639" s="204"/>
      <c r="F639" s="368"/>
      <c r="G639" s="1134"/>
      <c r="H639" s="401"/>
      <c r="I639" s="317"/>
      <c r="N639" s="317"/>
      <c r="O639" s="1135"/>
      <c r="P639" s="1136"/>
      <c r="Q639" s="1137"/>
      <c r="R639" s="1120"/>
      <c r="S639" s="1120"/>
      <c r="T639" s="1120"/>
      <c r="U639" s="1120"/>
      <c r="V639" s="1120"/>
      <c r="W639" s="1120"/>
      <c r="Z639" s="1145"/>
      <c r="AA639" s="1120"/>
      <c r="AB639" s="1120"/>
      <c r="AC639" s="1120"/>
      <c r="AD639" s="1212"/>
      <c r="AE639" s="1212"/>
      <c r="AF639" s="1186"/>
      <c r="AG639" s="1186"/>
      <c r="AH639" s="1222"/>
      <c r="AI639" s="1222"/>
      <c r="AJ639" s="1222"/>
      <c r="AK639" s="1222"/>
      <c r="AL639" s="1222"/>
      <c r="AM639" s="1222"/>
      <c r="AN639" s="1222"/>
      <c r="AO639" s="1222"/>
      <c r="AP639" s="1222"/>
      <c r="AQ639" s="1222"/>
      <c r="AR639" s="1222"/>
      <c r="AS639" s="1222"/>
      <c r="AT639" s="1222"/>
      <c r="AU639" s="1120"/>
      <c r="AV639" s="445"/>
      <c r="AW639" s="607"/>
      <c r="AX639" s="607"/>
      <c r="AY639" s="607"/>
      <c r="AZ639" s="1209"/>
      <c r="BA639" s="1209"/>
    </row>
    <row r="640" spans="2:53" s="256" customFormat="1" ht="24.95" customHeight="1">
      <c r="B640" s="445"/>
      <c r="C640" s="204"/>
      <c r="D640" s="204"/>
      <c r="E640" s="204"/>
      <c r="F640" s="368"/>
      <c r="G640" s="1134"/>
      <c r="H640" s="401"/>
      <c r="I640" s="317"/>
      <c r="N640" s="317"/>
      <c r="O640" s="1135"/>
      <c r="P640" s="1136"/>
      <c r="Q640" s="1137"/>
      <c r="R640" s="1120"/>
      <c r="S640" s="1120"/>
      <c r="T640" s="1120"/>
      <c r="U640" s="1120"/>
      <c r="V640" s="1120"/>
      <c r="W640" s="1120"/>
      <c r="Z640" s="1145"/>
      <c r="AA640" s="1120"/>
      <c r="AB640" s="1120"/>
      <c r="AC640" s="1120"/>
      <c r="AD640" s="1212"/>
      <c r="AE640" s="1212"/>
      <c r="AF640" s="1186"/>
      <c r="AG640" s="1186"/>
      <c r="AH640" s="1222"/>
      <c r="AI640" s="1222"/>
      <c r="AJ640" s="1222"/>
      <c r="AK640" s="1222"/>
      <c r="AL640" s="1222"/>
      <c r="AM640" s="1222"/>
      <c r="AN640" s="1222"/>
      <c r="AO640" s="1222"/>
      <c r="AP640" s="1222"/>
      <c r="AQ640" s="1222"/>
      <c r="AR640" s="1222"/>
      <c r="AS640" s="1222"/>
      <c r="AT640" s="1222"/>
      <c r="AU640" s="1120"/>
      <c r="AV640" s="445"/>
      <c r="AW640" s="607"/>
      <c r="AX640" s="607"/>
      <c r="AY640" s="607"/>
      <c r="AZ640" s="1209"/>
      <c r="BA640" s="1209"/>
    </row>
    <row r="641" spans="2:53" s="256" customFormat="1" ht="24.95" customHeight="1">
      <c r="B641" s="445"/>
      <c r="C641" s="204"/>
      <c r="D641" s="204"/>
      <c r="E641" s="204"/>
      <c r="F641" s="368"/>
      <c r="G641" s="1134"/>
      <c r="H641" s="401"/>
      <c r="I641" s="317"/>
      <c r="N641" s="317"/>
      <c r="O641" s="1135"/>
      <c r="P641" s="1136"/>
      <c r="Q641" s="1137"/>
      <c r="R641" s="1120"/>
      <c r="S641" s="1120"/>
      <c r="T641" s="1120"/>
      <c r="U641" s="1120"/>
      <c r="V641" s="1120"/>
      <c r="W641" s="1120"/>
      <c r="Z641" s="1145"/>
      <c r="AA641" s="1120"/>
      <c r="AB641" s="1120"/>
      <c r="AC641" s="1120"/>
      <c r="AD641" s="1212"/>
      <c r="AE641" s="1212"/>
      <c r="AF641" s="1186"/>
      <c r="AG641" s="1186"/>
      <c r="AH641" s="1222"/>
      <c r="AI641" s="1222"/>
      <c r="AJ641" s="1222"/>
      <c r="AK641" s="1222"/>
      <c r="AL641" s="1222"/>
      <c r="AM641" s="1222"/>
      <c r="AN641" s="1222"/>
      <c r="AO641" s="1222"/>
      <c r="AP641" s="1222"/>
      <c r="AQ641" s="1222"/>
      <c r="AR641" s="1222"/>
      <c r="AS641" s="1222"/>
      <c r="AT641" s="1222"/>
      <c r="AU641" s="1120"/>
      <c r="AV641" s="445"/>
      <c r="AW641" s="607"/>
      <c r="AX641" s="607"/>
      <c r="AY641" s="607"/>
      <c r="AZ641" s="1209"/>
      <c r="BA641" s="1209"/>
    </row>
    <row r="642" spans="2:53" s="256" customFormat="1" ht="24.95" customHeight="1">
      <c r="B642" s="445"/>
      <c r="C642" s="204"/>
      <c r="D642" s="204"/>
      <c r="E642" s="204"/>
      <c r="F642" s="368"/>
      <c r="G642" s="1134"/>
      <c r="H642" s="401"/>
      <c r="I642" s="317"/>
      <c r="N642" s="317"/>
      <c r="O642" s="1135"/>
      <c r="P642" s="1136"/>
      <c r="Q642" s="1137"/>
      <c r="R642" s="1120"/>
      <c r="S642" s="1120"/>
      <c r="T642" s="1120"/>
      <c r="U642" s="1120"/>
      <c r="V642" s="1120"/>
      <c r="W642" s="1120"/>
      <c r="Z642" s="1145"/>
      <c r="AA642" s="1120"/>
      <c r="AB642" s="1120"/>
      <c r="AC642" s="1120"/>
      <c r="AD642" s="1212"/>
      <c r="AE642" s="1212"/>
      <c r="AF642" s="1186"/>
      <c r="AG642" s="1186"/>
      <c r="AH642" s="1222"/>
      <c r="AI642" s="1222"/>
      <c r="AJ642" s="1222"/>
      <c r="AK642" s="1222"/>
      <c r="AL642" s="1222"/>
      <c r="AM642" s="1222"/>
      <c r="AN642" s="1222"/>
      <c r="AO642" s="1222"/>
      <c r="AP642" s="1222"/>
      <c r="AQ642" s="1222"/>
      <c r="AR642" s="1222"/>
      <c r="AS642" s="1222"/>
      <c r="AT642" s="1222"/>
      <c r="AU642" s="1120"/>
      <c r="AV642" s="445"/>
      <c r="AW642" s="607"/>
      <c r="AX642" s="607"/>
      <c r="AY642" s="607"/>
      <c r="AZ642" s="1209"/>
      <c r="BA642" s="1209"/>
    </row>
    <row r="643" spans="2:53" s="256" customFormat="1" ht="24.95" customHeight="1">
      <c r="B643" s="445"/>
      <c r="C643" s="204"/>
      <c r="D643" s="204"/>
      <c r="E643" s="204"/>
      <c r="F643" s="368"/>
      <c r="G643" s="1134"/>
      <c r="H643" s="401"/>
      <c r="I643" s="317"/>
      <c r="N643" s="317"/>
      <c r="O643" s="1135"/>
      <c r="P643" s="1136"/>
      <c r="Q643" s="1137"/>
      <c r="R643" s="1120"/>
      <c r="S643" s="1120"/>
      <c r="T643" s="1120"/>
      <c r="U643" s="1120"/>
      <c r="V643" s="1120"/>
      <c r="W643" s="1120"/>
      <c r="Z643" s="1145"/>
      <c r="AA643" s="1120"/>
      <c r="AB643" s="1120"/>
      <c r="AC643" s="1120"/>
      <c r="AD643" s="1212"/>
      <c r="AE643" s="1212"/>
      <c r="AF643" s="1186"/>
      <c r="AG643" s="1186"/>
      <c r="AH643" s="1222"/>
      <c r="AI643" s="1222"/>
      <c r="AJ643" s="1222"/>
      <c r="AK643" s="1222"/>
      <c r="AL643" s="1222"/>
      <c r="AM643" s="1222"/>
      <c r="AN643" s="1222"/>
      <c r="AO643" s="1222"/>
      <c r="AP643" s="1222"/>
      <c r="AQ643" s="1222"/>
      <c r="AR643" s="1222"/>
      <c r="AS643" s="1222"/>
      <c r="AT643" s="1222"/>
      <c r="AU643" s="1120"/>
      <c r="AV643" s="445"/>
      <c r="AW643" s="607"/>
      <c r="AX643" s="607"/>
      <c r="AY643" s="607"/>
      <c r="AZ643" s="1209"/>
      <c r="BA643" s="1209"/>
    </row>
    <row r="644" spans="2:53" s="256" customFormat="1" ht="24.95" customHeight="1">
      <c r="B644" s="445"/>
      <c r="C644" s="204"/>
      <c r="D644" s="204"/>
      <c r="E644" s="204"/>
      <c r="F644" s="368"/>
      <c r="G644" s="1134"/>
      <c r="H644" s="401"/>
      <c r="I644" s="317"/>
      <c r="N644" s="317"/>
      <c r="O644" s="1135"/>
      <c r="P644" s="1136"/>
      <c r="Q644" s="1137"/>
      <c r="R644" s="1120"/>
      <c r="S644" s="1120"/>
      <c r="T644" s="1120"/>
      <c r="U644" s="1120"/>
      <c r="V644" s="1120"/>
      <c r="W644" s="1120"/>
      <c r="Z644" s="1145"/>
      <c r="AA644" s="1120"/>
      <c r="AB644" s="1120"/>
      <c r="AC644" s="1120"/>
      <c r="AD644" s="1212"/>
      <c r="AE644" s="1212"/>
      <c r="AF644" s="1186"/>
      <c r="AG644" s="1186"/>
      <c r="AH644" s="1222"/>
      <c r="AI644" s="1222"/>
      <c r="AJ644" s="1222"/>
      <c r="AK644" s="1222"/>
      <c r="AL644" s="1222"/>
      <c r="AM644" s="1222"/>
      <c r="AN644" s="1222"/>
      <c r="AO644" s="1222"/>
      <c r="AP644" s="1222"/>
      <c r="AQ644" s="1222"/>
      <c r="AR644" s="1222"/>
      <c r="AS644" s="1222"/>
      <c r="AT644" s="1222"/>
      <c r="AU644" s="1120"/>
      <c r="AV644" s="445"/>
      <c r="AW644" s="607"/>
      <c r="AX644" s="607"/>
      <c r="AY644" s="607"/>
      <c r="AZ644" s="1209"/>
      <c r="BA644" s="1209"/>
    </row>
    <row r="645" spans="2:53" s="256" customFormat="1" ht="24.95" customHeight="1">
      <c r="B645" s="445"/>
      <c r="C645" s="204"/>
      <c r="D645" s="204"/>
      <c r="E645" s="204"/>
      <c r="F645" s="368"/>
      <c r="G645" s="1134"/>
      <c r="H645" s="401"/>
      <c r="I645" s="317"/>
      <c r="N645" s="317"/>
      <c r="O645" s="1135"/>
      <c r="P645" s="1136"/>
      <c r="Q645" s="1137"/>
      <c r="R645" s="1120"/>
      <c r="S645" s="1120"/>
      <c r="T645" s="1120"/>
      <c r="U645" s="1120"/>
      <c r="V645" s="1120"/>
      <c r="W645" s="1120"/>
      <c r="Z645" s="1145"/>
      <c r="AA645" s="1120"/>
      <c r="AB645" s="1120"/>
      <c r="AC645" s="1120"/>
      <c r="AD645" s="1212"/>
      <c r="AE645" s="1212"/>
      <c r="AF645" s="1186"/>
      <c r="AG645" s="1186"/>
      <c r="AH645" s="1222"/>
      <c r="AI645" s="1222"/>
      <c r="AJ645" s="1222"/>
      <c r="AK645" s="1222"/>
      <c r="AL645" s="1222"/>
      <c r="AM645" s="1222"/>
      <c r="AN645" s="1222"/>
      <c r="AO645" s="1222"/>
      <c r="AP645" s="1222"/>
      <c r="AQ645" s="1222"/>
      <c r="AR645" s="1222"/>
      <c r="AS645" s="1222"/>
      <c r="AT645" s="1222"/>
      <c r="AU645" s="1120"/>
      <c r="AV645" s="445"/>
      <c r="AW645" s="607"/>
      <c r="AX645" s="607"/>
      <c r="AY645" s="607"/>
      <c r="AZ645" s="1209"/>
      <c r="BA645" s="1209"/>
    </row>
    <row r="646" spans="2:53" s="256" customFormat="1" ht="24.95" customHeight="1">
      <c r="B646" s="445"/>
      <c r="C646" s="204"/>
      <c r="D646" s="204"/>
      <c r="E646" s="204"/>
      <c r="F646" s="368"/>
      <c r="G646" s="1134"/>
      <c r="H646" s="401"/>
      <c r="I646" s="317"/>
      <c r="N646" s="317"/>
      <c r="O646" s="1135"/>
      <c r="P646" s="1136"/>
      <c r="Q646" s="1137"/>
      <c r="R646" s="1120"/>
      <c r="S646" s="1120"/>
      <c r="T646" s="1120"/>
      <c r="U646" s="1120"/>
      <c r="V646" s="1120"/>
      <c r="W646" s="1120"/>
      <c r="Z646" s="1145"/>
      <c r="AA646" s="1120"/>
      <c r="AB646" s="1120"/>
      <c r="AC646" s="1120"/>
      <c r="AD646" s="1212"/>
      <c r="AE646" s="1212"/>
      <c r="AF646" s="1186"/>
      <c r="AG646" s="1186"/>
      <c r="AH646" s="1222"/>
      <c r="AI646" s="1222"/>
      <c r="AJ646" s="1222"/>
      <c r="AK646" s="1222"/>
      <c r="AL646" s="1222"/>
      <c r="AM646" s="1222"/>
      <c r="AN646" s="1222"/>
      <c r="AO646" s="1222"/>
      <c r="AP646" s="1222"/>
      <c r="AQ646" s="1222"/>
      <c r="AR646" s="1222"/>
      <c r="AS646" s="1222"/>
      <c r="AT646" s="1222"/>
      <c r="AU646" s="1120"/>
      <c r="AV646" s="445"/>
      <c r="AW646" s="607"/>
      <c r="AX646" s="607"/>
      <c r="AY646" s="607"/>
      <c r="AZ646" s="1209"/>
      <c r="BA646" s="1209"/>
    </row>
    <row r="647" spans="2:53" s="256" customFormat="1" ht="24.95" customHeight="1">
      <c r="B647" s="445"/>
      <c r="C647" s="204"/>
      <c r="D647" s="204"/>
      <c r="E647" s="204"/>
      <c r="F647" s="368"/>
      <c r="G647" s="1134"/>
      <c r="H647" s="401"/>
      <c r="I647" s="317"/>
      <c r="N647" s="317"/>
      <c r="O647" s="1135"/>
      <c r="P647" s="1136"/>
      <c r="Q647" s="1137"/>
      <c r="R647" s="1120"/>
      <c r="S647" s="1120"/>
      <c r="T647" s="1120"/>
      <c r="U647" s="1120"/>
      <c r="V647" s="1120"/>
      <c r="W647" s="1120"/>
      <c r="Z647" s="1145"/>
      <c r="AA647" s="1120"/>
      <c r="AB647" s="1120"/>
      <c r="AC647" s="1120"/>
      <c r="AD647" s="1212"/>
      <c r="AE647" s="1212"/>
      <c r="AF647" s="1186"/>
      <c r="AG647" s="1186"/>
      <c r="AH647" s="1222"/>
      <c r="AI647" s="1222"/>
      <c r="AJ647" s="1222"/>
      <c r="AK647" s="1222"/>
      <c r="AL647" s="1222"/>
      <c r="AM647" s="1222"/>
      <c r="AN647" s="1222"/>
      <c r="AO647" s="1222"/>
      <c r="AP647" s="1222"/>
      <c r="AQ647" s="1222"/>
      <c r="AR647" s="1222"/>
      <c r="AS647" s="1222"/>
      <c r="AT647" s="1222"/>
      <c r="AU647" s="1120"/>
      <c r="AV647" s="445"/>
      <c r="AW647" s="607"/>
      <c r="AX647" s="607"/>
      <c r="AY647" s="607"/>
      <c r="AZ647" s="1209"/>
      <c r="BA647" s="1209"/>
    </row>
    <row r="648" spans="2:53" s="256" customFormat="1" ht="24.95" customHeight="1">
      <c r="B648" s="445"/>
      <c r="C648" s="204"/>
      <c r="D648" s="204"/>
      <c r="E648" s="204"/>
      <c r="F648" s="368"/>
      <c r="G648" s="1134"/>
      <c r="H648" s="401"/>
      <c r="I648" s="317"/>
      <c r="N648" s="317"/>
      <c r="O648" s="1135"/>
      <c r="P648" s="1136"/>
      <c r="Q648" s="1137"/>
      <c r="R648" s="1120"/>
      <c r="S648" s="1120"/>
      <c r="T648" s="1120"/>
      <c r="U648" s="1120"/>
      <c r="V648" s="1120"/>
      <c r="W648" s="1120"/>
      <c r="Z648" s="1145"/>
      <c r="AA648" s="1120"/>
      <c r="AB648" s="1120"/>
      <c r="AC648" s="1120"/>
      <c r="AD648" s="1212"/>
      <c r="AE648" s="1212"/>
      <c r="AF648" s="1186"/>
      <c r="AG648" s="1186"/>
      <c r="AH648" s="1222"/>
      <c r="AI648" s="1222"/>
      <c r="AJ648" s="1222"/>
      <c r="AK648" s="1222"/>
      <c r="AL648" s="1222"/>
      <c r="AM648" s="1222"/>
      <c r="AN648" s="1222"/>
      <c r="AO648" s="1222"/>
      <c r="AP648" s="1222"/>
      <c r="AQ648" s="1222"/>
      <c r="AR648" s="1222"/>
      <c r="AS648" s="1222"/>
      <c r="AT648" s="1222"/>
      <c r="AU648" s="1120"/>
      <c r="AV648" s="445"/>
      <c r="AW648" s="607"/>
      <c r="AX648" s="607"/>
      <c r="AY648" s="607"/>
      <c r="AZ648" s="1209"/>
      <c r="BA648" s="1209"/>
    </row>
    <row r="649" spans="2:53" s="256" customFormat="1" ht="24.95" customHeight="1">
      <c r="B649" s="445"/>
      <c r="C649" s="204"/>
      <c r="D649" s="204"/>
      <c r="E649" s="204"/>
      <c r="F649" s="368"/>
      <c r="G649" s="1134"/>
      <c r="H649" s="401"/>
      <c r="I649" s="317"/>
      <c r="N649" s="317"/>
      <c r="O649" s="1135"/>
      <c r="P649" s="1136"/>
      <c r="Q649" s="1137"/>
      <c r="R649" s="1120"/>
      <c r="S649" s="1120"/>
      <c r="T649" s="1120"/>
      <c r="U649" s="1120"/>
      <c r="V649" s="1120"/>
      <c r="W649" s="1120"/>
      <c r="Z649" s="1145"/>
      <c r="AA649" s="1120"/>
      <c r="AB649" s="1120"/>
      <c r="AC649" s="1120"/>
      <c r="AD649" s="1212"/>
      <c r="AE649" s="1212"/>
      <c r="AF649" s="1186"/>
      <c r="AG649" s="1186"/>
      <c r="AH649" s="1222"/>
      <c r="AI649" s="1222"/>
      <c r="AJ649" s="1222"/>
      <c r="AK649" s="1222"/>
      <c r="AL649" s="1222"/>
      <c r="AM649" s="1222"/>
      <c r="AN649" s="1222"/>
      <c r="AO649" s="1222"/>
      <c r="AP649" s="1222"/>
      <c r="AQ649" s="1222"/>
      <c r="AR649" s="1222"/>
      <c r="AS649" s="1222"/>
      <c r="AT649" s="1222"/>
      <c r="AU649" s="1120"/>
      <c r="AV649" s="445"/>
      <c r="AW649" s="607"/>
      <c r="AX649" s="607"/>
      <c r="AY649" s="607"/>
      <c r="AZ649" s="1209"/>
      <c r="BA649" s="1209"/>
    </row>
    <row r="650" spans="2:53" s="256" customFormat="1" ht="24.95" customHeight="1">
      <c r="B650" s="445"/>
      <c r="C650" s="204"/>
      <c r="D650" s="204"/>
      <c r="E650" s="204"/>
      <c r="F650" s="368"/>
      <c r="G650" s="1134"/>
      <c r="H650" s="401"/>
      <c r="I650" s="317"/>
      <c r="N650" s="317"/>
      <c r="O650" s="1135"/>
      <c r="P650" s="1136"/>
      <c r="Q650" s="1137"/>
      <c r="R650" s="1120"/>
      <c r="S650" s="1120"/>
      <c r="T650" s="1120"/>
      <c r="U650" s="1120"/>
      <c r="V650" s="1120"/>
      <c r="W650" s="1120"/>
      <c r="Z650" s="1145"/>
      <c r="AA650" s="1120"/>
      <c r="AB650" s="1120"/>
      <c r="AC650" s="1120"/>
      <c r="AD650" s="1212"/>
      <c r="AE650" s="1212"/>
      <c r="AF650" s="1186"/>
      <c r="AG650" s="1186"/>
      <c r="AH650" s="1222"/>
      <c r="AI650" s="1222"/>
      <c r="AJ650" s="1222"/>
      <c r="AK650" s="1222"/>
      <c r="AL650" s="1222"/>
      <c r="AM650" s="1222"/>
      <c r="AN650" s="1222"/>
      <c r="AO650" s="1222"/>
      <c r="AP650" s="1222"/>
      <c r="AQ650" s="1222"/>
      <c r="AR650" s="1222"/>
      <c r="AS650" s="1222"/>
      <c r="AT650" s="1222"/>
      <c r="AU650" s="1120"/>
      <c r="AV650" s="445"/>
      <c r="AW650" s="607"/>
      <c r="AX650" s="607"/>
      <c r="AY650" s="607"/>
      <c r="AZ650" s="1209"/>
      <c r="BA650" s="1209"/>
    </row>
    <row r="651" spans="2:53" s="256" customFormat="1" ht="24.95" customHeight="1">
      <c r="B651" s="445"/>
      <c r="C651" s="204"/>
      <c r="D651" s="204"/>
      <c r="E651" s="204"/>
      <c r="F651" s="368"/>
      <c r="G651" s="1134"/>
      <c r="H651" s="401"/>
      <c r="I651" s="317"/>
      <c r="N651" s="317"/>
      <c r="O651" s="1135"/>
      <c r="P651" s="1136"/>
      <c r="Q651" s="1137"/>
      <c r="R651" s="1120"/>
      <c r="S651" s="1120"/>
      <c r="T651" s="1120"/>
      <c r="U651" s="1120"/>
      <c r="V651" s="1120"/>
      <c r="W651" s="1120"/>
      <c r="Z651" s="1145"/>
      <c r="AA651" s="1120"/>
      <c r="AB651" s="1120"/>
      <c r="AC651" s="1120"/>
      <c r="AD651" s="1212"/>
      <c r="AE651" s="1212"/>
      <c r="AF651" s="1186"/>
      <c r="AG651" s="1186"/>
      <c r="AH651" s="1222"/>
      <c r="AI651" s="1222"/>
      <c r="AJ651" s="1222"/>
      <c r="AK651" s="1222"/>
      <c r="AL651" s="1222"/>
      <c r="AM651" s="1222"/>
      <c r="AN651" s="1222"/>
      <c r="AO651" s="1222"/>
      <c r="AP651" s="1222"/>
      <c r="AQ651" s="1222"/>
      <c r="AR651" s="1222"/>
      <c r="AS651" s="1222"/>
      <c r="AT651" s="1222"/>
      <c r="AU651" s="1120"/>
      <c r="AV651" s="445"/>
      <c r="AW651" s="607"/>
      <c r="AX651" s="607"/>
      <c r="AY651" s="607"/>
      <c r="AZ651" s="1209"/>
      <c r="BA651" s="1209"/>
    </row>
    <row r="652" spans="2:53" s="256" customFormat="1" ht="24.95" customHeight="1">
      <c r="B652" s="445"/>
      <c r="C652" s="204"/>
      <c r="D652" s="204"/>
      <c r="E652" s="204"/>
      <c r="F652" s="368"/>
      <c r="G652" s="1134"/>
      <c r="H652" s="401"/>
      <c r="I652" s="317"/>
      <c r="N652" s="317"/>
      <c r="O652" s="1135"/>
      <c r="P652" s="1136"/>
      <c r="Q652" s="1137"/>
      <c r="R652" s="1120"/>
      <c r="S652" s="1120"/>
      <c r="T652" s="1120"/>
      <c r="U652" s="1120"/>
      <c r="V652" s="1120"/>
      <c r="W652" s="1120"/>
      <c r="Z652" s="1145"/>
      <c r="AA652" s="1120"/>
      <c r="AB652" s="1120"/>
      <c r="AC652" s="1120"/>
      <c r="AD652" s="1212"/>
      <c r="AE652" s="1212"/>
      <c r="AF652" s="1186"/>
      <c r="AG652" s="1186"/>
      <c r="AH652" s="1222"/>
      <c r="AI652" s="1222"/>
      <c r="AJ652" s="1222"/>
      <c r="AK652" s="1222"/>
      <c r="AL652" s="1222"/>
      <c r="AM652" s="1222"/>
      <c r="AN652" s="1222"/>
      <c r="AO652" s="1222"/>
      <c r="AP652" s="1222"/>
      <c r="AQ652" s="1222"/>
      <c r="AR652" s="1222"/>
      <c r="AS652" s="1222"/>
      <c r="AT652" s="1222"/>
      <c r="AU652" s="1120"/>
      <c r="AV652" s="445"/>
      <c r="AW652" s="607"/>
      <c r="AX652" s="607"/>
      <c r="AY652" s="607"/>
      <c r="AZ652" s="1209"/>
      <c r="BA652" s="1209"/>
    </row>
    <row r="653" spans="2:53" s="256" customFormat="1" ht="24.95" customHeight="1">
      <c r="B653" s="445"/>
      <c r="C653" s="204"/>
      <c r="D653" s="204"/>
      <c r="E653" s="204"/>
      <c r="F653" s="368"/>
      <c r="G653" s="1134"/>
      <c r="H653" s="401"/>
      <c r="I653" s="317"/>
      <c r="N653" s="317"/>
      <c r="O653" s="1135"/>
      <c r="P653" s="1136"/>
      <c r="Q653" s="1137"/>
      <c r="R653" s="1120"/>
      <c r="S653" s="1120"/>
      <c r="T653" s="1120"/>
      <c r="U653" s="1120"/>
      <c r="V653" s="1120"/>
      <c r="W653" s="1120"/>
      <c r="Z653" s="1145"/>
      <c r="AA653" s="1120"/>
      <c r="AB653" s="1120"/>
      <c r="AC653" s="1120"/>
      <c r="AD653" s="1212"/>
      <c r="AE653" s="1212"/>
      <c r="AF653" s="1186"/>
      <c r="AG653" s="1186"/>
      <c r="AH653" s="1222"/>
      <c r="AI653" s="1222"/>
      <c r="AJ653" s="1222"/>
      <c r="AK653" s="1222"/>
      <c r="AL653" s="1222"/>
      <c r="AM653" s="1222"/>
      <c r="AN653" s="1222"/>
      <c r="AO653" s="1222"/>
      <c r="AP653" s="1222"/>
      <c r="AQ653" s="1222"/>
      <c r="AR653" s="1222"/>
      <c r="AS653" s="1222"/>
      <c r="AT653" s="1222"/>
      <c r="AU653" s="1120"/>
      <c r="AV653" s="445"/>
      <c r="AW653" s="607"/>
      <c r="AX653" s="607"/>
      <c r="AY653" s="607"/>
      <c r="AZ653" s="1209"/>
      <c r="BA653" s="1209"/>
    </row>
    <row r="654" spans="2:53" s="256" customFormat="1" ht="24.95" customHeight="1">
      <c r="B654" s="445"/>
      <c r="C654" s="204"/>
      <c r="D654" s="204"/>
      <c r="E654" s="204"/>
      <c r="F654" s="368"/>
      <c r="G654" s="1134"/>
      <c r="H654" s="401"/>
      <c r="I654" s="317"/>
      <c r="N654" s="317"/>
      <c r="O654" s="1135"/>
      <c r="P654" s="1136"/>
      <c r="Q654" s="1137"/>
      <c r="R654" s="1120"/>
      <c r="S654" s="1120"/>
      <c r="T654" s="1120"/>
      <c r="U654" s="1120"/>
      <c r="V654" s="1120"/>
      <c r="W654" s="1120"/>
      <c r="Z654" s="1145"/>
      <c r="AA654" s="1120"/>
      <c r="AB654" s="1120"/>
      <c r="AC654" s="1120"/>
      <c r="AD654" s="1212"/>
      <c r="AE654" s="1212"/>
      <c r="AF654" s="1186"/>
      <c r="AG654" s="1186"/>
      <c r="AH654" s="1222"/>
      <c r="AI654" s="1222"/>
      <c r="AJ654" s="1222"/>
      <c r="AK654" s="1222"/>
      <c r="AL654" s="1222"/>
      <c r="AM654" s="1222"/>
      <c r="AN654" s="1222"/>
      <c r="AO654" s="1222"/>
      <c r="AP654" s="1222"/>
      <c r="AQ654" s="1222"/>
      <c r="AR654" s="1222"/>
      <c r="AS654" s="1222"/>
      <c r="AT654" s="1222"/>
      <c r="AU654" s="1120"/>
      <c r="AV654" s="445"/>
      <c r="AW654" s="607"/>
      <c r="AX654" s="607"/>
      <c r="AY654" s="607"/>
      <c r="AZ654" s="1209"/>
      <c r="BA654" s="1209"/>
    </row>
    <row r="655" spans="2:53" s="256" customFormat="1" ht="24.95" customHeight="1">
      <c r="B655" s="445"/>
      <c r="C655" s="204"/>
      <c r="D655" s="204"/>
      <c r="E655" s="204"/>
      <c r="F655" s="368"/>
      <c r="G655" s="1134"/>
      <c r="H655" s="401"/>
      <c r="I655" s="317"/>
      <c r="N655" s="317"/>
      <c r="O655" s="1135"/>
      <c r="P655" s="1136"/>
      <c r="Q655" s="1137"/>
      <c r="R655" s="1120"/>
      <c r="S655" s="1120"/>
      <c r="T655" s="1120"/>
      <c r="U655" s="1120"/>
      <c r="V655" s="1120"/>
      <c r="W655" s="1120"/>
      <c r="Z655" s="1145"/>
      <c r="AA655" s="1120"/>
      <c r="AB655" s="1120"/>
      <c r="AC655" s="1120"/>
      <c r="AD655" s="1212"/>
      <c r="AE655" s="1212"/>
      <c r="AF655" s="1186"/>
      <c r="AG655" s="1186"/>
      <c r="AH655" s="1222"/>
      <c r="AI655" s="1222"/>
      <c r="AJ655" s="1222"/>
      <c r="AK655" s="1222"/>
      <c r="AL655" s="1222"/>
      <c r="AM655" s="1222"/>
      <c r="AN655" s="1222"/>
      <c r="AO655" s="1222"/>
      <c r="AP655" s="1222"/>
      <c r="AQ655" s="1222"/>
      <c r="AR655" s="1222"/>
      <c r="AS655" s="1222"/>
      <c r="AT655" s="1222"/>
      <c r="AU655" s="1120"/>
      <c r="AV655" s="445"/>
      <c r="AW655" s="607"/>
      <c r="AX655" s="607"/>
      <c r="AY655" s="607"/>
      <c r="AZ655" s="1209"/>
      <c r="BA655" s="1209"/>
    </row>
    <row r="656" spans="2:53" s="256" customFormat="1" ht="24.95" customHeight="1">
      <c r="B656" s="445"/>
      <c r="C656" s="204"/>
      <c r="D656" s="204"/>
      <c r="E656" s="204"/>
      <c r="F656" s="368"/>
      <c r="G656" s="1134"/>
      <c r="H656" s="401"/>
      <c r="I656" s="317"/>
      <c r="N656" s="317"/>
      <c r="O656" s="1135"/>
      <c r="P656" s="1136"/>
      <c r="Q656" s="1137"/>
      <c r="R656" s="1120"/>
      <c r="S656" s="1120"/>
      <c r="T656" s="1120"/>
      <c r="U656" s="1120"/>
      <c r="V656" s="1120"/>
      <c r="W656" s="1120"/>
      <c r="Z656" s="1145"/>
      <c r="AA656" s="1120"/>
      <c r="AB656" s="1120"/>
      <c r="AC656" s="1120"/>
      <c r="AD656" s="1212"/>
      <c r="AE656" s="1212"/>
      <c r="AF656" s="1186"/>
      <c r="AG656" s="1186"/>
      <c r="AH656" s="1222"/>
      <c r="AI656" s="1222"/>
      <c r="AJ656" s="1222"/>
      <c r="AK656" s="1222"/>
      <c r="AL656" s="1222"/>
      <c r="AM656" s="1222"/>
      <c r="AN656" s="1222"/>
      <c r="AO656" s="1222"/>
      <c r="AP656" s="1222"/>
      <c r="AQ656" s="1222"/>
      <c r="AR656" s="1222"/>
      <c r="AS656" s="1222"/>
      <c r="AT656" s="1222"/>
      <c r="AU656" s="1120"/>
      <c r="AV656" s="445"/>
      <c r="AW656" s="607"/>
      <c r="AX656" s="607"/>
      <c r="AY656" s="607"/>
      <c r="AZ656" s="1209"/>
      <c r="BA656" s="1209"/>
    </row>
    <row r="657" spans="2:53" s="256" customFormat="1" ht="24.95" customHeight="1">
      <c r="B657" s="445"/>
      <c r="C657" s="204"/>
      <c r="D657" s="204"/>
      <c r="E657" s="204"/>
      <c r="F657" s="368"/>
      <c r="G657" s="1134"/>
      <c r="H657" s="401"/>
      <c r="I657" s="317"/>
      <c r="N657" s="317"/>
      <c r="O657" s="1135"/>
      <c r="P657" s="1136"/>
      <c r="Q657" s="1137"/>
      <c r="R657" s="1120"/>
      <c r="S657" s="1120"/>
      <c r="T657" s="1120"/>
      <c r="U657" s="1120"/>
      <c r="V657" s="1120"/>
      <c r="W657" s="1120"/>
      <c r="Z657" s="1145"/>
      <c r="AA657" s="1120"/>
      <c r="AB657" s="1120"/>
      <c r="AC657" s="1120"/>
      <c r="AD657" s="1212"/>
      <c r="AE657" s="1212"/>
      <c r="AF657" s="1186"/>
      <c r="AG657" s="1186"/>
      <c r="AH657" s="1222"/>
      <c r="AI657" s="1222"/>
      <c r="AJ657" s="1222"/>
      <c r="AK657" s="1222"/>
      <c r="AL657" s="1222"/>
      <c r="AM657" s="1222"/>
      <c r="AN657" s="1222"/>
      <c r="AO657" s="1222"/>
      <c r="AP657" s="1222"/>
      <c r="AQ657" s="1222"/>
      <c r="AR657" s="1222"/>
      <c r="AS657" s="1222"/>
      <c r="AT657" s="1222"/>
      <c r="AU657" s="1120"/>
      <c r="AV657" s="445"/>
      <c r="AW657" s="607"/>
      <c r="AX657" s="607"/>
      <c r="AY657" s="607"/>
      <c r="AZ657" s="1209"/>
      <c r="BA657" s="1209"/>
    </row>
    <row r="658" spans="2:53" s="256" customFormat="1" ht="24.95" customHeight="1">
      <c r="B658" s="445"/>
      <c r="C658" s="204"/>
      <c r="D658" s="204"/>
      <c r="E658" s="204"/>
      <c r="F658" s="368"/>
      <c r="G658" s="1134"/>
      <c r="H658" s="401"/>
      <c r="I658" s="317"/>
      <c r="N658" s="317"/>
      <c r="O658" s="1135"/>
      <c r="P658" s="1136"/>
      <c r="Q658" s="1137"/>
      <c r="R658" s="1120"/>
      <c r="S658" s="1120"/>
      <c r="T658" s="1120"/>
      <c r="U658" s="1120"/>
      <c r="V658" s="1120"/>
      <c r="W658" s="1120"/>
      <c r="Z658" s="1145"/>
      <c r="AA658" s="1120"/>
      <c r="AB658" s="1120"/>
      <c r="AC658" s="1120"/>
      <c r="AD658" s="1212"/>
      <c r="AE658" s="1212"/>
      <c r="AF658" s="1186"/>
      <c r="AG658" s="1186"/>
      <c r="AH658" s="1222"/>
      <c r="AI658" s="1222"/>
      <c r="AJ658" s="1222"/>
      <c r="AK658" s="1222"/>
      <c r="AL658" s="1222"/>
      <c r="AM658" s="1222"/>
      <c r="AN658" s="1222"/>
      <c r="AO658" s="1222"/>
      <c r="AP658" s="1222"/>
      <c r="AQ658" s="1222"/>
      <c r="AR658" s="1222"/>
      <c r="AS658" s="1222"/>
      <c r="AT658" s="1222"/>
      <c r="AU658" s="1120"/>
      <c r="AV658" s="445"/>
      <c r="AW658" s="607"/>
      <c r="AX658" s="607"/>
      <c r="AY658" s="607"/>
      <c r="AZ658" s="1209"/>
      <c r="BA658" s="1209"/>
    </row>
    <row r="659" spans="2:53" s="256" customFormat="1" ht="24.95" customHeight="1">
      <c r="B659" s="445"/>
      <c r="C659" s="204"/>
      <c r="D659" s="204"/>
      <c r="E659" s="204"/>
      <c r="F659" s="368"/>
      <c r="G659" s="1134"/>
      <c r="H659" s="401"/>
      <c r="I659" s="317"/>
      <c r="N659" s="317"/>
      <c r="O659" s="1135"/>
      <c r="P659" s="1136"/>
      <c r="Q659" s="1137"/>
      <c r="R659" s="1120"/>
      <c r="S659" s="1120"/>
      <c r="T659" s="1120"/>
      <c r="U659" s="1120"/>
      <c r="V659" s="1120"/>
      <c r="W659" s="1120"/>
      <c r="Z659" s="1145"/>
      <c r="AA659" s="1120"/>
      <c r="AB659" s="1120"/>
      <c r="AC659" s="1120"/>
      <c r="AD659" s="1212"/>
      <c r="AE659" s="1212"/>
      <c r="AF659" s="1186"/>
      <c r="AG659" s="1186"/>
      <c r="AH659" s="1222"/>
      <c r="AI659" s="1222"/>
      <c r="AJ659" s="1222"/>
      <c r="AK659" s="1222"/>
      <c r="AL659" s="1222"/>
      <c r="AM659" s="1222"/>
      <c r="AN659" s="1222"/>
      <c r="AO659" s="1222"/>
      <c r="AP659" s="1222"/>
      <c r="AQ659" s="1222"/>
      <c r="AR659" s="1222"/>
      <c r="AS659" s="1222"/>
      <c r="AT659" s="1222"/>
      <c r="AU659" s="1120"/>
      <c r="AV659" s="445"/>
      <c r="AW659" s="607"/>
      <c r="AX659" s="607"/>
      <c r="AY659" s="607"/>
      <c r="AZ659" s="1209"/>
      <c r="BA659" s="1209"/>
    </row>
    <row r="660" spans="2:53" s="256" customFormat="1" ht="24.95" customHeight="1">
      <c r="B660" s="445"/>
      <c r="C660" s="204"/>
      <c r="D660" s="204"/>
      <c r="E660" s="204"/>
      <c r="F660" s="368"/>
      <c r="G660" s="1134"/>
      <c r="H660" s="401"/>
      <c r="I660" s="317"/>
      <c r="N660" s="317"/>
      <c r="O660" s="1135"/>
      <c r="P660" s="1136"/>
      <c r="Q660" s="1137"/>
      <c r="R660" s="1120"/>
      <c r="S660" s="1120"/>
      <c r="T660" s="1120"/>
      <c r="U660" s="1120"/>
      <c r="V660" s="1120"/>
      <c r="W660" s="1120"/>
      <c r="Z660" s="1145"/>
      <c r="AA660" s="1120"/>
      <c r="AB660" s="1120"/>
      <c r="AC660" s="1120"/>
      <c r="AD660" s="1212"/>
      <c r="AE660" s="1212"/>
      <c r="AF660" s="1186"/>
      <c r="AG660" s="1186"/>
      <c r="AH660" s="1222"/>
      <c r="AI660" s="1222"/>
      <c r="AJ660" s="1222"/>
      <c r="AK660" s="1222"/>
      <c r="AL660" s="1222"/>
      <c r="AM660" s="1222"/>
      <c r="AN660" s="1222"/>
      <c r="AO660" s="1222"/>
      <c r="AP660" s="1222"/>
      <c r="AQ660" s="1222"/>
      <c r="AR660" s="1222"/>
      <c r="AS660" s="1222"/>
      <c r="AT660" s="1222"/>
      <c r="AU660" s="1120"/>
      <c r="AV660" s="445"/>
      <c r="AW660" s="607"/>
      <c r="AX660" s="607"/>
      <c r="AY660" s="607"/>
      <c r="AZ660" s="1209"/>
      <c r="BA660" s="1209"/>
    </row>
    <row r="661" spans="2:53" s="256" customFormat="1" ht="24.95" customHeight="1">
      <c r="B661" s="445"/>
      <c r="C661" s="204"/>
      <c r="D661" s="204"/>
      <c r="E661" s="204"/>
      <c r="F661" s="368"/>
      <c r="G661" s="1134"/>
      <c r="H661" s="401"/>
      <c r="I661" s="317"/>
      <c r="N661" s="317"/>
      <c r="O661" s="1135"/>
      <c r="P661" s="1136"/>
      <c r="Q661" s="1137"/>
      <c r="R661" s="1120"/>
      <c r="S661" s="1120"/>
      <c r="T661" s="1120"/>
      <c r="U661" s="1120"/>
      <c r="V661" s="1120"/>
      <c r="W661" s="1120"/>
      <c r="Z661" s="1145"/>
      <c r="AA661" s="1120"/>
      <c r="AB661" s="1120"/>
      <c r="AC661" s="1120"/>
      <c r="AD661" s="1212"/>
      <c r="AE661" s="1212"/>
      <c r="AF661" s="1186"/>
      <c r="AG661" s="1186"/>
      <c r="AH661" s="1222"/>
      <c r="AI661" s="1222"/>
      <c r="AJ661" s="1222"/>
      <c r="AK661" s="1222"/>
      <c r="AL661" s="1222"/>
      <c r="AM661" s="1222"/>
      <c r="AN661" s="1222"/>
      <c r="AO661" s="1222"/>
      <c r="AP661" s="1222"/>
      <c r="AQ661" s="1222"/>
      <c r="AR661" s="1222"/>
      <c r="AS661" s="1222"/>
      <c r="AT661" s="1222"/>
      <c r="AU661" s="1120"/>
      <c r="AV661" s="445"/>
      <c r="AW661" s="607"/>
      <c r="AX661" s="607"/>
      <c r="AY661" s="607"/>
      <c r="AZ661" s="1209"/>
      <c r="BA661" s="1209"/>
    </row>
    <row r="662" spans="2:53" s="256" customFormat="1" ht="24.95" customHeight="1">
      <c r="B662" s="445"/>
      <c r="C662" s="204"/>
      <c r="D662" s="204"/>
      <c r="E662" s="204"/>
      <c r="F662" s="368"/>
      <c r="G662" s="1134"/>
      <c r="H662" s="401"/>
      <c r="I662" s="317"/>
      <c r="N662" s="317"/>
      <c r="O662" s="1135"/>
      <c r="P662" s="1136"/>
      <c r="Q662" s="1137"/>
      <c r="R662" s="1120"/>
      <c r="S662" s="1120"/>
      <c r="T662" s="1120"/>
      <c r="U662" s="1120"/>
      <c r="V662" s="1120"/>
      <c r="W662" s="1120"/>
      <c r="Z662" s="1145"/>
      <c r="AA662" s="1120"/>
      <c r="AB662" s="1120"/>
      <c r="AC662" s="1120"/>
      <c r="AD662" s="1212"/>
      <c r="AE662" s="1212"/>
      <c r="AF662" s="1186"/>
      <c r="AG662" s="1186"/>
      <c r="AH662" s="1222"/>
      <c r="AI662" s="1222"/>
      <c r="AJ662" s="1222"/>
      <c r="AK662" s="1222"/>
      <c r="AL662" s="1222"/>
      <c r="AM662" s="1222"/>
      <c r="AN662" s="1222"/>
      <c r="AO662" s="1222"/>
      <c r="AP662" s="1222"/>
      <c r="AQ662" s="1222"/>
      <c r="AR662" s="1222"/>
      <c r="AS662" s="1222"/>
      <c r="AT662" s="1222"/>
      <c r="AU662" s="1120"/>
      <c r="AV662" s="445"/>
      <c r="AW662" s="607"/>
      <c r="AX662" s="607"/>
      <c r="AY662" s="607"/>
      <c r="AZ662" s="1209"/>
      <c r="BA662" s="1209"/>
    </row>
    <row r="663" spans="2:53" s="256" customFormat="1" ht="24.95" customHeight="1">
      <c r="B663" s="445"/>
      <c r="C663" s="204"/>
      <c r="D663" s="204"/>
      <c r="E663" s="204"/>
      <c r="F663" s="368"/>
      <c r="G663" s="1134"/>
      <c r="H663" s="401"/>
      <c r="I663" s="317"/>
      <c r="N663" s="317"/>
      <c r="O663" s="1135"/>
      <c r="P663" s="1136"/>
      <c r="Q663" s="1137"/>
      <c r="R663" s="1120"/>
      <c r="S663" s="1120"/>
      <c r="T663" s="1120"/>
      <c r="U663" s="1120"/>
      <c r="V663" s="1120"/>
      <c r="W663" s="1120"/>
      <c r="Z663" s="1145"/>
      <c r="AA663" s="1120"/>
      <c r="AB663" s="1120"/>
      <c r="AC663" s="1120"/>
      <c r="AD663" s="1212"/>
      <c r="AE663" s="1212"/>
      <c r="AF663" s="1186"/>
      <c r="AG663" s="1186"/>
      <c r="AH663" s="1222"/>
      <c r="AI663" s="1222"/>
      <c r="AJ663" s="1222"/>
      <c r="AK663" s="1222"/>
      <c r="AL663" s="1222"/>
      <c r="AM663" s="1222"/>
      <c r="AN663" s="1222"/>
      <c r="AO663" s="1222"/>
      <c r="AP663" s="1222"/>
      <c r="AQ663" s="1222"/>
      <c r="AR663" s="1222"/>
      <c r="AS663" s="1222"/>
      <c r="AT663" s="1222"/>
      <c r="AU663" s="1120"/>
      <c r="AV663" s="445"/>
      <c r="AW663" s="607"/>
      <c r="AX663" s="607"/>
      <c r="AY663" s="607"/>
      <c r="AZ663" s="1209"/>
      <c r="BA663" s="1209"/>
    </row>
    <row r="664" spans="2:53" s="256" customFormat="1" ht="24.95" customHeight="1">
      <c r="B664" s="445"/>
      <c r="C664" s="204"/>
      <c r="D664" s="204"/>
      <c r="E664" s="204"/>
      <c r="F664" s="368"/>
      <c r="G664" s="1134"/>
      <c r="H664" s="401"/>
      <c r="I664" s="317"/>
      <c r="N664" s="317"/>
      <c r="O664" s="1135"/>
      <c r="P664" s="1136"/>
      <c r="Q664" s="1137"/>
      <c r="R664" s="1120"/>
      <c r="S664" s="1120"/>
      <c r="T664" s="1120"/>
      <c r="U664" s="1120"/>
      <c r="V664" s="1120"/>
      <c r="W664" s="1120"/>
      <c r="Z664" s="1145"/>
      <c r="AA664" s="1120"/>
      <c r="AB664" s="1120"/>
      <c r="AC664" s="1120"/>
      <c r="AD664" s="1212"/>
      <c r="AE664" s="1212"/>
      <c r="AF664" s="1186"/>
      <c r="AG664" s="1186"/>
      <c r="AH664" s="1222"/>
      <c r="AI664" s="1222"/>
      <c r="AJ664" s="1222"/>
      <c r="AK664" s="1222"/>
      <c r="AL664" s="1222"/>
      <c r="AM664" s="1222"/>
      <c r="AN664" s="1222"/>
      <c r="AO664" s="1222"/>
      <c r="AP664" s="1222"/>
      <c r="AQ664" s="1222"/>
      <c r="AR664" s="1222"/>
      <c r="AS664" s="1222"/>
      <c r="AT664" s="1222"/>
      <c r="AU664" s="1120"/>
      <c r="AV664" s="445"/>
      <c r="AW664" s="607"/>
      <c r="AX664" s="607"/>
      <c r="AY664" s="607"/>
      <c r="AZ664" s="1209"/>
      <c r="BA664" s="1209"/>
    </row>
    <row r="665" spans="2:53" s="256" customFormat="1" ht="24.95" customHeight="1">
      <c r="B665" s="445"/>
      <c r="C665" s="204"/>
      <c r="D665" s="204"/>
      <c r="E665" s="204"/>
      <c r="F665" s="368"/>
      <c r="G665" s="1134"/>
      <c r="H665" s="401"/>
      <c r="I665" s="317"/>
      <c r="N665" s="317"/>
      <c r="O665" s="1135"/>
      <c r="P665" s="1136"/>
      <c r="Q665" s="1137"/>
      <c r="R665" s="1120"/>
      <c r="S665" s="1120"/>
      <c r="T665" s="1120"/>
      <c r="U665" s="1120"/>
      <c r="V665" s="1120"/>
      <c r="W665" s="1120"/>
      <c r="Z665" s="1145"/>
      <c r="AA665" s="1120"/>
      <c r="AB665" s="1120"/>
      <c r="AC665" s="1120"/>
      <c r="AD665" s="1212"/>
      <c r="AE665" s="1212"/>
      <c r="AF665" s="1186"/>
      <c r="AG665" s="1186"/>
      <c r="AH665" s="1222"/>
      <c r="AI665" s="1222"/>
      <c r="AJ665" s="1222"/>
      <c r="AK665" s="1222"/>
      <c r="AL665" s="1222"/>
      <c r="AM665" s="1222"/>
      <c r="AN665" s="1222"/>
      <c r="AO665" s="1222"/>
      <c r="AP665" s="1222"/>
      <c r="AQ665" s="1222"/>
      <c r="AR665" s="1222"/>
      <c r="AS665" s="1222"/>
      <c r="AT665" s="1222"/>
      <c r="AU665" s="1120"/>
      <c r="AV665" s="445"/>
      <c r="AW665" s="607"/>
      <c r="AX665" s="607"/>
      <c r="AY665" s="607"/>
      <c r="AZ665" s="1209"/>
      <c r="BA665" s="1209"/>
    </row>
    <row r="666" spans="2:53" s="256" customFormat="1" ht="24.95" customHeight="1">
      <c r="B666" s="445"/>
      <c r="C666" s="204"/>
      <c r="D666" s="204"/>
      <c r="E666" s="204"/>
      <c r="F666" s="368"/>
      <c r="G666" s="1134"/>
      <c r="H666" s="401"/>
      <c r="I666" s="317"/>
      <c r="N666" s="317"/>
      <c r="O666" s="1135"/>
      <c r="P666" s="1136"/>
      <c r="Q666" s="1137"/>
      <c r="R666" s="1120"/>
      <c r="S666" s="1120"/>
      <c r="T666" s="1120"/>
      <c r="U666" s="1120"/>
      <c r="V666" s="1120"/>
      <c r="W666" s="1120"/>
      <c r="Z666" s="1145"/>
      <c r="AA666" s="1120"/>
      <c r="AB666" s="1120"/>
      <c r="AC666" s="1120"/>
      <c r="AD666" s="1212"/>
      <c r="AE666" s="1212"/>
      <c r="AF666" s="1186"/>
      <c r="AG666" s="1186"/>
      <c r="AH666" s="1222"/>
      <c r="AI666" s="1222"/>
      <c r="AJ666" s="1222"/>
      <c r="AK666" s="1222"/>
      <c r="AL666" s="1222"/>
      <c r="AM666" s="1222"/>
      <c r="AN666" s="1222"/>
      <c r="AO666" s="1222"/>
      <c r="AP666" s="1222"/>
      <c r="AQ666" s="1222"/>
      <c r="AR666" s="1222"/>
      <c r="AS666" s="1222"/>
      <c r="AT666" s="1222"/>
      <c r="AU666" s="1120"/>
      <c r="AV666" s="445"/>
      <c r="AW666" s="607"/>
      <c r="AX666" s="607"/>
      <c r="AY666" s="607"/>
      <c r="AZ666" s="1209"/>
      <c r="BA666" s="1209"/>
    </row>
    <row r="667" spans="2:53" s="256" customFormat="1" ht="24.95" customHeight="1">
      <c r="B667" s="445"/>
      <c r="C667" s="204"/>
      <c r="D667" s="204"/>
      <c r="E667" s="204"/>
      <c r="F667" s="368"/>
      <c r="G667" s="1134"/>
      <c r="H667" s="401"/>
      <c r="I667" s="317"/>
      <c r="N667" s="317"/>
      <c r="O667" s="1135"/>
      <c r="P667" s="1136"/>
      <c r="Q667" s="1137"/>
      <c r="R667" s="1120"/>
      <c r="S667" s="1120"/>
      <c r="T667" s="1120"/>
      <c r="U667" s="1120"/>
      <c r="V667" s="1120"/>
      <c r="W667" s="1120"/>
      <c r="Z667" s="1145"/>
      <c r="AA667" s="1120"/>
      <c r="AB667" s="1120"/>
      <c r="AC667" s="1120"/>
      <c r="AD667" s="1212"/>
      <c r="AE667" s="1212"/>
      <c r="AF667" s="1186"/>
      <c r="AG667" s="1186"/>
      <c r="AH667" s="1222"/>
      <c r="AI667" s="1222"/>
      <c r="AJ667" s="1222"/>
      <c r="AK667" s="1222"/>
      <c r="AL667" s="1222"/>
      <c r="AM667" s="1222"/>
      <c r="AN667" s="1222"/>
      <c r="AO667" s="1222"/>
      <c r="AP667" s="1222"/>
      <c r="AQ667" s="1222"/>
      <c r="AR667" s="1222"/>
      <c r="AS667" s="1222"/>
      <c r="AT667" s="1222"/>
      <c r="AU667" s="1120"/>
      <c r="AV667" s="445"/>
      <c r="AW667" s="607"/>
      <c r="AX667" s="607"/>
      <c r="AY667" s="607"/>
      <c r="AZ667" s="1209"/>
      <c r="BA667" s="1209"/>
    </row>
    <row r="668" spans="2:53" s="256" customFormat="1" ht="24.95" customHeight="1">
      <c r="B668" s="445"/>
      <c r="C668" s="204"/>
      <c r="D668" s="204"/>
      <c r="E668" s="204"/>
      <c r="F668" s="368"/>
      <c r="G668" s="1134"/>
      <c r="H668" s="401"/>
      <c r="I668" s="317"/>
      <c r="N668" s="317"/>
      <c r="O668" s="1135"/>
      <c r="P668" s="1136"/>
      <c r="Q668" s="1137"/>
      <c r="R668" s="1120"/>
      <c r="S668" s="1120"/>
      <c r="T668" s="1120"/>
      <c r="U668" s="1120"/>
      <c r="V668" s="1120"/>
      <c r="W668" s="1120"/>
      <c r="Z668" s="1145"/>
      <c r="AA668" s="1120"/>
      <c r="AB668" s="1120"/>
      <c r="AC668" s="1120"/>
      <c r="AD668" s="1212"/>
      <c r="AE668" s="1212"/>
      <c r="AF668" s="1186"/>
      <c r="AG668" s="1186"/>
      <c r="AH668" s="1222"/>
      <c r="AI668" s="1222"/>
      <c r="AJ668" s="1222"/>
      <c r="AK668" s="1222"/>
      <c r="AL668" s="1222"/>
      <c r="AM668" s="1222"/>
      <c r="AN668" s="1222"/>
      <c r="AO668" s="1222"/>
      <c r="AP668" s="1222"/>
      <c r="AQ668" s="1222"/>
      <c r="AR668" s="1222"/>
      <c r="AS668" s="1222"/>
      <c r="AT668" s="1222"/>
      <c r="AU668" s="1120"/>
      <c r="AV668" s="445"/>
      <c r="AW668" s="607"/>
      <c r="AX668" s="607"/>
      <c r="AY668" s="607"/>
      <c r="AZ668" s="1209"/>
      <c r="BA668" s="1209"/>
    </row>
    <row r="669" spans="2:53" s="256" customFormat="1" ht="24.95" customHeight="1">
      <c r="B669" s="445"/>
      <c r="C669" s="204"/>
      <c r="D669" s="204"/>
      <c r="E669" s="204"/>
      <c r="F669" s="368"/>
      <c r="G669" s="1134"/>
      <c r="H669" s="401"/>
      <c r="I669" s="317"/>
      <c r="N669" s="317"/>
      <c r="O669" s="1135"/>
      <c r="P669" s="1136"/>
      <c r="Q669" s="1137"/>
      <c r="R669" s="1120"/>
      <c r="S669" s="1120"/>
      <c r="T669" s="1120"/>
      <c r="U669" s="1120"/>
      <c r="V669" s="1120"/>
      <c r="W669" s="1120"/>
      <c r="Z669" s="1145"/>
      <c r="AA669" s="1120"/>
      <c r="AB669" s="1120"/>
      <c r="AC669" s="1120"/>
      <c r="AD669" s="1212"/>
      <c r="AE669" s="1212"/>
      <c r="AF669" s="1186"/>
      <c r="AG669" s="1186"/>
      <c r="AH669" s="1222"/>
      <c r="AI669" s="1222"/>
      <c r="AJ669" s="1222"/>
      <c r="AK669" s="1222"/>
      <c r="AL669" s="1222"/>
      <c r="AM669" s="1222"/>
      <c r="AN669" s="1222"/>
      <c r="AO669" s="1222"/>
      <c r="AP669" s="1222"/>
      <c r="AQ669" s="1222"/>
      <c r="AR669" s="1222"/>
      <c r="AS669" s="1222"/>
      <c r="AT669" s="1222"/>
      <c r="AU669" s="1120"/>
      <c r="AV669" s="445"/>
      <c r="AW669" s="607"/>
      <c r="AX669" s="607"/>
      <c r="AY669" s="607"/>
      <c r="AZ669" s="1209"/>
      <c r="BA669" s="1209"/>
    </row>
    <row r="670" spans="2:53" s="256" customFormat="1" ht="24.95" customHeight="1">
      <c r="B670" s="445"/>
      <c r="C670" s="204"/>
      <c r="D670" s="204"/>
      <c r="E670" s="204"/>
      <c r="F670" s="368"/>
      <c r="G670" s="1134"/>
      <c r="H670" s="401"/>
      <c r="I670" s="317"/>
      <c r="N670" s="317"/>
      <c r="O670" s="1135"/>
      <c r="P670" s="1136"/>
      <c r="Q670" s="1137"/>
      <c r="R670" s="1120"/>
      <c r="S670" s="1120"/>
      <c r="T670" s="1120"/>
      <c r="U670" s="1120"/>
      <c r="V670" s="1120"/>
      <c r="W670" s="1120"/>
      <c r="Z670" s="1145"/>
      <c r="AA670" s="1120"/>
      <c r="AB670" s="1120"/>
      <c r="AC670" s="1120"/>
      <c r="AD670" s="1212"/>
      <c r="AE670" s="1212"/>
      <c r="AF670" s="1186"/>
      <c r="AG670" s="1186"/>
      <c r="AH670" s="1222"/>
      <c r="AI670" s="1222"/>
      <c r="AJ670" s="1222"/>
      <c r="AK670" s="1222"/>
      <c r="AL670" s="1222"/>
      <c r="AM670" s="1222"/>
      <c r="AN670" s="1222"/>
      <c r="AO670" s="1222"/>
      <c r="AP670" s="1222"/>
      <c r="AQ670" s="1222"/>
      <c r="AR670" s="1222"/>
      <c r="AS670" s="1222"/>
      <c r="AT670" s="1222"/>
      <c r="AU670" s="1120"/>
      <c r="AV670" s="445"/>
      <c r="AW670" s="607"/>
      <c r="AX670" s="607"/>
      <c r="AY670" s="607"/>
      <c r="AZ670" s="1209"/>
      <c r="BA670" s="1209"/>
    </row>
    <row r="671" spans="2:53" s="256" customFormat="1" ht="24.95" customHeight="1">
      <c r="B671" s="445"/>
      <c r="C671" s="204"/>
      <c r="D671" s="204"/>
      <c r="E671" s="204"/>
      <c r="F671" s="368"/>
      <c r="G671" s="1134"/>
      <c r="H671" s="401"/>
      <c r="I671" s="317"/>
      <c r="N671" s="317"/>
      <c r="O671" s="1135"/>
      <c r="P671" s="1136"/>
      <c r="Q671" s="1137"/>
      <c r="R671" s="1120"/>
      <c r="S671" s="1120"/>
      <c r="T671" s="1120"/>
      <c r="U671" s="1120"/>
      <c r="V671" s="1120"/>
      <c r="W671" s="1120"/>
      <c r="Z671" s="1145"/>
      <c r="AA671" s="1120"/>
      <c r="AB671" s="1120"/>
      <c r="AC671" s="1120"/>
      <c r="AD671" s="1212"/>
      <c r="AE671" s="1212"/>
      <c r="AF671" s="1186"/>
      <c r="AG671" s="1186"/>
      <c r="AH671" s="1222"/>
      <c r="AI671" s="1222"/>
      <c r="AJ671" s="1222"/>
      <c r="AK671" s="1222"/>
      <c r="AL671" s="1222"/>
      <c r="AM671" s="1222"/>
      <c r="AN671" s="1222"/>
      <c r="AO671" s="1222"/>
      <c r="AP671" s="1222"/>
      <c r="AQ671" s="1222"/>
      <c r="AR671" s="1222"/>
      <c r="AS671" s="1222"/>
      <c r="AT671" s="1222"/>
      <c r="AU671" s="1120"/>
      <c r="AV671" s="445"/>
      <c r="AW671" s="607"/>
      <c r="AX671" s="607"/>
      <c r="AY671" s="607"/>
      <c r="AZ671" s="1209"/>
      <c r="BA671" s="1209"/>
    </row>
    <row r="672" spans="2:53" s="256" customFormat="1" ht="24.95" customHeight="1">
      <c r="B672" s="445"/>
      <c r="C672" s="204"/>
      <c r="D672" s="204"/>
      <c r="E672" s="204"/>
      <c r="F672" s="368"/>
      <c r="G672" s="1134"/>
      <c r="H672" s="401"/>
      <c r="I672" s="317"/>
      <c r="N672" s="317"/>
      <c r="O672" s="1135"/>
      <c r="P672" s="1136"/>
      <c r="Q672" s="1137"/>
      <c r="R672" s="1120"/>
      <c r="S672" s="1120"/>
      <c r="T672" s="1120"/>
      <c r="U672" s="1120"/>
      <c r="V672" s="1120"/>
      <c r="W672" s="1120"/>
      <c r="Z672" s="1145"/>
      <c r="AA672" s="1120"/>
      <c r="AB672" s="1120"/>
      <c r="AC672" s="1120"/>
      <c r="AD672" s="1212"/>
      <c r="AE672" s="1212"/>
      <c r="AF672" s="1186"/>
      <c r="AG672" s="1186"/>
      <c r="AH672" s="1222"/>
      <c r="AI672" s="1222"/>
      <c r="AJ672" s="1222"/>
      <c r="AK672" s="1222"/>
      <c r="AL672" s="1222"/>
      <c r="AM672" s="1222"/>
      <c r="AN672" s="1222"/>
      <c r="AO672" s="1222"/>
      <c r="AP672" s="1222"/>
      <c r="AQ672" s="1222"/>
      <c r="AR672" s="1222"/>
      <c r="AS672" s="1222"/>
      <c r="AT672" s="1222"/>
      <c r="AU672" s="1120"/>
      <c r="AV672" s="445"/>
      <c r="AW672" s="607"/>
      <c r="AX672" s="607"/>
      <c r="AY672" s="607"/>
      <c r="AZ672" s="1209"/>
      <c r="BA672" s="1209"/>
    </row>
    <row r="673" spans="2:53" s="256" customFormat="1" ht="24.95" customHeight="1">
      <c r="B673" s="445"/>
      <c r="C673" s="204"/>
      <c r="D673" s="204"/>
      <c r="E673" s="204"/>
      <c r="F673" s="368"/>
      <c r="G673" s="1134"/>
      <c r="H673" s="401"/>
      <c r="I673" s="317"/>
      <c r="N673" s="317"/>
      <c r="O673" s="1135"/>
      <c r="P673" s="1136"/>
      <c r="Q673" s="1137"/>
      <c r="R673" s="1120"/>
      <c r="S673" s="1120"/>
      <c r="T673" s="1120"/>
      <c r="U673" s="1120"/>
      <c r="V673" s="1120"/>
      <c r="W673" s="1120"/>
      <c r="Z673" s="1145"/>
      <c r="AA673" s="1120"/>
      <c r="AB673" s="1120"/>
      <c r="AC673" s="1120"/>
      <c r="AD673" s="1212"/>
      <c r="AE673" s="1212"/>
      <c r="AF673" s="1186"/>
      <c r="AG673" s="1186"/>
      <c r="AH673" s="1222"/>
      <c r="AI673" s="1222"/>
      <c r="AJ673" s="1222"/>
      <c r="AK673" s="1222"/>
      <c r="AL673" s="1222"/>
      <c r="AM673" s="1222"/>
      <c r="AN673" s="1222"/>
      <c r="AO673" s="1222"/>
      <c r="AP673" s="1222"/>
      <c r="AQ673" s="1222"/>
      <c r="AR673" s="1222"/>
      <c r="AS673" s="1222"/>
      <c r="AT673" s="1222"/>
      <c r="AU673" s="1120"/>
      <c r="AV673" s="445"/>
      <c r="AW673" s="607"/>
      <c r="AX673" s="607"/>
      <c r="AY673" s="607"/>
      <c r="AZ673" s="1209"/>
      <c r="BA673" s="1209"/>
    </row>
    <row r="674" spans="2:53" s="256" customFormat="1" ht="24.95" customHeight="1">
      <c r="B674" s="445"/>
      <c r="C674" s="204"/>
      <c r="D674" s="204"/>
      <c r="E674" s="204"/>
      <c r="F674" s="368"/>
      <c r="G674" s="1134"/>
      <c r="H674" s="401"/>
      <c r="I674" s="317"/>
      <c r="N674" s="317"/>
      <c r="O674" s="1135"/>
      <c r="P674" s="1136"/>
      <c r="Q674" s="1137"/>
      <c r="R674" s="1120"/>
      <c r="S674" s="1120"/>
      <c r="T674" s="1120"/>
      <c r="U674" s="1120"/>
      <c r="V674" s="1120"/>
      <c r="W674" s="1120"/>
      <c r="Z674" s="1145"/>
      <c r="AA674" s="1120"/>
      <c r="AB674" s="1120"/>
      <c r="AC674" s="1120"/>
      <c r="AD674" s="1212"/>
      <c r="AE674" s="1212"/>
      <c r="AF674" s="1186"/>
      <c r="AG674" s="1186"/>
      <c r="AH674" s="1222"/>
      <c r="AI674" s="1222"/>
      <c r="AJ674" s="1222"/>
      <c r="AK674" s="1222"/>
      <c r="AL674" s="1222"/>
      <c r="AM674" s="1222"/>
      <c r="AN674" s="1222"/>
      <c r="AO674" s="1222"/>
      <c r="AP674" s="1222"/>
      <c r="AQ674" s="1222"/>
      <c r="AR674" s="1222"/>
      <c r="AS674" s="1222"/>
      <c r="AT674" s="1222"/>
      <c r="AU674" s="1120"/>
      <c r="AV674" s="445"/>
      <c r="AW674" s="607"/>
      <c r="AX674" s="607"/>
      <c r="AY674" s="607"/>
      <c r="AZ674" s="1209"/>
      <c r="BA674" s="1209"/>
    </row>
    <row r="675" spans="2:53" s="256" customFormat="1" ht="24.95" customHeight="1">
      <c r="B675" s="445"/>
      <c r="C675" s="204"/>
      <c r="D675" s="204"/>
      <c r="E675" s="204"/>
      <c r="F675" s="368"/>
      <c r="G675" s="1134"/>
      <c r="H675" s="401"/>
      <c r="I675" s="317"/>
      <c r="N675" s="317"/>
      <c r="O675" s="1135"/>
      <c r="P675" s="1136"/>
      <c r="Q675" s="1137"/>
      <c r="R675" s="1120"/>
      <c r="S675" s="1120"/>
      <c r="T675" s="1120"/>
      <c r="U675" s="1120"/>
      <c r="V675" s="1120"/>
      <c r="W675" s="1120"/>
      <c r="Z675" s="1145"/>
      <c r="AA675" s="1120"/>
      <c r="AB675" s="1120"/>
      <c r="AC675" s="1120"/>
      <c r="AD675" s="1212"/>
      <c r="AE675" s="1212"/>
      <c r="AF675" s="1186"/>
      <c r="AG675" s="1186"/>
      <c r="AH675" s="1222"/>
      <c r="AI675" s="1222"/>
      <c r="AJ675" s="1222"/>
      <c r="AK675" s="1222"/>
      <c r="AL675" s="1222"/>
      <c r="AM675" s="1222"/>
      <c r="AN675" s="1222"/>
      <c r="AO675" s="1222"/>
      <c r="AP675" s="1222"/>
      <c r="AQ675" s="1222"/>
      <c r="AR675" s="1222"/>
      <c r="AS675" s="1222"/>
      <c r="AT675" s="1222"/>
      <c r="AU675" s="1120"/>
      <c r="AV675" s="445"/>
      <c r="AW675" s="607"/>
      <c r="AX675" s="607"/>
      <c r="AY675" s="607"/>
      <c r="AZ675" s="1209"/>
      <c r="BA675" s="1209"/>
    </row>
    <row r="676" spans="2:53" s="256" customFormat="1" ht="24.95" customHeight="1">
      <c r="B676" s="445"/>
      <c r="C676" s="204"/>
      <c r="D676" s="204"/>
      <c r="E676" s="204"/>
      <c r="F676" s="368"/>
      <c r="G676" s="1134"/>
      <c r="H676" s="401"/>
      <c r="I676" s="317"/>
      <c r="N676" s="317"/>
      <c r="O676" s="1135"/>
      <c r="P676" s="1136"/>
      <c r="Q676" s="1137"/>
      <c r="R676" s="1120"/>
      <c r="S676" s="1120"/>
      <c r="T676" s="1120"/>
      <c r="U676" s="1120"/>
      <c r="V676" s="1120"/>
      <c r="W676" s="1120"/>
      <c r="Z676" s="1145"/>
      <c r="AA676" s="1120"/>
      <c r="AB676" s="1120"/>
      <c r="AC676" s="1120"/>
      <c r="AD676" s="1212"/>
      <c r="AE676" s="1212"/>
      <c r="AF676" s="1186"/>
      <c r="AG676" s="1186"/>
      <c r="AH676" s="1222"/>
      <c r="AI676" s="1222"/>
      <c r="AJ676" s="1222"/>
      <c r="AK676" s="1222"/>
      <c r="AL676" s="1222"/>
      <c r="AM676" s="1222"/>
      <c r="AN676" s="1222"/>
      <c r="AO676" s="1222"/>
      <c r="AP676" s="1222"/>
      <c r="AQ676" s="1222"/>
      <c r="AR676" s="1222"/>
      <c r="AS676" s="1222"/>
      <c r="AT676" s="1222"/>
      <c r="AU676" s="1120"/>
      <c r="AV676" s="445"/>
      <c r="AW676" s="607"/>
      <c r="AX676" s="607"/>
      <c r="AY676" s="607"/>
      <c r="AZ676" s="1209"/>
      <c r="BA676" s="1209"/>
    </row>
    <row r="677" spans="2:53" s="256" customFormat="1" ht="24.95" customHeight="1">
      <c r="B677" s="445"/>
      <c r="C677" s="204"/>
      <c r="D677" s="204"/>
      <c r="E677" s="204"/>
      <c r="F677" s="368"/>
      <c r="G677" s="1134"/>
      <c r="H677" s="401"/>
      <c r="I677" s="317"/>
      <c r="N677" s="317"/>
      <c r="O677" s="1135"/>
      <c r="P677" s="1136"/>
      <c r="Q677" s="1137"/>
      <c r="R677" s="1120"/>
      <c r="S677" s="1120"/>
      <c r="T677" s="1120"/>
      <c r="U677" s="1120"/>
      <c r="V677" s="1120"/>
      <c r="W677" s="1120"/>
      <c r="Z677" s="1145"/>
      <c r="AA677" s="1120"/>
      <c r="AB677" s="1120"/>
      <c r="AC677" s="1120"/>
      <c r="AD677" s="1212"/>
      <c r="AE677" s="1212"/>
      <c r="AF677" s="1186"/>
      <c r="AG677" s="1186"/>
      <c r="AH677" s="1222"/>
      <c r="AI677" s="1222"/>
      <c r="AJ677" s="1222"/>
      <c r="AK677" s="1222"/>
      <c r="AL677" s="1222"/>
      <c r="AM677" s="1222"/>
      <c r="AN677" s="1222"/>
      <c r="AO677" s="1222"/>
      <c r="AP677" s="1222"/>
      <c r="AQ677" s="1222"/>
      <c r="AR677" s="1222"/>
      <c r="AS677" s="1222"/>
      <c r="AT677" s="1222"/>
      <c r="AU677" s="1120"/>
      <c r="AV677" s="445"/>
      <c r="AW677" s="607"/>
      <c r="AX677" s="607"/>
      <c r="AY677" s="607"/>
      <c r="AZ677" s="1209"/>
      <c r="BA677" s="1209"/>
    </row>
    <row r="678" spans="2:53" s="256" customFormat="1" ht="24.95" customHeight="1">
      <c r="B678" s="445"/>
      <c r="C678" s="204"/>
      <c r="D678" s="204"/>
      <c r="E678" s="204"/>
      <c r="F678" s="368"/>
      <c r="G678" s="1134"/>
      <c r="H678" s="401"/>
      <c r="I678" s="317"/>
      <c r="N678" s="317"/>
      <c r="O678" s="1135"/>
      <c r="P678" s="1136"/>
      <c r="Q678" s="1137"/>
      <c r="R678" s="1120"/>
      <c r="S678" s="1120"/>
      <c r="T678" s="1120"/>
      <c r="U678" s="1120"/>
      <c r="V678" s="1120"/>
      <c r="W678" s="1120"/>
      <c r="Z678" s="1145"/>
      <c r="AA678" s="1120"/>
      <c r="AB678" s="1120"/>
      <c r="AC678" s="1120"/>
      <c r="AD678" s="1212"/>
      <c r="AE678" s="1212"/>
      <c r="AF678" s="1186"/>
      <c r="AG678" s="1186"/>
      <c r="AH678" s="1222"/>
      <c r="AI678" s="1222"/>
      <c r="AJ678" s="1222"/>
      <c r="AK678" s="1222"/>
      <c r="AL678" s="1222"/>
      <c r="AM678" s="1222"/>
      <c r="AN678" s="1222"/>
      <c r="AO678" s="1222"/>
      <c r="AP678" s="1222"/>
      <c r="AQ678" s="1222"/>
      <c r="AR678" s="1222"/>
      <c r="AS678" s="1222"/>
      <c r="AT678" s="1222"/>
      <c r="AU678" s="1120"/>
      <c r="AV678" s="445"/>
      <c r="AW678" s="607"/>
      <c r="AX678" s="607"/>
      <c r="AY678" s="607"/>
      <c r="AZ678" s="1209"/>
      <c r="BA678" s="1209"/>
    </row>
    <row r="679" spans="2:53" s="256" customFormat="1" ht="24.95" customHeight="1">
      <c r="B679" s="445"/>
      <c r="C679" s="204"/>
      <c r="D679" s="204"/>
      <c r="E679" s="204"/>
      <c r="F679" s="368"/>
      <c r="G679" s="1134"/>
      <c r="H679" s="401"/>
      <c r="I679" s="317"/>
      <c r="N679" s="317"/>
      <c r="O679" s="1135"/>
      <c r="P679" s="1136"/>
      <c r="Q679" s="1137"/>
      <c r="R679" s="1120"/>
      <c r="S679" s="1120"/>
      <c r="T679" s="1120"/>
      <c r="U679" s="1120"/>
      <c r="V679" s="1120"/>
      <c r="W679" s="1120"/>
      <c r="Z679" s="1145"/>
      <c r="AA679" s="1120"/>
      <c r="AB679" s="1120"/>
      <c r="AC679" s="1120"/>
      <c r="AD679" s="1212"/>
      <c r="AE679" s="1212"/>
      <c r="AF679" s="1186"/>
      <c r="AG679" s="1186"/>
      <c r="AH679" s="1222"/>
      <c r="AI679" s="1222"/>
      <c r="AJ679" s="1222"/>
      <c r="AK679" s="1222"/>
      <c r="AL679" s="1222"/>
      <c r="AM679" s="1222"/>
      <c r="AN679" s="1222"/>
      <c r="AO679" s="1222"/>
      <c r="AP679" s="1222"/>
      <c r="AQ679" s="1222"/>
      <c r="AR679" s="1222"/>
      <c r="AS679" s="1222"/>
      <c r="AT679" s="1222"/>
      <c r="AU679" s="1120"/>
      <c r="AV679" s="445"/>
      <c r="AW679" s="607"/>
      <c r="AX679" s="607"/>
      <c r="AY679" s="607"/>
      <c r="AZ679" s="1209"/>
      <c r="BA679" s="1209"/>
    </row>
    <row r="680" spans="2:53" s="256" customFormat="1" ht="24.95" customHeight="1">
      <c r="B680" s="445"/>
      <c r="C680" s="204"/>
      <c r="D680" s="204"/>
      <c r="E680" s="204"/>
      <c r="F680" s="368"/>
      <c r="G680" s="1134"/>
      <c r="H680" s="401"/>
      <c r="I680" s="317"/>
      <c r="N680" s="317"/>
      <c r="O680" s="1135"/>
      <c r="P680" s="1136"/>
      <c r="Q680" s="1137"/>
      <c r="R680" s="1120"/>
      <c r="S680" s="1120"/>
      <c r="T680" s="1120"/>
      <c r="U680" s="1120"/>
      <c r="V680" s="1120"/>
      <c r="W680" s="1120"/>
      <c r="Z680" s="1145"/>
      <c r="AA680" s="1120"/>
      <c r="AB680" s="1120"/>
      <c r="AC680" s="1120"/>
      <c r="AD680" s="1212"/>
      <c r="AE680" s="1212"/>
      <c r="AF680" s="1186"/>
      <c r="AG680" s="1186"/>
      <c r="AH680" s="1222"/>
      <c r="AI680" s="1222"/>
      <c r="AJ680" s="1222"/>
      <c r="AK680" s="1222"/>
      <c r="AL680" s="1222"/>
      <c r="AM680" s="1222"/>
      <c r="AN680" s="1222"/>
      <c r="AO680" s="1222"/>
      <c r="AP680" s="1222"/>
      <c r="AQ680" s="1222"/>
      <c r="AR680" s="1222"/>
      <c r="AS680" s="1222"/>
      <c r="AT680" s="1222"/>
      <c r="AU680" s="1120"/>
      <c r="AV680" s="445"/>
      <c r="AW680" s="607"/>
      <c r="AX680" s="607"/>
      <c r="AY680" s="607"/>
      <c r="AZ680" s="1209"/>
      <c r="BA680" s="1209"/>
    </row>
    <row r="681" spans="2:53" s="256" customFormat="1" ht="24.95" customHeight="1">
      <c r="B681" s="445"/>
      <c r="C681" s="204"/>
      <c r="D681" s="204"/>
      <c r="E681" s="204"/>
      <c r="F681" s="368"/>
      <c r="G681" s="1134"/>
      <c r="H681" s="401"/>
      <c r="I681" s="317"/>
      <c r="N681" s="317"/>
      <c r="O681" s="1135"/>
      <c r="P681" s="1136"/>
      <c r="Q681" s="1137"/>
      <c r="R681" s="1120"/>
      <c r="S681" s="1120"/>
      <c r="T681" s="1120"/>
      <c r="U681" s="1120"/>
      <c r="V681" s="1120"/>
      <c r="W681" s="1120"/>
      <c r="Z681" s="1145"/>
      <c r="AA681" s="1120"/>
      <c r="AB681" s="1120"/>
      <c r="AC681" s="1120"/>
      <c r="AD681" s="1212"/>
      <c r="AE681" s="1212"/>
      <c r="AF681" s="1186"/>
      <c r="AG681" s="1186"/>
      <c r="AH681" s="1222"/>
      <c r="AI681" s="1222"/>
      <c r="AJ681" s="1222"/>
      <c r="AK681" s="1222"/>
      <c r="AL681" s="1222"/>
      <c r="AM681" s="1222"/>
      <c r="AN681" s="1222"/>
      <c r="AO681" s="1222"/>
      <c r="AP681" s="1222"/>
      <c r="AQ681" s="1222"/>
      <c r="AR681" s="1222"/>
      <c r="AS681" s="1222"/>
      <c r="AT681" s="1222"/>
      <c r="AU681" s="1120"/>
      <c r="AV681" s="445"/>
      <c r="AW681" s="607"/>
      <c r="AX681" s="607"/>
      <c r="AY681" s="607"/>
      <c r="AZ681" s="1209"/>
      <c r="BA681" s="1209"/>
    </row>
    <row r="682" spans="2:53" s="256" customFormat="1" ht="24.95" customHeight="1">
      <c r="B682" s="445"/>
      <c r="C682" s="204"/>
      <c r="D682" s="204"/>
      <c r="E682" s="204"/>
      <c r="F682" s="368"/>
      <c r="G682" s="1134"/>
      <c r="H682" s="401"/>
      <c r="I682" s="317"/>
      <c r="N682" s="317"/>
      <c r="O682" s="1135"/>
      <c r="P682" s="1136"/>
      <c r="Q682" s="1137"/>
      <c r="R682" s="1120"/>
      <c r="S682" s="1120"/>
      <c r="T682" s="1120"/>
      <c r="U682" s="1120"/>
      <c r="V682" s="1120"/>
      <c r="W682" s="1120"/>
      <c r="Z682" s="1145"/>
      <c r="AA682" s="1120"/>
      <c r="AB682" s="1120"/>
      <c r="AC682" s="1120"/>
      <c r="AD682" s="1212"/>
      <c r="AE682" s="1212"/>
      <c r="AF682" s="1186"/>
      <c r="AG682" s="1186"/>
      <c r="AH682" s="1222"/>
      <c r="AI682" s="1222"/>
      <c r="AJ682" s="1222"/>
      <c r="AK682" s="1222"/>
      <c r="AL682" s="1222"/>
      <c r="AM682" s="1222"/>
      <c r="AN682" s="1222"/>
      <c r="AO682" s="1222"/>
      <c r="AP682" s="1222"/>
      <c r="AQ682" s="1222"/>
      <c r="AR682" s="1222"/>
      <c r="AS682" s="1222"/>
      <c r="AT682" s="1222"/>
      <c r="AU682" s="1120"/>
      <c r="AV682" s="445"/>
      <c r="AW682" s="607"/>
      <c r="AX682" s="607"/>
      <c r="AY682" s="607"/>
      <c r="AZ682" s="1209"/>
      <c r="BA682" s="1209"/>
    </row>
    <row r="683" spans="2:53" s="256" customFormat="1" ht="24.95" customHeight="1">
      <c r="B683" s="445"/>
      <c r="C683" s="204"/>
      <c r="D683" s="204"/>
      <c r="E683" s="204"/>
      <c r="F683" s="368"/>
      <c r="G683" s="1134"/>
      <c r="H683" s="401"/>
      <c r="I683" s="317"/>
      <c r="N683" s="317"/>
      <c r="O683" s="1135"/>
      <c r="P683" s="1136"/>
      <c r="Q683" s="1137"/>
      <c r="R683" s="1120"/>
      <c r="S683" s="1120"/>
      <c r="T683" s="1120"/>
      <c r="U683" s="1120"/>
      <c r="V683" s="1120"/>
      <c r="W683" s="1120"/>
      <c r="Z683" s="1145"/>
      <c r="AA683" s="1120"/>
      <c r="AB683" s="1120"/>
      <c r="AC683" s="1120"/>
      <c r="AD683" s="1212"/>
      <c r="AE683" s="1212"/>
      <c r="AF683" s="1186"/>
      <c r="AG683" s="1186"/>
      <c r="AH683" s="1222"/>
      <c r="AI683" s="1222"/>
      <c r="AJ683" s="1222"/>
      <c r="AK683" s="1222"/>
      <c r="AL683" s="1222"/>
      <c r="AM683" s="1222"/>
      <c r="AN683" s="1222"/>
      <c r="AO683" s="1222"/>
      <c r="AP683" s="1222"/>
      <c r="AQ683" s="1222"/>
      <c r="AR683" s="1222"/>
      <c r="AS683" s="1222"/>
      <c r="AT683" s="1222"/>
      <c r="AU683" s="1120"/>
      <c r="AV683" s="445"/>
      <c r="AW683" s="607"/>
      <c r="AX683" s="607"/>
      <c r="AY683" s="607"/>
      <c r="AZ683" s="1209"/>
      <c r="BA683" s="1209"/>
    </row>
    <row r="684" spans="2:53" s="256" customFormat="1" ht="24.95" customHeight="1">
      <c r="B684" s="445"/>
      <c r="C684" s="204"/>
      <c r="D684" s="204"/>
      <c r="E684" s="204"/>
      <c r="F684" s="368"/>
      <c r="G684" s="1134"/>
      <c r="H684" s="401"/>
      <c r="I684" s="317"/>
      <c r="N684" s="317"/>
      <c r="O684" s="1135"/>
      <c r="P684" s="1136"/>
      <c r="Q684" s="1137"/>
      <c r="R684" s="1120"/>
      <c r="S684" s="1120"/>
      <c r="T684" s="1120"/>
      <c r="U684" s="1120"/>
      <c r="V684" s="1120"/>
      <c r="W684" s="1120"/>
      <c r="Z684" s="1145"/>
      <c r="AA684" s="1120"/>
      <c r="AB684" s="1120"/>
      <c r="AC684" s="1120"/>
      <c r="AD684" s="1212"/>
      <c r="AE684" s="1212"/>
      <c r="AF684" s="1186"/>
      <c r="AG684" s="1186"/>
      <c r="AH684" s="1222"/>
      <c r="AI684" s="1222"/>
      <c r="AJ684" s="1222"/>
      <c r="AK684" s="1222"/>
      <c r="AL684" s="1222"/>
      <c r="AM684" s="1222"/>
      <c r="AN684" s="1222"/>
      <c r="AO684" s="1222"/>
      <c r="AP684" s="1222"/>
      <c r="AQ684" s="1222"/>
      <c r="AR684" s="1222"/>
      <c r="AS684" s="1222"/>
      <c r="AT684" s="1222"/>
      <c r="AU684" s="1120"/>
      <c r="AV684" s="445"/>
      <c r="AW684" s="607"/>
      <c r="AX684" s="607"/>
      <c r="AY684" s="607"/>
      <c r="AZ684" s="1209"/>
      <c r="BA684" s="1209"/>
    </row>
    <row r="685" spans="2:53" s="256" customFormat="1" ht="24.95" customHeight="1">
      <c r="B685" s="445"/>
      <c r="C685" s="204"/>
      <c r="D685" s="204"/>
      <c r="E685" s="204"/>
      <c r="F685" s="368"/>
      <c r="G685" s="1134"/>
      <c r="H685" s="401"/>
      <c r="I685" s="317"/>
      <c r="N685" s="317"/>
      <c r="O685" s="1135"/>
      <c r="P685" s="1136"/>
      <c r="Q685" s="1137"/>
      <c r="R685" s="1120"/>
      <c r="S685" s="1120"/>
      <c r="T685" s="1120"/>
      <c r="U685" s="1120"/>
      <c r="V685" s="1120"/>
      <c r="W685" s="1120"/>
      <c r="Z685" s="1145"/>
      <c r="AA685" s="1120"/>
      <c r="AB685" s="1120"/>
      <c r="AC685" s="1120"/>
      <c r="AD685" s="1212"/>
      <c r="AE685" s="1212"/>
      <c r="AF685" s="1186"/>
      <c r="AG685" s="1186"/>
      <c r="AH685" s="1222"/>
      <c r="AI685" s="1222"/>
      <c r="AJ685" s="1222"/>
      <c r="AK685" s="1222"/>
      <c r="AL685" s="1222"/>
      <c r="AM685" s="1222"/>
      <c r="AN685" s="1222"/>
      <c r="AO685" s="1222"/>
      <c r="AP685" s="1222"/>
      <c r="AQ685" s="1222"/>
      <c r="AR685" s="1222"/>
      <c r="AS685" s="1222"/>
      <c r="AT685" s="1222"/>
      <c r="AU685" s="1120"/>
      <c r="AV685" s="445"/>
      <c r="AW685" s="607"/>
      <c r="AX685" s="607"/>
      <c r="AY685" s="607"/>
      <c r="AZ685" s="1209"/>
      <c r="BA685" s="1209"/>
    </row>
    <row r="686" spans="2:53" s="256" customFormat="1" ht="24.95" customHeight="1">
      <c r="B686" s="445"/>
      <c r="C686" s="204"/>
      <c r="D686" s="204"/>
      <c r="E686" s="204"/>
      <c r="F686" s="368"/>
      <c r="G686" s="1134"/>
      <c r="H686" s="401"/>
      <c r="I686" s="317"/>
      <c r="N686" s="317"/>
      <c r="O686" s="1135"/>
      <c r="P686" s="1136"/>
      <c r="Q686" s="1137"/>
      <c r="R686" s="1120"/>
      <c r="S686" s="1120"/>
      <c r="T686" s="1120"/>
      <c r="U686" s="1120"/>
      <c r="V686" s="1120"/>
      <c r="W686" s="1120"/>
      <c r="Z686" s="1145"/>
      <c r="AA686" s="1120"/>
      <c r="AB686" s="1120"/>
      <c r="AC686" s="1120"/>
      <c r="AD686" s="1212"/>
      <c r="AE686" s="1212"/>
      <c r="AF686" s="1186"/>
      <c r="AG686" s="1186"/>
      <c r="AH686" s="1222"/>
      <c r="AI686" s="1222"/>
      <c r="AJ686" s="1222"/>
      <c r="AK686" s="1222"/>
      <c r="AL686" s="1222"/>
      <c r="AM686" s="1222"/>
      <c r="AN686" s="1222"/>
      <c r="AO686" s="1222"/>
      <c r="AP686" s="1222"/>
      <c r="AQ686" s="1222"/>
      <c r="AR686" s="1222"/>
      <c r="AS686" s="1222"/>
      <c r="AT686" s="1222"/>
      <c r="AU686" s="1120"/>
      <c r="AV686" s="445"/>
      <c r="AW686" s="607"/>
      <c r="AX686" s="607"/>
      <c r="AY686" s="607"/>
      <c r="AZ686" s="1209"/>
      <c r="BA686" s="1209"/>
    </row>
    <row r="687" spans="2:53" s="256" customFormat="1" ht="24.95" customHeight="1">
      <c r="B687" s="445"/>
      <c r="C687" s="204"/>
      <c r="D687" s="204"/>
      <c r="E687" s="204"/>
      <c r="F687" s="368"/>
      <c r="G687" s="1134"/>
      <c r="H687" s="401"/>
      <c r="I687" s="317"/>
      <c r="N687" s="317"/>
      <c r="O687" s="1135"/>
      <c r="P687" s="1136"/>
      <c r="Q687" s="1137"/>
      <c r="R687" s="1120"/>
      <c r="S687" s="1120"/>
      <c r="T687" s="1120"/>
      <c r="U687" s="1120"/>
      <c r="V687" s="1120"/>
      <c r="W687" s="1120"/>
      <c r="Z687" s="1145"/>
      <c r="AA687" s="1120"/>
      <c r="AB687" s="1120"/>
      <c r="AC687" s="1120"/>
      <c r="AD687" s="1212"/>
      <c r="AE687" s="1212"/>
      <c r="AF687" s="1186"/>
      <c r="AG687" s="1186"/>
      <c r="AH687" s="1222"/>
      <c r="AI687" s="1222"/>
      <c r="AJ687" s="1222"/>
      <c r="AK687" s="1222"/>
      <c r="AL687" s="1222"/>
      <c r="AM687" s="1222"/>
      <c r="AN687" s="1222"/>
      <c r="AO687" s="1222"/>
      <c r="AP687" s="1222"/>
      <c r="AQ687" s="1222"/>
      <c r="AR687" s="1222"/>
      <c r="AS687" s="1222"/>
      <c r="AT687" s="1222"/>
      <c r="AU687" s="1120"/>
      <c r="AV687" s="445"/>
      <c r="AW687" s="607"/>
      <c r="AX687" s="607"/>
      <c r="AY687" s="607"/>
      <c r="AZ687" s="1209"/>
      <c r="BA687" s="1209"/>
    </row>
    <row r="688" spans="2:53" s="256" customFormat="1" ht="24.95" customHeight="1">
      <c r="B688" s="445"/>
      <c r="C688" s="204"/>
      <c r="D688" s="204"/>
      <c r="E688" s="204"/>
      <c r="F688" s="368"/>
      <c r="G688" s="1134"/>
      <c r="H688" s="401"/>
      <c r="I688" s="317"/>
      <c r="N688" s="317"/>
      <c r="O688" s="1135"/>
      <c r="P688" s="1136"/>
      <c r="Q688" s="1137"/>
      <c r="R688" s="1120"/>
      <c r="S688" s="1120"/>
      <c r="T688" s="1120"/>
      <c r="U688" s="1120"/>
      <c r="V688" s="1120"/>
      <c r="W688" s="1120"/>
      <c r="Z688" s="1145"/>
      <c r="AA688" s="1120"/>
      <c r="AB688" s="1120"/>
      <c r="AC688" s="1120"/>
      <c r="AD688" s="1212"/>
      <c r="AE688" s="1212"/>
      <c r="AF688" s="1186"/>
      <c r="AG688" s="1186"/>
      <c r="AH688" s="1222"/>
      <c r="AI688" s="1222"/>
      <c r="AJ688" s="1222"/>
      <c r="AK688" s="1222"/>
      <c r="AL688" s="1222"/>
      <c r="AM688" s="1222"/>
      <c r="AN688" s="1222"/>
      <c r="AO688" s="1222"/>
      <c r="AP688" s="1222"/>
      <c r="AQ688" s="1222"/>
      <c r="AR688" s="1222"/>
      <c r="AS688" s="1222"/>
      <c r="AT688" s="1222"/>
      <c r="AU688" s="1120"/>
      <c r="AV688" s="445"/>
      <c r="AW688" s="607"/>
      <c r="AX688" s="607"/>
      <c r="AY688" s="607"/>
      <c r="AZ688" s="1209"/>
      <c r="BA688" s="1209"/>
    </row>
    <row r="689" spans="2:53" s="256" customFormat="1" ht="24.95" customHeight="1">
      <c r="B689" s="445"/>
      <c r="C689" s="204"/>
      <c r="D689" s="204"/>
      <c r="E689" s="204"/>
      <c r="F689" s="368"/>
      <c r="G689" s="1134"/>
      <c r="H689" s="401"/>
      <c r="I689" s="317"/>
      <c r="N689" s="317"/>
      <c r="O689" s="1135"/>
      <c r="P689" s="1136"/>
      <c r="Q689" s="1137"/>
      <c r="R689" s="1120"/>
      <c r="S689" s="1120"/>
      <c r="T689" s="1120"/>
      <c r="U689" s="1120"/>
      <c r="V689" s="1120"/>
      <c r="W689" s="1120"/>
      <c r="Z689" s="1145"/>
      <c r="AA689" s="1120"/>
      <c r="AB689" s="1120"/>
      <c r="AC689" s="1120"/>
      <c r="AD689" s="1212"/>
      <c r="AE689" s="1212"/>
      <c r="AF689" s="1186"/>
      <c r="AG689" s="1186"/>
      <c r="AH689" s="1222"/>
      <c r="AI689" s="1222"/>
      <c r="AJ689" s="1222"/>
      <c r="AK689" s="1222"/>
      <c r="AL689" s="1222"/>
      <c r="AM689" s="1222"/>
      <c r="AN689" s="1222"/>
      <c r="AO689" s="1222"/>
      <c r="AP689" s="1222"/>
      <c r="AQ689" s="1222"/>
      <c r="AR689" s="1222"/>
      <c r="AS689" s="1222"/>
      <c r="AT689" s="1222"/>
      <c r="AU689" s="1120"/>
      <c r="AV689" s="445"/>
      <c r="AW689" s="607"/>
      <c r="AX689" s="607"/>
      <c r="AY689" s="607"/>
      <c r="AZ689" s="1209"/>
      <c r="BA689" s="1209"/>
    </row>
    <row r="690" spans="2:53" s="256" customFormat="1" ht="24.95" customHeight="1">
      <c r="B690" s="445"/>
      <c r="C690" s="204"/>
      <c r="D690" s="204"/>
      <c r="E690" s="204"/>
      <c r="F690" s="368"/>
      <c r="G690" s="1134"/>
      <c r="H690" s="401"/>
      <c r="I690" s="317"/>
      <c r="N690" s="317"/>
      <c r="O690" s="1135"/>
      <c r="P690" s="1136"/>
      <c r="Q690" s="1137"/>
      <c r="R690" s="1120"/>
      <c r="S690" s="1120"/>
      <c r="T690" s="1120"/>
      <c r="U690" s="1120"/>
      <c r="V690" s="1120"/>
      <c r="W690" s="1120"/>
      <c r="Z690" s="1145"/>
      <c r="AA690" s="1120"/>
      <c r="AB690" s="1120"/>
      <c r="AC690" s="1120"/>
      <c r="AD690" s="1212"/>
      <c r="AE690" s="1212"/>
      <c r="AF690" s="1186"/>
      <c r="AG690" s="1186"/>
      <c r="AH690" s="1222"/>
      <c r="AI690" s="1222"/>
      <c r="AJ690" s="1222"/>
      <c r="AK690" s="1222"/>
      <c r="AL690" s="1222"/>
      <c r="AM690" s="1222"/>
      <c r="AN690" s="1222"/>
      <c r="AO690" s="1222"/>
      <c r="AP690" s="1222"/>
      <c r="AQ690" s="1222"/>
      <c r="AR690" s="1222"/>
      <c r="AS690" s="1222"/>
      <c r="AT690" s="1222"/>
      <c r="AU690" s="1120"/>
      <c r="AV690" s="445"/>
      <c r="AW690" s="607"/>
      <c r="AX690" s="607"/>
      <c r="AY690" s="607"/>
      <c r="AZ690" s="1209"/>
      <c r="BA690" s="1209"/>
    </row>
    <row r="691" spans="2:53" s="256" customFormat="1" ht="24.95" customHeight="1">
      <c r="B691" s="445"/>
      <c r="C691" s="204"/>
      <c r="D691" s="204"/>
      <c r="E691" s="204"/>
      <c r="F691" s="368"/>
      <c r="G691" s="1134"/>
      <c r="H691" s="401"/>
      <c r="I691" s="317"/>
      <c r="N691" s="317"/>
      <c r="O691" s="1135"/>
      <c r="P691" s="1136"/>
      <c r="Q691" s="1137"/>
      <c r="R691" s="1120"/>
      <c r="S691" s="1120"/>
      <c r="T691" s="1120"/>
      <c r="U691" s="1120"/>
      <c r="V691" s="1120"/>
      <c r="W691" s="1120"/>
      <c r="Z691" s="1145"/>
      <c r="AA691" s="1120"/>
      <c r="AB691" s="1120"/>
      <c r="AC691" s="1120"/>
      <c r="AD691" s="1212"/>
      <c r="AE691" s="1212"/>
      <c r="AF691" s="1186"/>
      <c r="AG691" s="1186"/>
      <c r="AH691" s="1222"/>
      <c r="AI691" s="1222"/>
      <c r="AJ691" s="1222"/>
      <c r="AK691" s="1222"/>
      <c r="AL691" s="1222"/>
      <c r="AM691" s="1222"/>
      <c r="AN691" s="1222"/>
      <c r="AO691" s="1222"/>
      <c r="AP691" s="1222"/>
      <c r="AQ691" s="1222"/>
      <c r="AR691" s="1222"/>
      <c r="AS691" s="1222"/>
      <c r="AT691" s="1222"/>
      <c r="AU691" s="1120"/>
      <c r="AV691" s="445"/>
      <c r="AW691" s="607"/>
      <c r="AX691" s="607"/>
      <c r="AY691" s="607"/>
      <c r="AZ691" s="1209"/>
      <c r="BA691" s="1209"/>
    </row>
    <row r="692" spans="2:53" s="256" customFormat="1" ht="24.95" customHeight="1">
      <c r="B692" s="445"/>
      <c r="C692" s="204"/>
      <c r="D692" s="204"/>
      <c r="E692" s="204"/>
      <c r="F692" s="368"/>
      <c r="G692" s="1134"/>
      <c r="H692" s="401"/>
      <c r="I692" s="317"/>
      <c r="N692" s="317"/>
      <c r="O692" s="1135"/>
      <c r="P692" s="1136"/>
      <c r="Q692" s="1137"/>
      <c r="R692" s="1120"/>
      <c r="S692" s="1120"/>
      <c r="T692" s="1120"/>
      <c r="U692" s="1120"/>
      <c r="V692" s="1120"/>
      <c r="W692" s="1120"/>
      <c r="Z692" s="1145"/>
      <c r="AA692" s="1120"/>
      <c r="AB692" s="1120"/>
      <c r="AC692" s="1120"/>
      <c r="AD692" s="1212"/>
      <c r="AE692" s="1212"/>
      <c r="AF692" s="1186"/>
      <c r="AG692" s="1186"/>
      <c r="AH692" s="1222"/>
      <c r="AI692" s="1222"/>
      <c r="AJ692" s="1222"/>
      <c r="AK692" s="1222"/>
      <c r="AL692" s="1222"/>
      <c r="AM692" s="1222"/>
      <c r="AN692" s="1222"/>
      <c r="AO692" s="1222"/>
      <c r="AP692" s="1222"/>
      <c r="AQ692" s="1222"/>
      <c r="AR692" s="1222"/>
      <c r="AS692" s="1222"/>
      <c r="AT692" s="1222"/>
      <c r="AU692" s="1120"/>
      <c r="AV692" s="445"/>
      <c r="AW692" s="607"/>
      <c r="AX692" s="607"/>
      <c r="AY692" s="607"/>
      <c r="AZ692" s="1209"/>
      <c r="BA692" s="1209"/>
    </row>
    <row r="693" spans="2:53" s="256" customFormat="1" ht="24.95" customHeight="1">
      <c r="B693" s="445"/>
      <c r="C693" s="204"/>
      <c r="D693" s="204"/>
      <c r="E693" s="204"/>
      <c r="F693" s="368"/>
      <c r="G693" s="1134"/>
      <c r="H693" s="401"/>
      <c r="I693" s="317"/>
      <c r="N693" s="317"/>
      <c r="O693" s="1135"/>
      <c r="P693" s="1136"/>
      <c r="Q693" s="1137"/>
      <c r="R693" s="1120"/>
      <c r="S693" s="1120"/>
      <c r="T693" s="1120"/>
      <c r="U693" s="1120"/>
      <c r="V693" s="1120"/>
      <c r="W693" s="1120"/>
      <c r="Z693" s="1145"/>
      <c r="AA693" s="1120"/>
      <c r="AB693" s="1120"/>
      <c r="AC693" s="1120"/>
      <c r="AD693" s="1212"/>
      <c r="AE693" s="1212"/>
      <c r="AF693" s="1186"/>
      <c r="AG693" s="1186"/>
      <c r="AH693" s="1222"/>
      <c r="AI693" s="1222"/>
      <c r="AJ693" s="1222"/>
      <c r="AK693" s="1222"/>
      <c r="AL693" s="1222"/>
      <c r="AM693" s="1222"/>
      <c r="AN693" s="1222"/>
      <c r="AO693" s="1222"/>
      <c r="AP693" s="1222"/>
      <c r="AQ693" s="1222"/>
      <c r="AR693" s="1222"/>
      <c r="AS693" s="1222"/>
      <c r="AT693" s="1222"/>
      <c r="AU693" s="1120"/>
      <c r="AV693" s="445"/>
      <c r="AW693" s="607"/>
      <c r="AX693" s="607"/>
      <c r="AY693" s="607"/>
      <c r="AZ693" s="1209"/>
      <c r="BA693" s="1209"/>
    </row>
    <row r="694" spans="2:53" s="256" customFormat="1" ht="24.95" customHeight="1">
      <c r="B694" s="445"/>
      <c r="C694" s="204"/>
      <c r="D694" s="204"/>
      <c r="E694" s="204"/>
      <c r="F694" s="368"/>
      <c r="G694" s="1134"/>
      <c r="H694" s="401"/>
      <c r="I694" s="317"/>
      <c r="N694" s="317"/>
      <c r="O694" s="1135"/>
      <c r="P694" s="1136"/>
      <c r="Q694" s="1137"/>
      <c r="R694" s="1120"/>
      <c r="S694" s="1120"/>
      <c r="T694" s="1120"/>
      <c r="U694" s="1120"/>
      <c r="V694" s="1120"/>
      <c r="W694" s="1120"/>
      <c r="Z694" s="1145"/>
      <c r="AA694" s="1120"/>
      <c r="AB694" s="1120"/>
      <c r="AC694" s="1120"/>
      <c r="AD694" s="1212"/>
      <c r="AE694" s="1212"/>
      <c r="AF694" s="1186"/>
      <c r="AG694" s="1186"/>
      <c r="AH694" s="1222"/>
      <c r="AI694" s="1222"/>
      <c r="AJ694" s="1222"/>
      <c r="AK694" s="1222"/>
      <c r="AL694" s="1222"/>
      <c r="AM694" s="1222"/>
      <c r="AN694" s="1222"/>
      <c r="AO694" s="1222"/>
      <c r="AP694" s="1222"/>
      <c r="AQ694" s="1222"/>
      <c r="AR694" s="1222"/>
      <c r="AS694" s="1222"/>
      <c r="AT694" s="1222"/>
      <c r="AU694" s="1120"/>
      <c r="AV694" s="445"/>
      <c r="AW694" s="607"/>
      <c r="AX694" s="607"/>
      <c r="AY694" s="607"/>
      <c r="AZ694" s="1209"/>
      <c r="BA694" s="1209"/>
    </row>
    <row r="695" spans="2:53" s="256" customFormat="1" ht="24.95" customHeight="1">
      <c r="B695" s="445"/>
      <c r="C695" s="204"/>
      <c r="D695" s="204"/>
      <c r="E695" s="204"/>
      <c r="F695" s="368"/>
      <c r="G695" s="1134"/>
      <c r="H695" s="401"/>
      <c r="I695" s="317"/>
      <c r="N695" s="317"/>
      <c r="O695" s="1135"/>
      <c r="P695" s="1136"/>
      <c r="Q695" s="1137"/>
      <c r="R695" s="1120"/>
      <c r="S695" s="1120"/>
      <c r="T695" s="1120"/>
      <c r="U695" s="1120"/>
      <c r="V695" s="1120"/>
      <c r="W695" s="1120"/>
      <c r="Z695" s="1145"/>
      <c r="AA695" s="1120"/>
      <c r="AB695" s="1120"/>
      <c r="AC695" s="1120"/>
      <c r="AD695" s="1212"/>
      <c r="AE695" s="1212"/>
      <c r="AF695" s="1186"/>
      <c r="AG695" s="1186"/>
      <c r="AH695" s="1222"/>
      <c r="AI695" s="1222"/>
      <c r="AJ695" s="1222"/>
      <c r="AK695" s="1222"/>
      <c r="AL695" s="1222"/>
      <c r="AM695" s="1222"/>
      <c r="AN695" s="1222"/>
      <c r="AO695" s="1222"/>
      <c r="AP695" s="1222"/>
      <c r="AQ695" s="1222"/>
      <c r="AR695" s="1222"/>
      <c r="AS695" s="1222"/>
      <c r="AT695" s="1222"/>
      <c r="AU695" s="1120"/>
      <c r="AV695" s="445"/>
      <c r="AW695" s="607"/>
      <c r="AX695" s="607"/>
      <c r="AY695" s="607"/>
      <c r="AZ695" s="1209"/>
      <c r="BA695" s="1209"/>
    </row>
    <row r="696" spans="2:53" s="256" customFormat="1" ht="24.95" customHeight="1">
      <c r="B696" s="445"/>
      <c r="C696" s="204"/>
      <c r="D696" s="204"/>
      <c r="E696" s="204"/>
      <c r="F696" s="368"/>
      <c r="G696" s="1134"/>
      <c r="H696" s="401"/>
      <c r="I696" s="317"/>
      <c r="N696" s="317"/>
      <c r="O696" s="1135"/>
      <c r="P696" s="1136"/>
      <c r="Q696" s="1137"/>
      <c r="R696" s="1120"/>
      <c r="S696" s="1120"/>
      <c r="T696" s="1120"/>
      <c r="U696" s="1120"/>
      <c r="V696" s="1120"/>
      <c r="W696" s="1120"/>
      <c r="Z696" s="1145"/>
      <c r="AA696" s="1120"/>
      <c r="AB696" s="1120"/>
      <c r="AC696" s="1120"/>
      <c r="AD696" s="1212"/>
      <c r="AE696" s="1212"/>
      <c r="AF696" s="1186"/>
      <c r="AG696" s="1186"/>
      <c r="AH696" s="1222"/>
      <c r="AI696" s="1222"/>
      <c r="AJ696" s="1222"/>
      <c r="AK696" s="1222"/>
      <c r="AL696" s="1222"/>
      <c r="AM696" s="1222"/>
      <c r="AN696" s="1222"/>
      <c r="AO696" s="1222"/>
      <c r="AP696" s="1222"/>
      <c r="AQ696" s="1222"/>
      <c r="AR696" s="1222"/>
      <c r="AS696" s="1222"/>
      <c r="AT696" s="1222"/>
      <c r="AU696" s="1120"/>
      <c r="AV696" s="445"/>
      <c r="AW696" s="607"/>
      <c r="AX696" s="607"/>
      <c r="AY696" s="607"/>
      <c r="AZ696" s="1209"/>
      <c r="BA696" s="1209"/>
    </row>
    <row r="697" spans="2:53" s="256" customFormat="1" ht="24.95" customHeight="1">
      <c r="B697" s="445"/>
      <c r="C697" s="204"/>
      <c r="D697" s="204"/>
      <c r="E697" s="204"/>
      <c r="F697" s="368"/>
      <c r="G697" s="1134"/>
      <c r="H697" s="401"/>
      <c r="I697" s="317"/>
      <c r="N697" s="317"/>
      <c r="O697" s="1135"/>
      <c r="P697" s="1136"/>
      <c r="Q697" s="1137"/>
      <c r="R697" s="1120"/>
      <c r="S697" s="1120"/>
      <c r="T697" s="1120"/>
      <c r="U697" s="1120"/>
      <c r="V697" s="1120"/>
      <c r="W697" s="1120"/>
      <c r="Z697" s="1145"/>
      <c r="AA697" s="1120"/>
      <c r="AB697" s="1120"/>
      <c r="AC697" s="1120"/>
      <c r="AD697" s="1212"/>
      <c r="AE697" s="1212"/>
      <c r="AF697" s="1186"/>
      <c r="AG697" s="1186"/>
      <c r="AH697" s="1222"/>
      <c r="AI697" s="1222"/>
      <c r="AJ697" s="1222"/>
      <c r="AK697" s="1222"/>
      <c r="AL697" s="1222"/>
      <c r="AM697" s="1222"/>
      <c r="AN697" s="1222"/>
      <c r="AO697" s="1222"/>
      <c r="AP697" s="1222"/>
      <c r="AQ697" s="1222"/>
      <c r="AR697" s="1222"/>
      <c r="AS697" s="1222"/>
      <c r="AT697" s="1222"/>
      <c r="AU697" s="1120"/>
      <c r="AV697" s="445"/>
      <c r="AW697" s="607"/>
      <c r="AX697" s="607"/>
      <c r="AY697" s="607"/>
      <c r="AZ697" s="1209"/>
      <c r="BA697" s="1209"/>
    </row>
    <row r="698" spans="2:53" s="256" customFormat="1" ht="24.95" customHeight="1">
      <c r="B698" s="445"/>
      <c r="C698" s="204"/>
      <c r="D698" s="204"/>
      <c r="E698" s="204"/>
      <c r="F698" s="368"/>
      <c r="G698" s="1134"/>
      <c r="H698" s="401"/>
      <c r="I698" s="317"/>
      <c r="N698" s="317"/>
      <c r="O698" s="1135"/>
      <c r="P698" s="1136"/>
      <c r="Q698" s="1137"/>
      <c r="R698" s="1120"/>
      <c r="S698" s="1120"/>
      <c r="T698" s="1120"/>
      <c r="U698" s="1120"/>
      <c r="V698" s="1120"/>
      <c r="W698" s="1120"/>
      <c r="Z698" s="1145"/>
      <c r="AA698" s="1120"/>
      <c r="AB698" s="1120"/>
      <c r="AC698" s="1120"/>
      <c r="AD698" s="1212"/>
      <c r="AE698" s="1212"/>
      <c r="AF698" s="1186"/>
      <c r="AG698" s="1186"/>
      <c r="AH698" s="1222"/>
      <c r="AI698" s="1222"/>
      <c r="AJ698" s="1222"/>
      <c r="AK698" s="1222"/>
      <c r="AL698" s="1222"/>
      <c r="AM698" s="1222"/>
      <c r="AN698" s="1222"/>
      <c r="AO698" s="1222"/>
      <c r="AP698" s="1222"/>
      <c r="AQ698" s="1222"/>
      <c r="AR698" s="1222"/>
      <c r="AS698" s="1222"/>
      <c r="AT698" s="1222"/>
      <c r="AU698" s="1120"/>
      <c r="AV698" s="445"/>
      <c r="AW698" s="607"/>
      <c r="AX698" s="607"/>
      <c r="AY698" s="607"/>
      <c r="AZ698" s="1209"/>
      <c r="BA698" s="1209"/>
    </row>
    <row r="699" spans="2:53" s="256" customFormat="1" ht="24.95" customHeight="1">
      <c r="B699" s="445"/>
      <c r="C699" s="204"/>
      <c r="D699" s="204"/>
      <c r="E699" s="204"/>
      <c r="F699" s="368"/>
      <c r="G699" s="1134"/>
      <c r="H699" s="401"/>
      <c r="I699" s="317"/>
      <c r="N699" s="317"/>
      <c r="O699" s="1135"/>
      <c r="P699" s="1136"/>
      <c r="Q699" s="1137"/>
      <c r="R699" s="1120"/>
      <c r="S699" s="1120"/>
      <c r="T699" s="1120"/>
      <c r="U699" s="1120"/>
      <c r="V699" s="1120"/>
      <c r="W699" s="1120"/>
      <c r="Z699" s="1145"/>
      <c r="AA699" s="1120"/>
      <c r="AB699" s="1120"/>
      <c r="AC699" s="1120"/>
      <c r="AD699" s="1212"/>
      <c r="AE699" s="1212"/>
      <c r="AF699" s="1186"/>
      <c r="AG699" s="1186"/>
      <c r="AH699" s="1222"/>
      <c r="AI699" s="1222"/>
      <c r="AJ699" s="1222"/>
      <c r="AK699" s="1222"/>
      <c r="AL699" s="1222"/>
      <c r="AM699" s="1222"/>
      <c r="AN699" s="1222"/>
      <c r="AO699" s="1222"/>
      <c r="AP699" s="1222"/>
      <c r="AQ699" s="1222"/>
      <c r="AR699" s="1222"/>
      <c r="AS699" s="1222"/>
      <c r="AT699" s="1222"/>
      <c r="AU699" s="1120"/>
      <c r="AV699" s="445"/>
      <c r="AW699" s="607"/>
      <c r="AX699" s="607"/>
      <c r="AY699" s="607"/>
      <c r="AZ699" s="1209"/>
      <c r="BA699" s="1209"/>
    </row>
    <row r="700" spans="2:53" s="256" customFormat="1" ht="24.95" customHeight="1">
      <c r="B700" s="445"/>
      <c r="C700" s="204"/>
      <c r="D700" s="204"/>
      <c r="E700" s="204"/>
      <c r="F700" s="368"/>
      <c r="G700" s="1134"/>
      <c r="H700" s="401"/>
      <c r="I700" s="317"/>
      <c r="N700" s="317"/>
      <c r="O700" s="1135"/>
      <c r="P700" s="1136"/>
      <c r="Q700" s="1137"/>
      <c r="R700" s="1120"/>
      <c r="S700" s="1120"/>
      <c r="T700" s="1120"/>
      <c r="U700" s="1120"/>
      <c r="V700" s="1120"/>
      <c r="W700" s="1120"/>
      <c r="Z700" s="1145"/>
      <c r="AA700" s="1120"/>
      <c r="AB700" s="1120"/>
      <c r="AC700" s="1120"/>
      <c r="AD700" s="1212"/>
      <c r="AE700" s="1212"/>
      <c r="AF700" s="1186"/>
      <c r="AG700" s="1186"/>
      <c r="AH700" s="1222"/>
      <c r="AI700" s="1222"/>
      <c r="AJ700" s="1222"/>
      <c r="AK700" s="1222"/>
      <c r="AL700" s="1222"/>
      <c r="AM700" s="1222"/>
      <c r="AN700" s="1222"/>
      <c r="AO700" s="1222"/>
      <c r="AP700" s="1222"/>
      <c r="AQ700" s="1222"/>
      <c r="AR700" s="1222"/>
      <c r="AS700" s="1222"/>
      <c r="AT700" s="1222"/>
      <c r="AU700" s="1120"/>
      <c r="AV700" s="445"/>
      <c r="AW700" s="607"/>
      <c r="AX700" s="607"/>
      <c r="AY700" s="607"/>
      <c r="AZ700" s="1209"/>
      <c r="BA700" s="1209"/>
    </row>
    <row r="701" spans="2:53" s="256" customFormat="1" ht="24.95" customHeight="1">
      <c r="B701" s="445"/>
      <c r="C701" s="204"/>
      <c r="D701" s="204"/>
      <c r="E701" s="204"/>
      <c r="F701" s="368"/>
      <c r="G701" s="1134"/>
      <c r="H701" s="401"/>
      <c r="I701" s="317"/>
      <c r="N701" s="317"/>
      <c r="O701" s="1135"/>
      <c r="P701" s="1136"/>
      <c r="Q701" s="1137"/>
      <c r="R701" s="1120"/>
      <c r="S701" s="1120"/>
      <c r="T701" s="1120"/>
      <c r="U701" s="1120"/>
      <c r="V701" s="1120"/>
      <c r="W701" s="1120"/>
      <c r="Z701" s="1145"/>
      <c r="AA701" s="1120"/>
      <c r="AB701" s="1120"/>
      <c r="AC701" s="1120"/>
      <c r="AD701" s="1212"/>
      <c r="AE701" s="1212"/>
      <c r="AF701" s="1186"/>
      <c r="AG701" s="1186"/>
      <c r="AH701" s="1222"/>
      <c r="AI701" s="1222"/>
      <c r="AJ701" s="1222"/>
      <c r="AK701" s="1222"/>
      <c r="AL701" s="1222"/>
      <c r="AM701" s="1222"/>
      <c r="AN701" s="1222"/>
      <c r="AO701" s="1222"/>
      <c r="AP701" s="1222"/>
      <c r="AQ701" s="1222"/>
      <c r="AR701" s="1222"/>
      <c r="AS701" s="1222"/>
      <c r="AT701" s="1222"/>
      <c r="AU701" s="1120"/>
      <c r="AV701" s="445"/>
      <c r="AW701" s="607"/>
      <c r="AX701" s="607"/>
      <c r="AY701" s="607"/>
      <c r="AZ701" s="1209"/>
      <c r="BA701" s="1209"/>
    </row>
    <row r="702" spans="2:53" s="256" customFormat="1" ht="24.95" customHeight="1">
      <c r="B702" s="445"/>
      <c r="C702" s="204"/>
      <c r="D702" s="204"/>
      <c r="E702" s="204"/>
      <c r="F702" s="368"/>
      <c r="G702" s="1134"/>
      <c r="H702" s="401"/>
      <c r="I702" s="317"/>
      <c r="N702" s="317"/>
      <c r="O702" s="1135"/>
      <c r="P702" s="1136"/>
      <c r="Q702" s="1137"/>
      <c r="R702" s="1120"/>
      <c r="S702" s="1120"/>
      <c r="T702" s="1120"/>
      <c r="U702" s="1120"/>
      <c r="V702" s="1120"/>
      <c r="W702" s="1120"/>
      <c r="Z702" s="1145"/>
      <c r="AA702" s="1120"/>
      <c r="AB702" s="1120"/>
      <c r="AC702" s="1120"/>
      <c r="AD702" s="1212"/>
      <c r="AE702" s="1212"/>
      <c r="AF702" s="1186"/>
      <c r="AG702" s="1186"/>
      <c r="AH702" s="1222"/>
      <c r="AI702" s="1222"/>
      <c r="AJ702" s="1222"/>
      <c r="AK702" s="1222"/>
      <c r="AL702" s="1222"/>
      <c r="AM702" s="1222"/>
      <c r="AN702" s="1222"/>
      <c r="AO702" s="1222"/>
      <c r="AP702" s="1222"/>
      <c r="AQ702" s="1222"/>
      <c r="AR702" s="1222"/>
      <c r="AS702" s="1222"/>
      <c r="AT702" s="1222"/>
      <c r="AU702" s="1120"/>
      <c r="AV702" s="445"/>
      <c r="AW702" s="607"/>
      <c r="AX702" s="607"/>
      <c r="AY702" s="607"/>
      <c r="AZ702" s="1209"/>
      <c r="BA702" s="1209"/>
    </row>
    <row r="703" spans="2:53" s="256" customFormat="1" ht="24.95" customHeight="1">
      <c r="B703" s="445"/>
      <c r="C703" s="204"/>
      <c r="D703" s="204"/>
      <c r="E703" s="204"/>
      <c r="F703" s="368"/>
      <c r="G703" s="1134"/>
      <c r="H703" s="401"/>
      <c r="I703" s="317"/>
      <c r="N703" s="317"/>
      <c r="O703" s="1135"/>
      <c r="P703" s="1136"/>
      <c r="Q703" s="1137"/>
      <c r="R703" s="1120"/>
      <c r="S703" s="1120"/>
      <c r="T703" s="1120"/>
      <c r="U703" s="1120"/>
      <c r="V703" s="1120"/>
      <c r="W703" s="1120"/>
      <c r="Z703" s="1145"/>
      <c r="AA703" s="1120"/>
      <c r="AB703" s="1120"/>
      <c r="AC703" s="1120"/>
      <c r="AD703" s="1212"/>
      <c r="AE703" s="1212"/>
      <c r="AF703" s="1186"/>
      <c r="AG703" s="1186"/>
      <c r="AH703" s="1222"/>
      <c r="AI703" s="1222"/>
      <c r="AJ703" s="1222"/>
      <c r="AK703" s="1222"/>
      <c r="AL703" s="1222"/>
      <c r="AM703" s="1222"/>
      <c r="AN703" s="1222"/>
      <c r="AO703" s="1222"/>
      <c r="AP703" s="1222"/>
      <c r="AQ703" s="1222"/>
      <c r="AR703" s="1222"/>
      <c r="AS703" s="1222"/>
      <c r="AT703" s="1222"/>
      <c r="AU703" s="1120"/>
      <c r="AV703" s="445"/>
      <c r="AW703" s="607"/>
      <c r="AX703" s="607"/>
      <c r="AY703" s="607"/>
      <c r="AZ703" s="1209"/>
      <c r="BA703" s="1209"/>
    </row>
    <row r="704" spans="2:53" s="256" customFormat="1" ht="24.95" customHeight="1">
      <c r="B704" s="445"/>
      <c r="C704" s="204"/>
      <c r="D704" s="204"/>
      <c r="E704" s="204"/>
      <c r="F704" s="368"/>
      <c r="G704" s="1134"/>
      <c r="H704" s="401"/>
      <c r="I704" s="317"/>
      <c r="N704" s="317"/>
      <c r="O704" s="1135"/>
      <c r="P704" s="1136"/>
      <c r="Q704" s="1137"/>
      <c r="R704" s="1120"/>
      <c r="S704" s="1120"/>
      <c r="T704" s="1120"/>
      <c r="U704" s="1120"/>
      <c r="V704" s="1120"/>
      <c r="W704" s="1120"/>
      <c r="Z704" s="1145"/>
      <c r="AA704" s="1120"/>
      <c r="AB704" s="1120"/>
      <c r="AC704" s="1120"/>
      <c r="AD704" s="1212"/>
      <c r="AE704" s="1212"/>
      <c r="AF704" s="1186"/>
      <c r="AG704" s="1186"/>
      <c r="AH704" s="1222"/>
      <c r="AI704" s="1222"/>
      <c r="AJ704" s="1222"/>
      <c r="AK704" s="1222"/>
      <c r="AL704" s="1222"/>
      <c r="AM704" s="1222"/>
      <c r="AN704" s="1222"/>
      <c r="AO704" s="1222"/>
      <c r="AP704" s="1222"/>
      <c r="AQ704" s="1222"/>
      <c r="AR704" s="1222"/>
      <c r="AS704" s="1222"/>
      <c r="AT704" s="1222"/>
      <c r="AU704" s="1120"/>
      <c r="AV704" s="445"/>
      <c r="AW704" s="607"/>
      <c r="AX704" s="607"/>
      <c r="AY704" s="607"/>
      <c r="AZ704" s="1209"/>
      <c r="BA704" s="1209"/>
    </row>
    <row r="705" spans="2:53" s="256" customFormat="1" ht="24.95" customHeight="1">
      <c r="B705" s="445"/>
      <c r="C705" s="204"/>
      <c r="D705" s="204"/>
      <c r="E705" s="204"/>
      <c r="F705" s="368"/>
      <c r="G705" s="1134"/>
      <c r="H705" s="401"/>
      <c r="I705" s="317"/>
      <c r="N705" s="317"/>
      <c r="O705" s="1135"/>
      <c r="P705" s="1136"/>
      <c r="Q705" s="1137"/>
      <c r="R705" s="1120"/>
      <c r="S705" s="1120"/>
      <c r="T705" s="1120"/>
      <c r="U705" s="1120"/>
      <c r="V705" s="1120"/>
      <c r="W705" s="1120"/>
      <c r="Z705" s="1145"/>
      <c r="AA705" s="1120"/>
      <c r="AB705" s="1120"/>
      <c r="AC705" s="1120"/>
      <c r="AD705" s="1212"/>
      <c r="AE705" s="1212"/>
      <c r="AF705" s="1186"/>
      <c r="AG705" s="1186"/>
      <c r="AH705" s="1222"/>
      <c r="AI705" s="1222"/>
      <c r="AJ705" s="1222"/>
      <c r="AK705" s="1222"/>
      <c r="AL705" s="1222"/>
      <c r="AM705" s="1222"/>
      <c r="AN705" s="1222"/>
      <c r="AO705" s="1222"/>
      <c r="AP705" s="1222"/>
      <c r="AQ705" s="1222"/>
      <c r="AR705" s="1222"/>
      <c r="AS705" s="1222"/>
      <c r="AT705" s="1222"/>
      <c r="AU705" s="1120"/>
      <c r="AV705" s="445"/>
      <c r="AW705" s="607"/>
      <c r="AX705" s="607"/>
      <c r="AY705" s="607"/>
      <c r="AZ705" s="1209"/>
      <c r="BA705" s="1209"/>
    </row>
    <row r="706" spans="2:53" s="256" customFormat="1" ht="24.95" customHeight="1">
      <c r="B706" s="445"/>
      <c r="C706" s="204"/>
      <c r="D706" s="204"/>
      <c r="E706" s="204"/>
      <c r="F706" s="368"/>
      <c r="G706" s="1134"/>
      <c r="H706" s="401"/>
      <c r="I706" s="317"/>
      <c r="N706" s="317"/>
      <c r="O706" s="1135"/>
      <c r="P706" s="1136"/>
      <c r="Q706" s="1137"/>
      <c r="R706" s="1120"/>
      <c r="S706" s="1120"/>
      <c r="T706" s="1120"/>
      <c r="U706" s="1120"/>
      <c r="V706" s="1120"/>
      <c r="W706" s="1120"/>
      <c r="Z706" s="1145"/>
      <c r="AA706" s="1120"/>
      <c r="AB706" s="1120"/>
      <c r="AC706" s="1120"/>
      <c r="AD706" s="1212"/>
      <c r="AE706" s="1212"/>
      <c r="AF706" s="1186"/>
      <c r="AG706" s="1186"/>
      <c r="AH706" s="1222"/>
      <c r="AI706" s="1222"/>
      <c r="AJ706" s="1222"/>
      <c r="AK706" s="1222"/>
      <c r="AL706" s="1222"/>
      <c r="AM706" s="1222"/>
      <c r="AN706" s="1222"/>
      <c r="AO706" s="1222"/>
      <c r="AP706" s="1222"/>
      <c r="AQ706" s="1222"/>
      <c r="AR706" s="1222"/>
      <c r="AS706" s="1222"/>
      <c r="AT706" s="1222"/>
      <c r="AU706" s="1120"/>
      <c r="AV706" s="445"/>
      <c r="AW706" s="607"/>
      <c r="AX706" s="607"/>
      <c r="AY706" s="607"/>
      <c r="AZ706" s="1209"/>
      <c r="BA706" s="1209"/>
    </row>
    <row r="707" spans="2:53" s="256" customFormat="1" ht="24.95" customHeight="1">
      <c r="B707" s="445"/>
      <c r="C707" s="204"/>
      <c r="D707" s="204"/>
      <c r="E707" s="204"/>
      <c r="F707" s="368"/>
      <c r="G707" s="1134"/>
      <c r="H707" s="401"/>
      <c r="I707" s="317"/>
      <c r="N707" s="317"/>
      <c r="O707" s="1135"/>
      <c r="P707" s="1136"/>
      <c r="Q707" s="1137"/>
      <c r="R707" s="1120"/>
      <c r="S707" s="1120"/>
      <c r="T707" s="1120"/>
      <c r="U707" s="1120"/>
      <c r="V707" s="1120"/>
      <c r="W707" s="1120"/>
      <c r="Z707" s="1145"/>
      <c r="AA707" s="1120"/>
      <c r="AB707" s="1120"/>
      <c r="AC707" s="1120"/>
      <c r="AD707" s="1212"/>
      <c r="AE707" s="1212"/>
      <c r="AF707" s="1186"/>
      <c r="AG707" s="1186"/>
      <c r="AH707" s="1222"/>
      <c r="AI707" s="1222"/>
      <c r="AJ707" s="1222"/>
      <c r="AK707" s="1222"/>
      <c r="AL707" s="1222"/>
      <c r="AM707" s="1222"/>
      <c r="AN707" s="1222"/>
      <c r="AO707" s="1222"/>
      <c r="AP707" s="1222"/>
      <c r="AQ707" s="1222"/>
      <c r="AR707" s="1222"/>
      <c r="AS707" s="1222"/>
      <c r="AT707" s="1222"/>
      <c r="AU707" s="1120"/>
      <c r="AV707" s="445"/>
      <c r="AW707" s="607"/>
      <c r="AX707" s="607"/>
      <c r="AY707" s="607"/>
      <c r="AZ707" s="1209"/>
      <c r="BA707" s="1209"/>
    </row>
    <row r="708" spans="2:53" s="256" customFormat="1" ht="24.95" customHeight="1">
      <c r="B708" s="445"/>
      <c r="C708" s="204"/>
      <c r="D708" s="204"/>
      <c r="E708" s="204"/>
      <c r="F708" s="368"/>
      <c r="G708" s="1134"/>
      <c r="H708" s="401"/>
      <c r="I708" s="317"/>
      <c r="N708" s="317"/>
      <c r="O708" s="1135"/>
      <c r="P708" s="1136"/>
      <c r="Q708" s="1137"/>
      <c r="R708" s="1120"/>
      <c r="S708" s="1120"/>
      <c r="T708" s="1120"/>
      <c r="U708" s="1120"/>
      <c r="V708" s="1120"/>
      <c r="W708" s="1120"/>
      <c r="Z708" s="1145"/>
      <c r="AA708" s="1120"/>
      <c r="AB708" s="1120"/>
      <c r="AC708" s="1120"/>
      <c r="AD708" s="1212"/>
      <c r="AE708" s="1212"/>
      <c r="AF708" s="1186"/>
      <c r="AG708" s="1186"/>
      <c r="AH708" s="1222"/>
      <c r="AI708" s="1222"/>
      <c r="AJ708" s="1222"/>
      <c r="AK708" s="1222"/>
      <c r="AL708" s="1222"/>
      <c r="AM708" s="1222"/>
      <c r="AN708" s="1222"/>
      <c r="AO708" s="1222"/>
      <c r="AP708" s="1222"/>
      <c r="AQ708" s="1222"/>
      <c r="AR708" s="1222"/>
      <c r="AS708" s="1222"/>
      <c r="AT708" s="1222"/>
      <c r="AU708" s="1120"/>
      <c r="AV708" s="445"/>
      <c r="AW708" s="607"/>
      <c r="AX708" s="607"/>
      <c r="AY708" s="607"/>
      <c r="AZ708" s="1209"/>
      <c r="BA708" s="1209"/>
    </row>
    <row r="709" spans="2:53" s="256" customFormat="1" ht="24.95" customHeight="1">
      <c r="B709" s="445"/>
      <c r="C709" s="204"/>
      <c r="D709" s="204"/>
      <c r="E709" s="204"/>
      <c r="F709" s="368"/>
      <c r="G709" s="1134"/>
      <c r="H709" s="401"/>
      <c r="I709" s="317"/>
      <c r="N709" s="317"/>
      <c r="O709" s="1135"/>
      <c r="P709" s="1136"/>
      <c r="Q709" s="1137"/>
      <c r="R709" s="1120"/>
      <c r="S709" s="1120"/>
      <c r="T709" s="1120"/>
      <c r="U709" s="1120"/>
      <c r="V709" s="1120"/>
      <c r="W709" s="1120"/>
      <c r="Z709" s="1145"/>
      <c r="AA709" s="1120"/>
      <c r="AB709" s="1120"/>
      <c r="AC709" s="1120"/>
      <c r="AD709" s="1212"/>
      <c r="AE709" s="1212"/>
      <c r="AF709" s="1186"/>
      <c r="AG709" s="1186"/>
      <c r="AH709" s="1222"/>
      <c r="AI709" s="1222"/>
      <c r="AJ709" s="1222"/>
      <c r="AK709" s="1222"/>
      <c r="AL709" s="1222"/>
      <c r="AM709" s="1222"/>
      <c r="AN709" s="1222"/>
      <c r="AO709" s="1222"/>
      <c r="AP709" s="1222"/>
      <c r="AQ709" s="1222"/>
      <c r="AR709" s="1222"/>
      <c r="AS709" s="1222"/>
      <c r="AT709" s="1222"/>
      <c r="AU709" s="1120"/>
      <c r="AV709" s="445"/>
      <c r="AW709" s="607"/>
      <c r="AX709" s="607"/>
      <c r="AY709" s="607"/>
      <c r="AZ709" s="1209"/>
      <c r="BA709" s="1209"/>
    </row>
    <row r="710" spans="2:53" s="256" customFormat="1" ht="24.95" customHeight="1">
      <c r="B710" s="445"/>
      <c r="C710" s="204"/>
      <c r="D710" s="204"/>
      <c r="E710" s="204"/>
      <c r="F710" s="368"/>
      <c r="G710" s="1134"/>
      <c r="H710" s="401"/>
      <c r="I710" s="317"/>
      <c r="N710" s="317"/>
      <c r="O710" s="1135"/>
      <c r="P710" s="1136"/>
      <c r="Q710" s="1137"/>
      <c r="R710" s="1120"/>
      <c r="S710" s="1120"/>
      <c r="T710" s="1120"/>
      <c r="U710" s="1120"/>
      <c r="V710" s="1120"/>
      <c r="W710" s="1120"/>
      <c r="Z710" s="1145"/>
      <c r="AA710" s="1120"/>
      <c r="AB710" s="1120"/>
      <c r="AC710" s="1120"/>
      <c r="AD710" s="1212"/>
      <c r="AE710" s="1212"/>
      <c r="AF710" s="1186"/>
      <c r="AG710" s="1186"/>
      <c r="AH710" s="1222"/>
      <c r="AI710" s="1222"/>
      <c r="AJ710" s="1222"/>
      <c r="AK710" s="1222"/>
      <c r="AL710" s="1222"/>
      <c r="AM710" s="1222"/>
      <c r="AN710" s="1222"/>
      <c r="AO710" s="1222"/>
      <c r="AP710" s="1222"/>
      <c r="AQ710" s="1222"/>
      <c r="AR710" s="1222"/>
      <c r="AS710" s="1222"/>
      <c r="AT710" s="1222"/>
      <c r="AU710" s="1120"/>
      <c r="AV710" s="445"/>
      <c r="AW710" s="607"/>
      <c r="AX710" s="607"/>
      <c r="AY710" s="607"/>
      <c r="AZ710" s="1209"/>
      <c r="BA710" s="1209"/>
    </row>
    <row r="711" spans="2:53" s="256" customFormat="1" ht="24.95" customHeight="1">
      <c r="B711" s="445"/>
      <c r="C711" s="204"/>
      <c r="D711" s="204"/>
      <c r="E711" s="204"/>
      <c r="F711" s="368"/>
      <c r="G711" s="1134"/>
      <c r="H711" s="401"/>
      <c r="I711" s="317"/>
      <c r="N711" s="317"/>
      <c r="O711" s="1135"/>
      <c r="P711" s="1136"/>
      <c r="Q711" s="1137"/>
      <c r="R711" s="1120"/>
      <c r="S711" s="1120"/>
      <c r="T711" s="1120"/>
      <c r="U711" s="1120"/>
      <c r="V711" s="1120"/>
      <c r="W711" s="1120"/>
      <c r="Z711" s="1145"/>
      <c r="AA711" s="1120"/>
      <c r="AB711" s="1120"/>
      <c r="AC711" s="1120"/>
      <c r="AD711" s="1212"/>
      <c r="AE711" s="1212"/>
      <c r="AF711" s="1186"/>
      <c r="AG711" s="1186"/>
      <c r="AH711" s="1222"/>
      <c r="AI711" s="1222"/>
      <c r="AJ711" s="1222"/>
      <c r="AK711" s="1222"/>
      <c r="AL711" s="1222"/>
      <c r="AM711" s="1222"/>
      <c r="AN711" s="1222"/>
      <c r="AO711" s="1222"/>
      <c r="AP711" s="1222"/>
      <c r="AQ711" s="1222"/>
      <c r="AR711" s="1222"/>
      <c r="AS711" s="1222"/>
      <c r="AT711" s="1222"/>
      <c r="AU711" s="1120"/>
      <c r="AV711" s="445"/>
      <c r="AW711" s="607"/>
      <c r="AX711" s="607"/>
      <c r="AY711" s="607"/>
      <c r="AZ711" s="1209"/>
      <c r="BA711" s="1209"/>
    </row>
    <row r="712" spans="2:53" s="256" customFormat="1" ht="24.95" customHeight="1">
      <c r="B712" s="445"/>
      <c r="C712" s="204"/>
      <c r="D712" s="204"/>
      <c r="E712" s="204"/>
      <c r="F712" s="368"/>
      <c r="G712" s="1134"/>
      <c r="H712" s="401"/>
      <c r="I712" s="317"/>
      <c r="N712" s="317"/>
      <c r="O712" s="1135"/>
      <c r="P712" s="1136"/>
      <c r="Q712" s="1137"/>
      <c r="R712" s="1120"/>
      <c r="S712" s="1120"/>
      <c r="T712" s="1120"/>
      <c r="U712" s="1120"/>
      <c r="V712" s="1120"/>
      <c r="W712" s="1120"/>
      <c r="Z712" s="1145"/>
      <c r="AA712" s="1120"/>
      <c r="AB712" s="1120"/>
      <c r="AC712" s="1120"/>
      <c r="AD712" s="1212"/>
      <c r="AE712" s="1212"/>
      <c r="AF712" s="1186"/>
      <c r="AG712" s="1186"/>
      <c r="AH712" s="1222"/>
      <c r="AI712" s="1222"/>
      <c r="AJ712" s="1222"/>
      <c r="AK712" s="1222"/>
      <c r="AL712" s="1222"/>
      <c r="AM712" s="1222"/>
      <c r="AN712" s="1222"/>
      <c r="AO712" s="1222"/>
      <c r="AP712" s="1222"/>
      <c r="AQ712" s="1222"/>
      <c r="AR712" s="1222"/>
      <c r="AS712" s="1222"/>
      <c r="AT712" s="1222"/>
      <c r="AU712" s="1120"/>
      <c r="AV712" s="445"/>
      <c r="AW712" s="607"/>
      <c r="AX712" s="607"/>
      <c r="AY712" s="607"/>
      <c r="AZ712" s="1209"/>
      <c r="BA712" s="1209"/>
    </row>
    <row r="713" spans="2:53" s="256" customFormat="1" ht="24.95" customHeight="1">
      <c r="B713" s="445"/>
      <c r="C713" s="204"/>
      <c r="D713" s="204"/>
      <c r="E713" s="204"/>
      <c r="F713" s="368"/>
      <c r="G713" s="1134"/>
      <c r="H713" s="401"/>
      <c r="I713" s="317"/>
      <c r="N713" s="317"/>
      <c r="O713" s="1135"/>
      <c r="P713" s="1136"/>
      <c r="Q713" s="1137"/>
      <c r="R713" s="1120"/>
      <c r="S713" s="1120"/>
      <c r="T713" s="1120"/>
      <c r="U713" s="1120"/>
      <c r="V713" s="1120"/>
      <c r="W713" s="1120"/>
      <c r="Z713" s="1145"/>
      <c r="AA713" s="1120"/>
      <c r="AB713" s="1120"/>
      <c r="AC713" s="1120"/>
      <c r="AD713" s="1212"/>
      <c r="AE713" s="1212"/>
      <c r="AF713" s="1186"/>
      <c r="AG713" s="1186"/>
      <c r="AH713" s="1222"/>
      <c r="AI713" s="1222"/>
      <c r="AJ713" s="1222"/>
      <c r="AK713" s="1222"/>
      <c r="AL713" s="1222"/>
      <c r="AM713" s="1222"/>
      <c r="AN713" s="1222"/>
      <c r="AO713" s="1222"/>
      <c r="AP713" s="1222"/>
      <c r="AQ713" s="1222"/>
      <c r="AR713" s="1222"/>
      <c r="AS713" s="1222"/>
      <c r="AT713" s="1222"/>
      <c r="AU713" s="1120"/>
      <c r="AV713" s="445"/>
      <c r="AW713" s="607"/>
      <c r="AX713" s="607"/>
      <c r="AY713" s="607"/>
      <c r="AZ713" s="1209"/>
      <c r="BA713" s="1209"/>
    </row>
    <row r="714" spans="2:53" s="256" customFormat="1" ht="24.95" customHeight="1">
      <c r="B714" s="445"/>
      <c r="C714" s="204"/>
      <c r="D714" s="204"/>
      <c r="E714" s="204"/>
      <c r="F714" s="368"/>
      <c r="G714" s="1134"/>
      <c r="H714" s="401"/>
      <c r="I714" s="317"/>
      <c r="N714" s="317"/>
      <c r="O714" s="1135"/>
      <c r="P714" s="1136"/>
      <c r="Q714" s="1137"/>
      <c r="R714" s="1120"/>
      <c r="S714" s="1120"/>
      <c r="T714" s="1120"/>
      <c r="U714" s="1120"/>
      <c r="V714" s="1120"/>
      <c r="W714" s="1120"/>
      <c r="Z714" s="1145"/>
      <c r="AA714" s="1120"/>
      <c r="AB714" s="1120"/>
      <c r="AC714" s="1120"/>
      <c r="AD714" s="1212"/>
      <c r="AE714" s="1212"/>
      <c r="AF714" s="1186"/>
      <c r="AG714" s="1186"/>
      <c r="AH714" s="1222"/>
      <c r="AI714" s="1222"/>
      <c r="AJ714" s="1222"/>
      <c r="AK714" s="1222"/>
      <c r="AL714" s="1222"/>
      <c r="AM714" s="1222"/>
      <c r="AN714" s="1222"/>
      <c r="AO714" s="1222"/>
      <c r="AP714" s="1222"/>
      <c r="AQ714" s="1222"/>
      <c r="AR714" s="1222"/>
      <c r="AS714" s="1222"/>
      <c r="AT714" s="1222"/>
      <c r="AU714" s="1120"/>
      <c r="AV714" s="445"/>
      <c r="AW714" s="607"/>
      <c r="AX714" s="607"/>
      <c r="AY714" s="607"/>
      <c r="AZ714" s="1209"/>
      <c r="BA714" s="1209"/>
    </row>
    <row r="715" spans="2:53" s="256" customFormat="1" ht="24.95" customHeight="1">
      <c r="B715" s="445"/>
      <c r="C715" s="204"/>
      <c r="D715" s="204"/>
      <c r="E715" s="204"/>
      <c r="F715" s="368"/>
      <c r="G715" s="1134"/>
      <c r="H715" s="401"/>
      <c r="I715" s="317"/>
      <c r="N715" s="317"/>
      <c r="O715" s="1135"/>
      <c r="P715" s="1136"/>
      <c r="Q715" s="1137"/>
      <c r="R715" s="1120"/>
      <c r="S715" s="1120"/>
      <c r="T715" s="1120"/>
      <c r="U715" s="1120"/>
      <c r="V715" s="1120"/>
      <c r="W715" s="1120"/>
      <c r="Z715" s="1145"/>
      <c r="AA715" s="1120"/>
      <c r="AB715" s="1120"/>
      <c r="AC715" s="1120"/>
      <c r="AD715" s="1212"/>
      <c r="AE715" s="1212"/>
      <c r="AF715" s="1186"/>
      <c r="AG715" s="1186"/>
      <c r="AH715" s="1222"/>
      <c r="AI715" s="1222"/>
      <c r="AJ715" s="1222"/>
      <c r="AK715" s="1222"/>
      <c r="AL715" s="1222"/>
      <c r="AM715" s="1222"/>
      <c r="AN715" s="1222"/>
      <c r="AO715" s="1222"/>
      <c r="AP715" s="1222"/>
      <c r="AQ715" s="1222"/>
      <c r="AR715" s="1222"/>
      <c r="AS715" s="1222"/>
      <c r="AT715" s="1222"/>
      <c r="AU715" s="1120"/>
      <c r="AV715" s="445"/>
      <c r="AW715" s="607"/>
      <c r="AX715" s="607"/>
      <c r="AY715" s="607"/>
      <c r="AZ715" s="1209"/>
      <c r="BA715" s="1209"/>
    </row>
    <row r="716" spans="2:53" s="256" customFormat="1" ht="24.95" customHeight="1">
      <c r="B716" s="445"/>
      <c r="C716" s="204"/>
      <c r="D716" s="204"/>
      <c r="E716" s="204"/>
      <c r="F716" s="368"/>
      <c r="G716" s="1134"/>
      <c r="H716" s="401"/>
      <c r="I716" s="317"/>
      <c r="N716" s="317"/>
      <c r="O716" s="1135"/>
      <c r="P716" s="1136"/>
      <c r="Q716" s="1137"/>
      <c r="R716" s="1120"/>
      <c r="S716" s="1120"/>
      <c r="T716" s="1120"/>
      <c r="U716" s="1120"/>
      <c r="V716" s="1120"/>
      <c r="W716" s="1120"/>
      <c r="Z716" s="1145"/>
      <c r="AA716" s="1120"/>
      <c r="AB716" s="1120"/>
      <c r="AC716" s="1120"/>
      <c r="AD716" s="1212"/>
      <c r="AE716" s="1212"/>
      <c r="AF716" s="1186"/>
      <c r="AG716" s="1186"/>
      <c r="AH716" s="1222"/>
      <c r="AI716" s="1222"/>
      <c r="AJ716" s="1222"/>
      <c r="AK716" s="1222"/>
      <c r="AL716" s="1222"/>
      <c r="AM716" s="1222"/>
      <c r="AN716" s="1222"/>
      <c r="AO716" s="1222"/>
      <c r="AP716" s="1222"/>
      <c r="AQ716" s="1222"/>
      <c r="AR716" s="1222"/>
      <c r="AS716" s="1222"/>
      <c r="AT716" s="1222"/>
      <c r="AU716" s="1120"/>
      <c r="AV716" s="445"/>
      <c r="AW716" s="607"/>
      <c r="AX716" s="607"/>
      <c r="AY716" s="607"/>
      <c r="AZ716" s="1209"/>
      <c r="BA716" s="1209"/>
    </row>
    <row r="717" spans="2:53" s="256" customFormat="1" ht="24.95" customHeight="1">
      <c r="B717" s="445"/>
      <c r="C717" s="204"/>
      <c r="D717" s="204"/>
      <c r="E717" s="204"/>
      <c r="F717" s="368"/>
      <c r="G717" s="1134"/>
      <c r="H717" s="401"/>
      <c r="I717" s="317"/>
      <c r="N717" s="317"/>
      <c r="O717" s="1135"/>
      <c r="P717" s="1136"/>
      <c r="Q717" s="1137"/>
      <c r="R717" s="1120"/>
      <c r="S717" s="1120"/>
      <c r="T717" s="1120"/>
      <c r="U717" s="1120"/>
      <c r="V717" s="1120"/>
      <c r="W717" s="1120"/>
      <c r="Z717" s="1145"/>
      <c r="AA717" s="1120"/>
      <c r="AB717" s="1120"/>
      <c r="AC717" s="1120"/>
      <c r="AD717" s="1212"/>
      <c r="AE717" s="1212"/>
      <c r="AF717" s="1186"/>
      <c r="AG717" s="1186"/>
      <c r="AH717" s="1222"/>
      <c r="AI717" s="1222"/>
      <c r="AJ717" s="1222"/>
      <c r="AK717" s="1222"/>
      <c r="AL717" s="1222"/>
      <c r="AM717" s="1222"/>
      <c r="AN717" s="1222"/>
      <c r="AO717" s="1222"/>
      <c r="AP717" s="1222"/>
      <c r="AQ717" s="1222"/>
      <c r="AR717" s="1222"/>
      <c r="AS717" s="1222"/>
      <c r="AT717" s="1222"/>
      <c r="AU717" s="1120"/>
      <c r="AV717" s="445"/>
      <c r="AW717" s="607"/>
      <c r="AX717" s="607"/>
      <c r="AY717" s="607"/>
      <c r="AZ717" s="1209"/>
      <c r="BA717" s="1209"/>
    </row>
    <row r="718" spans="2:53" s="256" customFormat="1" ht="24.95" customHeight="1">
      <c r="B718" s="445"/>
      <c r="C718" s="204"/>
      <c r="D718" s="204"/>
      <c r="E718" s="204"/>
      <c r="F718" s="368"/>
      <c r="G718" s="1134"/>
      <c r="H718" s="401"/>
      <c r="I718" s="317"/>
      <c r="N718" s="317"/>
      <c r="O718" s="1135"/>
      <c r="P718" s="1136"/>
      <c r="Q718" s="1137"/>
      <c r="R718" s="1120"/>
      <c r="S718" s="1120"/>
      <c r="T718" s="1120"/>
      <c r="U718" s="1120"/>
      <c r="V718" s="1120"/>
      <c r="W718" s="1120"/>
      <c r="Z718" s="1145"/>
      <c r="AA718" s="1120"/>
      <c r="AB718" s="1120"/>
      <c r="AC718" s="1120"/>
      <c r="AD718" s="1212"/>
      <c r="AE718" s="1212"/>
      <c r="AF718" s="1186"/>
      <c r="AG718" s="1186"/>
      <c r="AH718" s="1222"/>
      <c r="AI718" s="1222"/>
      <c r="AJ718" s="1222"/>
      <c r="AK718" s="1222"/>
      <c r="AL718" s="1222"/>
      <c r="AM718" s="1222"/>
      <c r="AN718" s="1222"/>
      <c r="AO718" s="1222"/>
      <c r="AP718" s="1222"/>
      <c r="AQ718" s="1222"/>
      <c r="AR718" s="1222"/>
      <c r="AS718" s="1222"/>
      <c r="AT718" s="1222"/>
      <c r="AU718" s="1120"/>
      <c r="AV718" s="445"/>
      <c r="AW718" s="607"/>
      <c r="AX718" s="607"/>
      <c r="AY718" s="607"/>
      <c r="AZ718" s="1209"/>
      <c r="BA718" s="1209"/>
    </row>
    <row r="719" spans="2:53" s="256" customFormat="1" ht="24.95" customHeight="1">
      <c r="B719" s="445"/>
      <c r="C719" s="204"/>
      <c r="D719" s="204"/>
      <c r="E719" s="204"/>
      <c r="F719" s="368"/>
      <c r="G719" s="1134"/>
      <c r="H719" s="401"/>
      <c r="I719" s="317"/>
      <c r="N719" s="317"/>
      <c r="O719" s="1135"/>
      <c r="P719" s="1136"/>
      <c r="Q719" s="1137"/>
      <c r="R719" s="1120"/>
      <c r="S719" s="1120"/>
      <c r="T719" s="1120"/>
      <c r="U719" s="1120"/>
      <c r="V719" s="1120"/>
      <c r="W719" s="1120"/>
      <c r="Z719" s="1145"/>
      <c r="AA719" s="1120"/>
      <c r="AB719" s="1120"/>
      <c r="AC719" s="1120"/>
      <c r="AD719" s="1212"/>
      <c r="AE719" s="1212"/>
      <c r="AF719" s="1186"/>
      <c r="AG719" s="1186"/>
      <c r="AH719" s="1222"/>
      <c r="AI719" s="1222"/>
      <c r="AJ719" s="1222"/>
      <c r="AK719" s="1222"/>
      <c r="AL719" s="1222"/>
      <c r="AM719" s="1222"/>
      <c r="AN719" s="1222"/>
      <c r="AO719" s="1222"/>
      <c r="AP719" s="1222"/>
      <c r="AQ719" s="1222"/>
      <c r="AR719" s="1222"/>
      <c r="AS719" s="1222"/>
      <c r="AT719" s="1222"/>
      <c r="AU719" s="1120"/>
      <c r="AV719" s="445"/>
      <c r="AW719" s="607"/>
      <c r="AX719" s="607"/>
      <c r="AY719" s="607"/>
      <c r="AZ719" s="1209"/>
      <c r="BA719" s="1209"/>
    </row>
    <row r="720" spans="2:53" s="256" customFormat="1" ht="24.95" customHeight="1">
      <c r="B720" s="445"/>
      <c r="C720" s="204"/>
      <c r="D720" s="204"/>
      <c r="E720" s="204"/>
      <c r="F720" s="368"/>
      <c r="G720" s="1134"/>
      <c r="H720" s="401"/>
      <c r="I720" s="317"/>
      <c r="N720" s="317"/>
      <c r="O720" s="1135"/>
      <c r="P720" s="1136"/>
      <c r="Q720" s="1137"/>
      <c r="R720" s="1120"/>
      <c r="S720" s="1120"/>
      <c r="T720" s="1120"/>
      <c r="U720" s="1120"/>
      <c r="V720" s="1120"/>
      <c r="W720" s="1120"/>
      <c r="Z720" s="1145"/>
      <c r="AA720" s="1120"/>
      <c r="AB720" s="1120"/>
      <c r="AC720" s="1120"/>
      <c r="AD720" s="1212"/>
      <c r="AE720" s="1212"/>
      <c r="AF720" s="1186"/>
      <c r="AG720" s="1186"/>
      <c r="AH720" s="1222"/>
      <c r="AI720" s="1222"/>
      <c r="AJ720" s="1222"/>
      <c r="AK720" s="1222"/>
      <c r="AL720" s="1222"/>
      <c r="AM720" s="1222"/>
      <c r="AN720" s="1222"/>
      <c r="AO720" s="1222"/>
      <c r="AP720" s="1222"/>
      <c r="AQ720" s="1222"/>
      <c r="AR720" s="1222"/>
      <c r="AS720" s="1222"/>
      <c r="AT720" s="1222"/>
      <c r="AU720" s="1120"/>
      <c r="AV720" s="445"/>
      <c r="AW720" s="607"/>
      <c r="AX720" s="607"/>
      <c r="AY720" s="607"/>
      <c r="AZ720" s="1209"/>
      <c r="BA720" s="1209"/>
    </row>
    <row r="721" spans="2:53" s="256" customFormat="1" ht="24.95" customHeight="1">
      <c r="B721" s="445"/>
      <c r="C721" s="204"/>
      <c r="D721" s="204"/>
      <c r="E721" s="204"/>
      <c r="F721" s="368"/>
      <c r="G721" s="1134"/>
      <c r="H721" s="401"/>
      <c r="I721" s="317"/>
      <c r="N721" s="317"/>
      <c r="O721" s="1135"/>
      <c r="P721" s="1136"/>
      <c r="Q721" s="1137"/>
      <c r="R721" s="1120"/>
      <c r="S721" s="1120"/>
      <c r="T721" s="1120"/>
      <c r="U721" s="1120"/>
      <c r="V721" s="1120"/>
      <c r="W721" s="1120"/>
      <c r="Z721" s="1145"/>
      <c r="AA721" s="1120"/>
      <c r="AB721" s="1120"/>
      <c r="AC721" s="1120"/>
      <c r="AD721" s="1212"/>
      <c r="AE721" s="1212"/>
      <c r="AF721" s="1186"/>
      <c r="AG721" s="1186"/>
      <c r="AH721" s="1222"/>
      <c r="AI721" s="1222"/>
      <c r="AJ721" s="1222"/>
      <c r="AK721" s="1222"/>
      <c r="AL721" s="1222"/>
      <c r="AM721" s="1222"/>
      <c r="AN721" s="1222"/>
      <c r="AO721" s="1222"/>
      <c r="AP721" s="1222"/>
      <c r="AQ721" s="1222"/>
      <c r="AR721" s="1222"/>
      <c r="AS721" s="1222"/>
      <c r="AT721" s="1222"/>
      <c r="AU721" s="1120"/>
      <c r="AV721" s="445"/>
      <c r="AW721" s="607"/>
      <c r="AX721" s="607"/>
      <c r="AY721" s="607"/>
      <c r="AZ721" s="1209"/>
      <c r="BA721" s="1209"/>
    </row>
    <row r="722" spans="2:53" s="256" customFormat="1" ht="24.95" customHeight="1">
      <c r="B722" s="445"/>
      <c r="C722" s="204"/>
      <c r="D722" s="204"/>
      <c r="E722" s="204"/>
      <c r="F722" s="368"/>
      <c r="G722" s="1134"/>
      <c r="H722" s="401"/>
      <c r="I722" s="317"/>
      <c r="N722" s="317"/>
      <c r="O722" s="1135"/>
      <c r="P722" s="1136"/>
      <c r="Q722" s="1137"/>
      <c r="R722" s="1120"/>
      <c r="S722" s="1120"/>
      <c r="T722" s="1120"/>
      <c r="U722" s="1120"/>
      <c r="V722" s="1120"/>
      <c r="W722" s="1120"/>
      <c r="Z722" s="1145"/>
      <c r="AA722" s="1120"/>
      <c r="AB722" s="1120"/>
      <c r="AC722" s="1120"/>
      <c r="AD722" s="1212"/>
      <c r="AE722" s="1212"/>
      <c r="AF722" s="1186"/>
      <c r="AG722" s="1186"/>
      <c r="AH722" s="1222"/>
      <c r="AI722" s="1222"/>
      <c r="AJ722" s="1222"/>
      <c r="AK722" s="1222"/>
      <c r="AL722" s="1222"/>
      <c r="AM722" s="1222"/>
      <c r="AN722" s="1222"/>
      <c r="AO722" s="1222"/>
      <c r="AP722" s="1222"/>
      <c r="AQ722" s="1222"/>
      <c r="AR722" s="1222"/>
      <c r="AS722" s="1222"/>
      <c r="AT722" s="1222"/>
      <c r="AU722" s="1120"/>
      <c r="AV722" s="445"/>
      <c r="AW722" s="607"/>
      <c r="AX722" s="607"/>
      <c r="AY722" s="607"/>
      <c r="AZ722" s="1209"/>
      <c r="BA722" s="1209"/>
    </row>
    <row r="723" spans="2:53" s="256" customFormat="1" ht="24.95" customHeight="1">
      <c r="B723" s="445"/>
      <c r="C723" s="204"/>
      <c r="D723" s="204"/>
      <c r="E723" s="204"/>
      <c r="F723" s="368"/>
      <c r="G723" s="1134"/>
      <c r="H723" s="401"/>
      <c r="I723" s="317"/>
      <c r="N723" s="317"/>
      <c r="O723" s="1135"/>
      <c r="P723" s="1136"/>
      <c r="Q723" s="1137"/>
      <c r="R723" s="1120"/>
      <c r="S723" s="1120"/>
      <c r="T723" s="1120"/>
      <c r="U723" s="1120"/>
      <c r="V723" s="1120"/>
      <c r="W723" s="1120"/>
      <c r="Z723" s="1145"/>
      <c r="AA723" s="1120"/>
      <c r="AB723" s="1120"/>
      <c r="AC723" s="1120"/>
      <c r="AD723" s="1212"/>
      <c r="AE723" s="1212"/>
      <c r="AF723" s="1186"/>
      <c r="AG723" s="1186"/>
      <c r="AH723" s="1222"/>
      <c r="AI723" s="1222"/>
      <c r="AJ723" s="1222"/>
      <c r="AK723" s="1222"/>
      <c r="AL723" s="1222"/>
      <c r="AM723" s="1222"/>
      <c r="AN723" s="1222"/>
      <c r="AO723" s="1222"/>
      <c r="AP723" s="1222"/>
      <c r="AQ723" s="1222"/>
      <c r="AR723" s="1222"/>
      <c r="AS723" s="1222"/>
      <c r="AT723" s="1222"/>
      <c r="AU723" s="1120"/>
      <c r="AV723" s="445"/>
      <c r="AW723" s="607"/>
      <c r="AX723" s="607"/>
      <c r="AY723" s="607"/>
      <c r="AZ723" s="1209"/>
      <c r="BA723" s="1209"/>
    </row>
    <row r="724" spans="2:53" s="256" customFormat="1" ht="24.95" customHeight="1">
      <c r="B724" s="445"/>
      <c r="C724" s="204"/>
      <c r="D724" s="204"/>
      <c r="E724" s="204"/>
      <c r="F724" s="368"/>
      <c r="G724" s="1134"/>
      <c r="H724" s="401"/>
      <c r="I724" s="317"/>
      <c r="N724" s="317"/>
      <c r="O724" s="1135"/>
      <c r="P724" s="1136"/>
      <c r="Q724" s="1137"/>
      <c r="R724" s="1120"/>
      <c r="S724" s="1120"/>
      <c r="T724" s="1120"/>
      <c r="U724" s="1120"/>
      <c r="V724" s="1120"/>
      <c r="W724" s="1120"/>
      <c r="Z724" s="1145"/>
      <c r="AA724" s="1120"/>
      <c r="AB724" s="1120"/>
      <c r="AC724" s="1120"/>
      <c r="AD724" s="1212"/>
      <c r="AE724" s="1212"/>
      <c r="AF724" s="1186"/>
      <c r="AG724" s="1186"/>
      <c r="AH724" s="1222"/>
      <c r="AI724" s="1222"/>
      <c r="AJ724" s="1222"/>
      <c r="AK724" s="1222"/>
      <c r="AL724" s="1222"/>
      <c r="AM724" s="1222"/>
      <c r="AN724" s="1222"/>
      <c r="AO724" s="1222"/>
      <c r="AP724" s="1222"/>
      <c r="AQ724" s="1222"/>
      <c r="AR724" s="1222"/>
      <c r="AS724" s="1222"/>
      <c r="AT724" s="1222"/>
      <c r="AU724" s="1120"/>
      <c r="AV724" s="445"/>
      <c r="AW724" s="607"/>
      <c r="AX724" s="607"/>
      <c r="AY724" s="607"/>
      <c r="AZ724" s="1209"/>
      <c r="BA724" s="1209"/>
    </row>
    <row r="725" spans="2:53" s="256" customFormat="1" ht="24.95" customHeight="1">
      <c r="B725" s="445"/>
      <c r="C725" s="204"/>
      <c r="D725" s="204"/>
      <c r="E725" s="204"/>
      <c r="F725" s="368"/>
      <c r="G725" s="1134"/>
      <c r="H725" s="401"/>
      <c r="I725" s="317"/>
      <c r="N725" s="317"/>
      <c r="O725" s="1135"/>
      <c r="P725" s="1136"/>
      <c r="Q725" s="1137"/>
      <c r="R725" s="1120"/>
      <c r="S725" s="1120"/>
      <c r="T725" s="1120"/>
      <c r="U725" s="1120"/>
      <c r="V725" s="1120"/>
      <c r="W725" s="1120"/>
      <c r="Z725" s="1145"/>
      <c r="AA725" s="1120"/>
      <c r="AB725" s="1120"/>
      <c r="AC725" s="1120"/>
      <c r="AD725" s="1212"/>
      <c r="AE725" s="1212"/>
      <c r="AF725" s="1186"/>
      <c r="AG725" s="1186"/>
      <c r="AH725" s="1222"/>
      <c r="AI725" s="1222"/>
      <c r="AJ725" s="1222"/>
      <c r="AK725" s="1222"/>
      <c r="AL725" s="1222"/>
      <c r="AM725" s="1222"/>
      <c r="AN725" s="1222"/>
      <c r="AO725" s="1222"/>
      <c r="AP725" s="1222"/>
      <c r="AQ725" s="1222"/>
      <c r="AR725" s="1222"/>
      <c r="AS725" s="1222"/>
      <c r="AT725" s="1222"/>
      <c r="AU725" s="1120"/>
      <c r="AV725" s="445"/>
      <c r="AW725" s="607"/>
      <c r="AX725" s="607"/>
      <c r="AY725" s="607"/>
      <c r="AZ725" s="1209"/>
      <c r="BA725" s="1209"/>
    </row>
    <row r="726" spans="2:53" s="256" customFormat="1" ht="24.95" customHeight="1">
      <c r="B726" s="445"/>
      <c r="C726" s="204"/>
      <c r="D726" s="204"/>
      <c r="E726" s="204"/>
      <c r="F726" s="368"/>
      <c r="G726" s="1134"/>
      <c r="H726" s="401"/>
      <c r="I726" s="317"/>
      <c r="N726" s="317"/>
      <c r="O726" s="1135"/>
      <c r="P726" s="1136"/>
      <c r="Q726" s="1137"/>
      <c r="R726" s="1120"/>
      <c r="S726" s="1120"/>
      <c r="T726" s="1120"/>
      <c r="U726" s="1120"/>
      <c r="V726" s="1120"/>
      <c r="W726" s="1120"/>
      <c r="Z726" s="1145"/>
      <c r="AA726" s="1120"/>
      <c r="AB726" s="1120"/>
      <c r="AC726" s="1120"/>
      <c r="AD726" s="1212"/>
      <c r="AE726" s="1212"/>
      <c r="AF726" s="1186"/>
      <c r="AG726" s="1186"/>
      <c r="AH726" s="1222"/>
      <c r="AI726" s="1222"/>
      <c r="AJ726" s="1222"/>
      <c r="AK726" s="1222"/>
      <c r="AL726" s="1222"/>
      <c r="AM726" s="1222"/>
      <c r="AN726" s="1222"/>
      <c r="AO726" s="1222"/>
      <c r="AP726" s="1222"/>
      <c r="AQ726" s="1222"/>
      <c r="AR726" s="1222"/>
      <c r="AS726" s="1222"/>
      <c r="AT726" s="1222"/>
      <c r="AU726" s="1120"/>
      <c r="AV726" s="445"/>
      <c r="AW726" s="607"/>
      <c r="AX726" s="607"/>
      <c r="AY726" s="607"/>
      <c r="AZ726" s="1209"/>
      <c r="BA726" s="1209"/>
    </row>
    <row r="727" spans="2:53" s="256" customFormat="1" ht="24.95" customHeight="1">
      <c r="B727" s="445"/>
      <c r="C727" s="204"/>
      <c r="D727" s="204"/>
      <c r="E727" s="204"/>
      <c r="F727" s="368"/>
      <c r="G727" s="1134"/>
      <c r="H727" s="401"/>
      <c r="I727" s="317"/>
      <c r="N727" s="317"/>
      <c r="O727" s="1135"/>
      <c r="P727" s="1136"/>
      <c r="Q727" s="1137"/>
      <c r="R727" s="1120"/>
      <c r="S727" s="1120"/>
      <c r="T727" s="1120"/>
      <c r="U727" s="1120"/>
      <c r="V727" s="1120"/>
      <c r="W727" s="1120"/>
      <c r="Z727" s="1145"/>
      <c r="AA727" s="1120"/>
      <c r="AB727" s="1120"/>
      <c r="AC727" s="1120"/>
      <c r="AD727" s="1212"/>
      <c r="AE727" s="1212"/>
      <c r="AF727" s="1186"/>
      <c r="AG727" s="1186"/>
      <c r="AH727" s="1222"/>
      <c r="AI727" s="1222"/>
      <c r="AJ727" s="1222"/>
      <c r="AK727" s="1222"/>
      <c r="AL727" s="1222"/>
      <c r="AM727" s="1222"/>
      <c r="AN727" s="1222"/>
      <c r="AO727" s="1222"/>
      <c r="AP727" s="1222"/>
      <c r="AQ727" s="1222"/>
      <c r="AR727" s="1222"/>
      <c r="AS727" s="1222"/>
      <c r="AT727" s="1222"/>
      <c r="AU727" s="1120"/>
      <c r="AV727" s="445"/>
      <c r="AW727" s="607"/>
      <c r="AX727" s="607"/>
      <c r="AY727" s="607"/>
      <c r="AZ727" s="1209"/>
      <c r="BA727" s="1209"/>
    </row>
    <row r="728" spans="2:53" s="256" customFormat="1" ht="24.95" customHeight="1">
      <c r="B728" s="445"/>
      <c r="C728" s="204"/>
      <c r="D728" s="204"/>
      <c r="E728" s="204"/>
      <c r="F728" s="368"/>
      <c r="G728" s="1134"/>
      <c r="H728" s="401"/>
      <c r="I728" s="317"/>
      <c r="N728" s="317"/>
      <c r="O728" s="1135"/>
      <c r="P728" s="1136"/>
      <c r="Q728" s="1137"/>
      <c r="R728" s="1120"/>
      <c r="S728" s="1120"/>
      <c r="T728" s="1120"/>
      <c r="U728" s="1120"/>
      <c r="V728" s="1120"/>
      <c r="W728" s="1120"/>
      <c r="Z728" s="1145"/>
      <c r="AA728" s="1120"/>
      <c r="AB728" s="1120"/>
      <c r="AC728" s="1120"/>
      <c r="AD728" s="1212"/>
      <c r="AE728" s="1212"/>
      <c r="AF728" s="1186"/>
      <c r="AG728" s="1186"/>
      <c r="AH728" s="1222"/>
      <c r="AI728" s="1222"/>
      <c r="AJ728" s="1222"/>
      <c r="AK728" s="1222"/>
      <c r="AL728" s="1222"/>
      <c r="AM728" s="1222"/>
      <c r="AN728" s="1222"/>
      <c r="AO728" s="1222"/>
      <c r="AP728" s="1222"/>
      <c r="AQ728" s="1222"/>
      <c r="AR728" s="1222"/>
      <c r="AS728" s="1222"/>
      <c r="AT728" s="1222"/>
      <c r="AU728" s="1120"/>
      <c r="AV728" s="445"/>
      <c r="AW728" s="607"/>
      <c r="AX728" s="607"/>
      <c r="AY728" s="607"/>
      <c r="AZ728" s="1209"/>
      <c r="BA728" s="1209"/>
    </row>
    <row r="729" spans="2:53" s="256" customFormat="1" ht="24.95" customHeight="1">
      <c r="B729" s="445"/>
      <c r="C729" s="204"/>
      <c r="D729" s="204"/>
      <c r="E729" s="204"/>
      <c r="F729" s="368"/>
      <c r="G729" s="1134"/>
      <c r="H729" s="401"/>
      <c r="I729" s="317"/>
      <c r="N729" s="317"/>
      <c r="O729" s="1135"/>
      <c r="P729" s="1136"/>
      <c r="Q729" s="1137"/>
      <c r="R729" s="1120"/>
      <c r="S729" s="1120"/>
      <c r="T729" s="1120"/>
      <c r="U729" s="1120"/>
      <c r="V729" s="1120"/>
      <c r="W729" s="1120"/>
      <c r="Z729" s="1145"/>
      <c r="AA729" s="1120"/>
      <c r="AB729" s="1120"/>
      <c r="AC729" s="1120"/>
      <c r="AD729" s="1212"/>
      <c r="AE729" s="1212"/>
      <c r="AF729" s="1186"/>
      <c r="AG729" s="1186"/>
      <c r="AH729" s="1222"/>
      <c r="AI729" s="1222"/>
      <c r="AJ729" s="1222"/>
      <c r="AK729" s="1222"/>
      <c r="AL729" s="1222"/>
      <c r="AM729" s="1222"/>
      <c r="AN729" s="1222"/>
      <c r="AO729" s="1222"/>
      <c r="AP729" s="1222"/>
      <c r="AQ729" s="1222"/>
      <c r="AR729" s="1222"/>
      <c r="AS729" s="1222"/>
      <c r="AT729" s="1222"/>
      <c r="AU729" s="1120"/>
      <c r="AV729" s="445"/>
      <c r="AW729" s="607"/>
      <c r="AX729" s="607"/>
      <c r="AY729" s="607"/>
      <c r="AZ729" s="1209"/>
      <c r="BA729" s="1209"/>
    </row>
    <row r="730" spans="2:53" s="256" customFormat="1" ht="24.95" customHeight="1">
      <c r="B730" s="445"/>
      <c r="C730" s="204"/>
      <c r="D730" s="204"/>
      <c r="E730" s="204"/>
      <c r="F730" s="368"/>
      <c r="G730" s="1134"/>
      <c r="H730" s="401"/>
      <c r="I730" s="317"/>
      <c r="N730" s="317"/>
      <c r="O730" s="1135"/>
      <c r="P730" s="1136"/>
      <c r="Q730" s="1137"/>
      <c r="R730" s="1120"/>
      <c r="S730" s="1120"/>
      <c r="T730" s="1120"/>
      <c r="U730" s="1120"/>
      <c r="V730" s="1120"/>
      <c r="W730" s="1120"/>
      <c r="Z730" s="1145"/>
      <c r="AA730" s="1120"/>
      <c r="AB730" s="1120"/>
      <c r="AC730" s="1120"/>
      <c r="AD730" s="1212"/>
      <c r="AE730" s="1212"/>
      <c r="AF730" s="1186"/>
      <c r="AG730" s="1186"/>
      <c r="AH730" s="1222"/>
      <c r="AI730" s="1222"/>
      <c r="AJ730" s="1222"/>
      <c r="AK730" s="1222"/>
      <c r="AL730" s="1222"/>
      <c r="AM730" s="1222"/>
      <c r="AN730" s="1222"/>
      <c r="AO730" s="1222"/>
      <c r="AP730" s="1222"/>
      <c r="AQ730" s="1222"/>
      <c r="AR730" s="1222"/>
      <c r="AS730" s="1222"/>
      <c r="AT730" s="1222"/>
      <c r="AU730" s="1120"/>
      <c r="AV730" s="445"/>
      <c r="AW730" s="607"/>
      <c r="AX730" s="607"/>
      <c r="AY730" s="607"/>
      <c r="AZ730" s="1209"/>
      <c r="BA730" s="1209"/>
    </row>
    <row r="731" spans="2:53" s="256" customFormat="1" ht="24.95" customHeight="1">
      <c r="B731" s="445"/>
      <c r="C731" s="204"/>
      <c r="D731" s="204"/>
      <c r="E731" s="204"/>
      <c r="F731" s="368"/>
      <c r="G731" s="1134"/>
      <c r="H731" s="401"/>
      <c r="I731" s="317"/>
      <c r="N731" s="317"/>
      <c r="O731" s="1135"/>
      <c r="P731" s="1136"/>
      <c r="Q731" s="1137"/>
      <c r="R731" s="1120"/>
      <c r="S731" s="1120"/>
      <c r="T731" s="1120"/>
      <c r="U731" s="1120"/>
      <c r="V731" s="1120"/>
      <c r="W731" s="1120"/>
      <c r="Z731" s="1145"/>
      <c r="AA731" s="1120"/>
      <c r="AB731" s="1120"/>
      <c r="AC731" s="1120"/>
      <c r="AD731" s="1212"/>
      <c r="AE731" s="1212"/>
      <c r="AF731" s="1186"/>
      <c r="AG731" s="1186"/>
      <c r="AH731" s="1222"/>
      <c r="AI731" s="1222"/>
      <c r="AJ731" s="1222"/>
      <c r="AK731" s="1222"/>
      <c r="AL731" s="1222"/>
      <c r="AM731" s="1222"/>
      <c r="AN731" s="1222"/>
      <c r="AO731" s="1222"/>
      <c r="AP731" s="1222"/>
      <c r="AQ731" s="1222"/>
      <c r="AR731" s="1222"/>
      <c r="AS731" s="1222"/>
      <c r="AT731" s="1222"/>
      <c r="AU731" s="1120"/>
      <c r="AV731" s="445"/>
      <c r="AW731" s="607"/>
      <c r="AX731" s="607"/>
      <c r="AY731" s="607"/>
      <c r="AZ731" s="1209"/>
      <c r="BA731" s="1209"/>
    </row>
    <row r="732" spans="2:53" s="256" customFormat="1" ht="24.95" customHeight="1">
      <c r="B732" s="445"/>
      <c r="C732" s="204"/>
      <c r="D732" s="204"/>
      <c r="E732" s="204"/>
      <c r="F732" s="368"/>
      <c r="G732" s="1134"/>
      <c r="H732" s="401"/>
      <c r="I732" s="317"/>
      <c r="N732" s="317"/>
      <c r="O732" s="1135"/>
      <c r="P732" s="1136"/>
      <c r="Q732" s="1137"/>
      <c r="R732" s="1120"/>
      <c r="S732" s="1120"/>
      <c r="T732" s="1120"/>
      <c r="U732" s="1120"/>
      <c r="V732" s="1120"/>
      <c r="W732" s="1120"/>
      <c r="Z732" s="1145"/>
      <c r="AA732" s="1120"/>
      <c r="AB732" s="1120"/>
      <c r="AC732" s="1120"/>
      <c r="AD732" s="1212"/>
      <c r="AE732" s="1212"/>
      <c r="AF732" s="1186"/>
      <c r="AG732" s="1186"/>
      <c r="AH732" s="1222"/>
      <c r="AI732" s="1222"/>
      <c r="AJ732" s="1222"/>
      <c r="AK732" s="1222"/>
      <c r="AL732" s="1222"/>
      <c r="AM732" s="1222"/>
      <c r="AN732" s="1222"/>
      <c r="AO732" s="1222"/>
      <c r="AP732" s="1222"/>
      <c r="AQ732" s="1222"/>
      <c r="AR732" s="1222"/>
      <c r="AS732" s="1222"/>
      <c r="AT732" s="1222"/>
      <c r="AU732" s="1120"/>
      <c r="AV732" s="445"/>
      <c r="AW732" s="607"/>
      <c r="AX732" s="607"/>
      <c r="AY732" s="607"/>
      <c r="AZ732" s="1209"/>
      <c r="BA732" s="1209"/>
    </row>
    <row r="733" spans="2:53" s="256" customFormat="1" ht="24.95" customHeight="1">
      <c r="B733" s="445"/>
      <c r="C733" s="204"/>
      <c r="D733" s="204"/>
      <c r="E733" s="204"/>
      <c r="F733" s="368"/>
      <c r="G733" s="1134"/>
      <c r="H733" s="401"/>
      <c r="I733" s="317"/>
      <c r="N733" s="317"/>
      <c r="O733" s="1135"/>
      <c r="P733" s="1136"/>
      <c r="Q733" s="1137"/>
      <c r="R733" s="1120"/>
      <c r="S733" s="1120"/>
      <c r="T733" s="1120"/>
      <c r="U733" s="1120"/>
      <c r="V733" s="1120"/>
      <c r="W733" s="1120"/>
      <c r="Z733" s="1145"/>
      <c r="AA733" s="1120"/>
      <c r="AB733" s="1120"/>
      <c r="AC733" s="1120"/>
      <c r="AD733" s="1212"/>
      <c r="AE733" s="1212"/>
      <c r="AF733" s="1186"/>
      <c r="AG733" s="1186"/>
      <c r="AH733" s="1222"/>
      <c r="AI733" s="1222"/>
      <c r="AJ733" s="1222"/>
      <c r="AK733" s="1222"/>
      <c r="AL733" s="1222"/>
      <c r="AM733" s="1222"/>
      <c r="AN733" s="1222"/>
      <c r="AO733" s="1222"/>
      <c r="AP733" s="1222"/>
      <c r="AQ733" s="1222"/>
      <c r="AR733" s="1222"/>
      <c r="AS733" s="1222"/>
      <c r="AT733" s="1222"/>
      <c r="AU733" s="1120"/>
      <c r="AV733" s="445"/>
      <c r="AW733" s="607"/>
      <c r="AX733" s="607"/>
      <c r="AY733" s="607"/>
      <c r="AZ733" s="1209"/>
      <c r="BA733" s="1209"/>
    </row>
    <row r="734" spans="2:53" s="256" customFormat="1" ht="24.95" customHeight="1">
      <c r="B734" s="445"/>
      <c r="C734" s="204"/>
      <c r="D734" s="204"/>
      <c r="E734" s="204"/>
      <c r="F734" s="368"/>
      <c r="G734" s="1134"/>
      <c r="H734" s="401"/>
      <c r="I734" s="317"/>
      <c r="N734" s="317"/>
      <c r="O734" s="1135"/>
      <c r="P734" s="1136"/>
      <c r="Q734" s="1137"/>
      <c r="R734" s="1120"/>
      <c r="S734" s="1120"/>
      <c r="T734" s="1120"/>
      <c r="U734" s="1120"/>
      <c r="V734" s="1120"/>
      <c r="W734" s="1120"/>
      <c r="Z734" s="1145"/>
      <c r="AA734" s="1120"/>
      <c r="AB734" s="1120"/>
      <c r="AC734" s="1120"/>
      <c r="AD734" s="1212"/>
      <c r="AE734" s="1212"/>
      <c r="AF734" s="1186"/>
      <c r="AG734" s="1186"/>
      <c r="AH734" s="1222"/>
      <c r="AI734" s="1222"/>
      <c r="AJ734" s="1222"/>
      <c r="AK734" s="1222"/>
      <c r="AL734" s="1222"/>
      <c r="AM734" s="1222"/>
      <c r="AN734" s="1222"/>
      <c r="AO734" s="1222"/>
      <c r="AP734" s="1222"/>
      <c r="AQ734" s="1222"/>
      <c r="AR734" s="1222"/>
      <c r="AS734" s="1222"/>
      <c r="AT734" s="1222"/>
      <c r="AU734" s="1120"/>
      <c r="AV734" s="445"/>
      <c r="AW734" s="607"/>
      <c r="AX734" s="607"/>
      <c r="AY734" s="607"/>
      <c r="AZ734" s="1209"/>
      <c r="BA734" s="1209"/>
    </row>
    <row r="735" spans="2:53" s="256" customFormat="1" ht="24.95" customHeight="1">
      <c r="B735" s="445"/>
      <c r="C735" s="204"/>
      <c r="D735" s="204"/>
      <c r="E735" s="204"/>
      <c r="F735" s="368"/>
      <c r="G735" s="1134"/>
      <c r="H735" s="401"/>
      <c r="I735" s="317"/>
      <c r="N735" s="317"/>
      <c r="O735" s="1135"/>
      <c r="P735" s="1136"/>
      <c r="Q735" s="1137"/>
      <c r="R735" s="1120"/>
      <c r="S735" s="1120"/>
      <c r="T735" s="1120"/>
      <c r="U735" s="1120"/>
      <c r="V735" s="1120"/>
      <c r="W735" s="1120"/>
      <c r="Z735" s="1145"/>
      <c r="AA735" s="1120"/>
      <c r="AB735" s="1120"/>
      <c r="AC735" s="1120"/>
      <c r="AD735" s="1212"/>
      <c r="AE735" s="1212"/>
      <c r="AF735" s="1186"/>
      <c r="AG735" s="1186"/>
      <c r="AH735" s="1222"/>
      <c r="AI735" s="1222"/>
      <c r="AJ735" s="1222"/>
      <c r="AK735" s="1222"/>
      <c r="AL735" s="1222"/>
      <c r="AM735" s="1222"/>
      <c r="AN735" s="1222"/>
      <c r="AO735" s="1222"/>
      <c r="AP735" s="1222"/>
      <c r="AQ735" s="1222"/>
      <c r="AR735" s="1222"/>
      <c r="AS735" s="1222"/>
      <c r="AT735" s="1222"/>
      <c r="AU735" s="1120"/>
      <c r="AV735" s="445"/>
      <c r="AW735" s="607"/>
      <c r="AX735" s="607"/>
      <c r="AY735" s="607"/>
      <c r="AZ735" s="1209"/>
      <c r="BA735" s="1209"/>
    </row>
    <row r="736" spans="2:53" s="256" customFormat="1" ht="24.95" customHeight="1">
      <c r="B736" s="445"/>
      <c r="C736" s="204"/>
      <c r="D736" s="204"/>
      <c r="E736" s="204"/>
      <c r="F736" s="368"/>
      <c r="G736" s="1134"/>
      <c r="H736" s="401"/>
      <c r="I736" s="317"/>
      <c r="N736" s="317"/>
      <c r="O736" s="1135"/>
      <c r="P736" s="1136"/>
      <c r="Q736" s="1137"/>
      <c r="R736" s="1120"/>
      <c r="S736" s="1120"/>
      <c r="T736" s="1120"/>
      <c r="U736" s="1120"/>
      <c r="V736" s="1120"/>
      <c r="W736" s="1120"/>
      <c r="Z736" s="1145"/>
      <c r="AA736" s="1120"/>
      <c r="AB736" s="1120"/>
      <c r="AC736" s="1120"/>
      <c r="AD736" s="1212"/>
      <c r="AE736" s="1212"/>
      <c r="AF736" s="1186"/>
      <c r="AG736" s="1186"/>
      <c r="AH736" s="1222"/>
      <c r="AI736" s="1222"/>
      <c r="AJ736" s="1222"/>
      <c r="AK736" s="1222"/>
      <c r="AL736" s="1222"/>
      <c r="AM736" s="1222"/>
      <c r="AN736" s="1222"/>
      <c r="AO736" s="1222"/>
      <c r="AP736" s="1222"/>
      <c r="AQ736" s="1222"/>
      <c r="AR736" s="1222"/>
      <c r="AS736" s="1222"/>
      <c r="AT736" s="1222"/>
      <c r="AU736" s="1120"/>
      <c r="AV736" s="445"/>
      <c r="AW736" s="607"/>
      <c r="AX736" s="607"/>
      <c r="AY736" s="607"/>
      <c r="AZ736" s="1209"/>
      <c r="BA736" s="1209"/>
    </row>
    <row r="737" spans="2:53" s="256" customFormat="1" ht="24.95" customHeight="1">
      <c r="B737" s="445"/>
      <c r="C737" s="204"/>
      <c r="D737" s="204"/>
      <c r="E737" s="204"/>
      <c r="F737" s="368"/>
      <c r="G737" s="1134"/>
      <c r="H737" s="401"/>
      <c r="I737" s="317"/>
      <c r="N737" s="317"/>
      <c r="O737" s="1135"/>
      <c r="P737" s="1136"/>
      <c r="Q737" s="1137"/>
      <c r="R737" s="1120"/>
      <c r="S737" s="1120"/>
      <c r="T737" s="1120"/>
      <c r="U737" s="1120"/>
      <c r="V737" s="1120"/>
      <c r="W737" s="1120"/>
      <c r="Z737" s="1145"/>
      <c r="AA737" s="1120"/>
      <c r="AB737" s="1120"/>
      <c r="AC737" s="1120"/>
      <c r="AD737" s="1212"/>
      <c r="AE737" s="1212"/>
      <c r="AF737" s="1186"/>
      <c r="AG737" s="1186"/>
      <c r="AH737" s="1222"/>
      <c r="AI737" s="1222"/>
      <c r="AJ737" s="1222"/>
      <c r="AK737" s="1222"/>
      <c r="AL737" s="1222"/>
      <c r="AM737" s="1222"/>
      <c r="AN737" s="1222"/>
      <c r="AO737" s="1222"/>
      <c r="AP737" s="1222"/>
      <c r="AQ737" s="1222"/>
      <c r="AR737" s="1222"/>
      <c r="AS737" s="1222"/>
      <c r="AT737" s="1222"/>
      <c r="AU737" s="1120"/>
      <c r="AV737" s="445"/>
      <c r="AW737" s="607"/>
      <c r="AX737" s="607"/>
      <c r="AY737" s="607"/>
      <c r="AZ737" s="1209"/>
      <c r="BA737" s="1209"/>
    </row>
    <row r="738" spans="2:53" s="256" customFormat="1" ht="24.95" customHeight="1">
      <c r="B738" s="445"/>
      <c r="C738" s="204"/>
      <c r="D738" s="204"/>
      <c r="E738" s="204"/>
      <c r="F738" s="368"/>
      <c r="G738" s="1134"/>
      <c r="H738" s="401"/>
      <c r="I738" s="317"/>
      <c r="N738" s="317"/>
      <c r="O738" s="1135"/>
      <c r="P738" s="1136"/>
      <c r="Q738" s="1137"/>
      <c r="R738" s="1120"/>
      <c r="S738" s="1120"/>
      <c r="T738" s="1120"/>
      <c r="U738" s="1120"/>
      <c r="V738" s="1120"/>
      <c r="W738" s="1120"/>
      <c r="Z738" s="1145"/>
      <c r="AA738" s="1120"/>
      <c r="AB738" s="1120"/>
      <c r="AC738" s="1120"/>
      <c r="AD738" s="1212"/>
      <c r="AE738" s="1212"/>
      <c r="AF738" s="1186"/>
      <c r="AG738" s="1186"/>
      <c r="AH738" s="1222"/>
      <c r="AI738" s="1222"/>
      <c r="AJ738" s="1222"/>
      <c r="AK738" s="1222"/>
      <c r="AL738" s="1222"/>
      <c r="AM738" s="1222"/>
      <c r="AN738" s="1222"/>
      <c r="AO738" s="1222"/>
      <c r="AP738" s="1222"/>
      <c r="AQ738" s="1222"/>
      <c r="AR738" s="1222"/>
      <c r="AS738" s="1222"/>
      <c r="AT738" s="1222"/>
      <c r="AU738" s="1120"/>
      <c r="AV738" s="445"/>
      <c r="AW738" s="607"/>
      <c r="AX738" s="607"/>
      <c r="AY738" s="607"/>
      <c r="AZ738" s="1209"/>
      <c r="BA738" s="1209"/>
    </row>
    <row r="739" spans="2:53" s="256" customFormat="1" ht="24.95" customHeight="1">
      <c r="B739" s="445"/>
      <c r="C739" s="204"/>
      <c r="D739" s="204"/>
      <c r="E739" s="204"/>
      <c r="F739" s="368"/>
      <c r="G739" s="1134"/>
      <c r="H739" s="401"/>
      <c r="I739" s="317"/>
      <c r="N739" s="317"/>
      <c r="O739" s="1135"/>
      <c r="P739" s="1136"/>
      <c r="Q739" s="1137"/>
      <c r="R739" s="1120"/>
      <c r="S739" s="1120"/>
      <c r="T739" s="1120"/>
      <c r="U739" s="1120"/>
      <c r="V739" s="1120"/>
      <c r="W739" s="1120"/>
      <c r="Z739" s="1145"/>
      <c r="AA739" s="1120"/>
      <c r="AB739" s="1120"/>
      <c r="AC739" s="1120"/>
      <c r="AD739" s="1212"/>
      <c r="AE739" s="1212"/>
      <c r="AF739" s="1186"/>
      <c r="AG739" s="1186"/>
      <c r="AH739" s="1222"/>
      <c r="AI739" s="1222"/>
      <c r="AJ739" s="1222"/>
      <c r="AK739" s="1222"/>
      <c r="AL739" s="1222"/>
      <c r="AM739" s="1222"/>
      <c r="AN739" s="1222"/>
      <c r="AO739" s="1222"/>
      <c r="AP739" s="1222"/>
      <c r="AQ739" s="1222"/>
      <c r="AR739" s="1222"/>
      <c r="AS739" s="1222"/>
      <c r="AT739" s="1222"/>
      <c r="AU739" s="1120"/>
      <c r="AV739" s="445"/>
      <c r="AW739" s="607"/>
      <c r="AX739" s="607"/>
      <c r="AY739" s="607"/>
      <c r="AZ739" s="1209"/>
      <c r="BA739" s="1209"/>
    </row>
    <row r="740" spans="2:53" s="256" customFormat="1" ht="24.95" customHeight="1">
      <c r="B740" s="445"/>
      <c r="C740" s="204"/>
      <c r="D740" s="204"/>
      <c r="E740" s="204"/>
      <c r="F740" s="368"/>
      <c r="G740" s="1134"/>
      <c r="H740" s="401"/>
      <c r="I740" s="317"/>
      <c r="N740" s="317"/>
      <c r="O740" s="1135"/>
      <c r="P740" s="1136"/>
      <c r="Q740" s="1137"/>
      <c r="R740" s="1120"/>
      <c r="S740" s="1120"/>
      <c r="T740" s="1120"/>
      <c r="U740" s="1120"/>
      <c r="V740" s="1120"/>
      <c r="W740" s="1120"/>
      <c r="Z740" s="1145"/>
      <c r="AA740" s="1120"/>
      <c r="AB740" s="1120"/>
      <c r="AC740" s="1120"/>
      <c r="AD740" s="1212"/>
      <c r="AE740" s="1212"/>
      <c r="AF740" s="1186"/>
      <c r="AG740" s="1186"/>
      <c r="AH740" s="1222"/>
      <c r="AI740" s="1222"/>
      <c r="AJ740" s="1222"/>
      <c r="AK740" s="1222"/>
      <c r="AL740" s="1222"/>
      <c r="AM740" s="1222"/>
      <c r="AN740" s="1222"/>
      <c r="AO740" s="1222"/>
      <c r="AP740" s="1222"/>
      <c r="AQ740" s="1222"/>
      <c r="AR740" s="1222"/>
      <c r="AS740" s="1222"/>
      <c r="AT740" s="1222"/>
      <c r="AU740" s="1120"/>
      <c r="AV740" s="445"/>
      <c r="AW740" s="607"/>
      <c r="AX740" s="607"/>
      <c r="AY740" s="607"/>
      <c r="AZ740" s="1209"/>
      <c r="BA740" s="1209"/>
    </row>
    <row r="741" spans="2:53" s="256" customFormat="1" ht="24.95" customHeight="1">
      <c r="B741" s="445"/>
      <c r="C741" s="204"/>
      <c r="D741" s="204"/>
      <c r="E741" s="204"/>
      <c r="F741" s="368"/>
      <c r="G741" s="1134"/>
      <c r="H741" s="401"/>
      <c r="I741" s="317"/>
      <c r="N741" s="317"/>
      <c r="O741" s="1135"/>
      <c r="P741" s="1136"/>
      <c r="Q741" s="1137"/>
      <c r="R741" s="1120"/>
      <c r="S741" s="1120"/>
      <c r="T741" s="1120"/>
      <c r="U741" s="1120"/>
      <c r="V741" s="1120"/>
      <c r="W741" s="1120"/>
      <c r="Z741" s="1145"/>
      <c r="AA741" s="1120"/>
      <c r="AB741" s="1120"/>
      <c r="AC741" s="1120"/>
      <c r="AD741" s="1212"/>
      <c r="AE741" s="1212"/>
      <c r="AF741" s="1186"/>
      <c r="AG741" s="1186"/>
      <c r="AH741" s="1222"/>
      <c r="AI741" s="1222"/>
      <c r="AJ741" s="1222"/>
      <c r="AK741" s="1222"/>
      <c r="AL741" s="1222"/>
      <c r="AM741" s="1222"/>
      <c r="AN741" s="1222"/>
      <c r="AO741" s="1222"/>
      <c r="AP741" s="1222"/>
      <c r="AQ741" s="1222"/>
      <c r="AR741" s="1222"/>
      <c r="AS741" s="1222"/>
      <c r="AT741" s="1222"/>
      <c r="AU741" s="1120"/>
      <c r="AV741" s="445"/>
      <c r="AW741" s="607"/>
      <c r="AX741" s="607"/>
      <c r="AY741" s="607"/>
      <c r="AZ741" s="1209"/>
      <c r="BA741" s="1209"/>
    </row>
    <row r="742" spans="2:53" s="256" customFormat="1" ht="24.95" customHeight="1">
      <c r="B742" s="445"/>
      <c r="C742" s="204"/>
      <c r="D742" s="204"/>
      <c r="E742" s="204"/>
      <c r="F742" s="368"/>
      <c r="G742" s="1134"/>
      <c r="H742" s="401"/>
      <c r="I742" s="317"/>
      <c r="N742" s="317"/>
      <c r="O742" s="1135"/>
      <c r="P742" s="1136"/>
      <c r="Q742" s="1137"/>
      <c r="R742" s="1120"/>
      <c r="S742" s="1120"/>
      <c r="T742" s="1120"/>
      <c r="U742" s="1120"/>
      <c r="V742" s="1120"/>
      <c r="W742" s="1120"/>
      <c r="Z742" s="1145"/>
      <c r="AA742" s="1120"/>
      <c r="AB742" s="1120"/>
      <c r="AC742" s="1120"/>
      <c r="AD742" s="1212"/>
      <c r="AE742" s="1212"/>
      <c r="AF742" s="1186"/>
      <c r="AG742" s="1186"/>
      <c r="AH742" s="1222"/>
      <c r="AI742" s="1222"/>
      <c r="AJ742" s="1222"/>
      <c r="AK742" s="1222"/>
      <c r="AL742" s="1222"/>
      <c r="AM742" s="1222"/>
      <c r="AN742" s="1222"/>
      <c r="AO742" s="1222"/>
      <c r="AP742" s="1222"/>
      <c r="AQ742" s="1222"/>
      <c r="AR742" s="1222"/>
      <c r="AS742" s="1222"/>
      <c r="AT742" s="1222"/>
      <c r="AU742" s="1120"/>
      <c r="AV742" s="445"/>
      <c r="AW742" s="607"/>
      <c r="AX742" s="607"/>
      <c r="AY742" s="607"/>
      <c r="AZ742" s="1209"/>
      <c r="BA742" s="1209"/>
    </row>
    <row r="743" spans="2:53" s="256" customFormat="1" ht="24.95" customHeight="1">
      <c r="B743" s="445"/>
      <c r="C743" s="204"/>
      <c r="D743" s="204"/>
      <c r="E743" s="204"/>
      <c r="F743" s="368"/>
      <c r="G743" s="1134"/>
      <c r="H743" s="401"/>
      <c r="I743" s="317"/>
      <c r="N743" s="317"/>
      <c r="O743" s="1135"/>
      <c r="P743" s="1136"/>
      <c r="Q743" s="1137"/>
      <c r="R743" s="1120"/>
      <c r="S743" s="1120"/>
      <c r="T743" s="1120"/>
      <c r="U743" s="1120"/>
      <c r="V743" s="1120"/>
      <c r="W743" s="1120"/>
      <c r="Z743" s="1145"/>
      <c r="AA743" s="1120"/>
      <c r="AB743" s="1120"/>
      <c r="AC743" s="1120"/>
      <c r="AD743" s="1212"/>
      <c r="AE743" s="1212"/>
      <c r="AF743" s="1186"/>
      <c r="AG743" s="1186"/>
      <c r="AH743" s="1222"/>
      <c r="AI743" s="1222"/>
      <c r="AJ743" s="1222"/>
      <c r="AK743" s="1222"/>
      <c r="AL743" s="1222"/>
      <c r="AM743" s="1222"/>
      <c r="AN743" s="1222"/>
      <c r="AO743" s="1222"/>
      <c r="AP743" s="1222"/>
      <c r="AQ743" s="1222"/>
      <c r="AR743" s="1222"/>
      <c r="AS743" s="1222"/>
      <c r="AT743" s="1222"/>
      <c r="AU743" s="1120"/>
      <c r="AV743" s="445"/>
      <c r="AW743" s="607"/>
      <c r="AX743" s="607"/>
      <c r="AY743" s="607"/>
      <c r="AZ743" s="1209"/>
      <c r="BA743" s="1209"/>
    </row>
    <row r="744" spans="2:53" s="256" customFormat="1" ht="24.95" customHeight="1">
      <c r="B744" s="445"/>
      <c r="C744" s="204"/>
      <c r="D744" s="204"/>
      <c r="E744" s="204"/>
      <c r="F744" s="368"/>
      <c r="G744" s="1134"/>
      <c r="H744" s="401"/>
      <c r="I744" s="317"/>
      <c r="N744" s="317"/>
      <c r="O744" s="1135"/>
      <c r="P744" s="1136"/>
      <c r="Q744" s="1137"/>
      <c r="R744" s="1120"/>
      <c r="S744" s="1120"/>
      <c r="T744" s="1120"/>
      <c r="U744" s="1120"/>
      <c r="V744" s="1120"/>
      <c r="W744" s="1120"/>
      <c r="Z744" s="1145"/>
      <c r="AA744" s="1120"/>
      <c r="AB744" s="1120"/>
      <c r="AC744" s="1120"/>
      <c r="AD744" s="1212"/>
      <c r="AE744" s="1212"/>
      <c r="AF744" s="1186"/>
      <c r="AG744" s="1186"/>
      <c r="AH744" s="1222"/>
      <c r="AI744" s="1222"/>
      <c r="AJ744" s="1222"/>
      <c r="AK744" s="1222"/>
      <c r="AL744" s="1222"/>
      <c r="AM744" s="1222"/>
      <c r="AN744" s="1222"/>
      <c r="AO744" s="1222"/>
      <c r="AP744" s="1222"/>
      <c r="AQ744" s="1222"/>
      <c r="AR744" s="1222"/>
      <c r="AS744" s="1222"/>
      <c r="AT744" s="1222"/>
      <c r="AU744" s="1120"/>
      <c r="AV744" s="445"/>
      <c r="AW744" s="607"/>
      <c r="AX744" s="607"/>
      <c r="AY744" s="607"/>
      <c r="AZ744" s="1209"/>
      <c r="BA744" s="1209"/>
    </row>
    <row r="745" spans="2:53" s="256" customFormat="1" ht="24.95" customHeight="1">
      <c r="B745" s="445"/>
      <c r="C745" s="204"/>
      <c r="D745" s="204"/>
      <c r="E745" s="204"/>
      <c r="F745" s="368"/>
      <c r="G745" s="1134"/>
      <c r="H745" s="401"/>
      <c r="I745" s="317"/>
      <c r="N745" s="317"/>
      <c r="O745" s="1135"/>
      <c r="P745" s="1136"/>
      <c r="Q745" s="1137"/>
      <c r="R745" s="1120"/>
      <c r="S745" s="1120"/>
      <c r="T745" s="1120"/>
      <c r="U745" s="1120"/>
      <c r="V745" s="1120"/>
      <c r="W745" s="1120"/>
      <c r="Z745" s="1145"/>
      <c r="AA745" s="1120"/>
      <c r="AB745" s="1120"/>
      <c r="AC745" s="1120"/>
      <c r="AD745" s="1212"/>
      <c r="AE745" s="1212"/>
      <c r="AF745" s="1186"/>
      <c r="AG745" s="1186"/>
      <c r="AH745" s="1222"/>
      <c r="AI745" s="1222"/>
      <c r="AJ745" s="1222"/>
      <c r="AK745" s="1222"/>
      <c r="AL745" s="1222"/>
      <c r="AM745" s="1222"/>
      <c r="AN745" s="1222"/>
      <c r="AO745" s="1222"/>
      <c r="AP745" s="1222"/>
      <c r="AQ745" s="1222"/>
      <c r="AR745" s="1222"/>
      <c r="AS745" s="1222"/>
      <c r="AT745" s="1222"/>
      <c r="AU745" s="1120"/>
      <c r="AV745" s="445"/>
      <c r="AW745" s="607"/>
      <c r="AX745" s="607"/>
      <c r="AY745" s="607"/>
      <c r="AZ745" s="1209"/>
      <c r="BA745" s="1209"/>
    </row>
    <row r="746" spans="2:53" s="256" customFormat="1" ht="24.95" customHeight="1">
      <c r="B746" s="445"/>
      <c r="C746" s="204"/>
      <c r="D746" s="204"/>
      <c r="E746" s="204"/>
      <c r="F746" s="368"/>
      <c r="G746" s="1134"/>
      <c r="H746" s="401"/>
      <c r="I746" s="317"/>
      <c r="N746" s="317"/>
      <c r="O746" s="1135"/>
      <c r="P746" s="1136"/>
      <c r="Q746" s="1137"/>
      <c r="R746" s="1120"/>
      <c r="S746" s="1120"/>
      <c r="T746" s="1120"/>
      <c r="U746" s="1120"/>
      <c r="V746" s="1120"/>
      <c r="W746" s="1120"/>
      <c r="Z746" s="1145"/>
      <c r="AA746" s="1120"/>
      <c r="AB746" s="1120"/>
      <c r="AC746" s="1120"/>
      <c r="AD746" s="1212"/>
      <c r="AE746" s="1212"/>
      <c r="AF746" s="1186"/>
      <c r="AG746" s="1186"/>
      <c r="AH746" s="1222"/>
      <c r="AI746" s="1222"/>
      <c r="AJ746" s="1222"/>
      <c r="AK746" s="1222"/>
      <c r="AL746" s="1222"/>
      <c r="AM746" s="1222"/>
      <c r="AN746" s="1222"/>
      <c r="AO746" s="1222"/>
      <c r="AP746" s="1222"/>
      <c r="AQ746" s="1222"/>
      <c r="AR746" s="1222"/>
      <c r="AS746" s="1222"/>
      <c r="AT746" s="1222"/>
      <c r="AU746" s="1120"/>
      <c r="AV746" s="445"/>
      <c r="AW746" s="607"/>
      <c r="AX746" s="607"/>
      <c r="AY746" s="607"/>
      <c r="AZ746" s="1209"/>
      <c r="BA746" s="1209"/>
    </row>
    <row r="747" spans="2:53" s="256" customFormat="1" ht="24.95" customHeight="1">
      <c r="B747" s="445"/>
      <c r="C747" s="204"/>
      <c r="D747" s="204"/>
      <c r="E747" s="204"/>
      <c r="F747" s="368"/>
      <c r="G747" s="1134"/>
      <c r="H747" s="401"/>
      <c r="I747" s="317"/>
      <c r="N747" s="317"/>
      <c r="O747" s="1135"/>
      <c r="P747" s="1136"/>
      <c r="Q747" s="1137"/>
      <c r="R747" s="1120"/>
      <c r="S747" s="1120"/>
      <c r="T747" s="1120"/>
      <c r="U747" s="1120"/>
      <c r="V747" s="1120"/>
      <c r="W747" s="1120"/>
      <c r="Z747" s="1145"/>
      <c r="AA747" s="1120"/>
      <c r="AB747" s="1120"/>
      <c r="AC747" s="1120"/>
      <c r="AD747" s="1212"/>
      <c r="AE747" s="1212"/>
      <c r="AF747" s="1186"/>
      <c r="AG747" s="1186"/>
      <c r="AH747" s="1222"/>
      <c r="AI747" s="1222"/>
      <c r="AJ747" s="1222"/>
      <c r="AK747" s="1222"/>
      <c r="AL747" s="1222"/>
      <c r="AM747" s="1222"/>
      <c r="AN747" s="1222"/>
      <c r="AO747" s="1222"/>
      <c r="AP747" s="1222"/>
      <c r="AQ747" s="1222"/>
      <c r="AR747" s="1222"/>
      <c r="AS747" s="1222"/>
      <c r="AT747" s="1222"/>
      <c r="AU747" s="1120"/>
      <c r="AV747" s="445"/>
      <c r="AW747" s="607"/>
      <c r="AX747" s="607"/>
      <c r="AY747" s="607"/>
      <c r="AZ747" s="1209"/>
      <c r="BA747" s="1209"/>
    </row>
    <row r="748" spans="2:53" s="256" customFormat="1" ht="24.95" customHeight="1">
      <c r="B748" s="445"/>
      <c r="C748" s="204"/>
      <c r="D748" s="204"/>
      <c r="E748" s="204"/>
      <c r="F748" s="368"/>
      <c r="G748" s="1134"/>
      <c r="H748" s="401"/>
      <c r="I748" s="317"/>
      <c r="N748" s="317"/>
      <c r="O748" s="1135"/>
      <c r="P748" s="1136"/>
      <c r="Q748" s="1137"/>
      <c r="R748" s="1120"/>
      <c r="S748" s="1120"/>
      <c r="T748" s="1120"/>
      <c r="U748" s="1120"/>
      <c r="V748" s="1120"/>
      <c r="W748" s="1120"/>
      <c r="Z748" s="1145"/>
      <c r="AA748" s="1120"/>
      <c r="AB748" s="1120"/>
      <c r="AC748" s="1120"/>
      <c r="AD748" s="1212"/>
      <c r="AE748" s="1212"/>
      <c r="AF748" s="1186"/>
      <c r="AG748" s="1186"/>
      <c r="AH748" s="1222"/>
      <c r="AI748" s="1222"/>
      <c r="AJ748" s="1222"/>
      <c r="AK748" s="1222"/>
      <c r="AL748" s="1222"/>
      <c r="AM748" s="1222"/>
      <c r="AN748" s="1222"/>
      <c r="AO748" s="1222"/>
      <c r="AP748" s="1222"/>
      <c r="AQ748" s="1222"/>
      <c r="AR748" s="1222"/>
      <c r="AS748" s="1222"/>
      <c r="AT748" s="1222"/>
      <c r="AU748" s="1120"/>
      <c r="AV748" s="445"/>
      <c r="AW748" s="607"/>
      <c r="AX748" s="607"/>
      <c r="AY748" s="607"/>
      <c r="AZ748" s="1209"/>
      <c r="BA748" s="1209"/>
    </row>
    <row r="749" spans="2:53" s="256" customFormat="1" ht="24.95" customHeight="1">
      <c r="B749" s="445"/>
      <c r="C749" s="204"/>
      <c r="D749" s="204"/>
      <c r="E749" s="204"/>
      <c r="F749" s="368"/>
      <c r="G749" s="1134"/>
      <c r="H749" s="401"/>
      <c r="I749" s="317"/>
      <c r="N749" s="317"/>
      <c r="O749" s="1135"/>
      <c r="P749" s="1136"/>
      <c r="Q749" s="1137"/>
      <c r="R749" s="1120"/>
      <c r="S749" s="1120"/>
      <c r="T749" s="1120"/>
      <c r="U749" s="1120"/>
      <c r="V749" s="1120"/>
      <c r="W749" s="1120"/>
      <c r="Z749" s="1145"/>
      <c r="AA749" s="1120"/>
      <c r="AB749" s="1120"/>
      <c r="AC749" s="1120"/>
      <c r="AD749" s="1212"/>
      <c r="AE749" s="1212"/>
      <c r="AF749" s="1186"/>
      <c r="AG749" s="1186"/>
      <c r="AH749" s="1222"/>
      <c r="AI749" s="1222"/>
      <c r="AJ749" s="1222"/>
      <c r="AK749" s="1222"/>
      <c r="AL749" s="1222"/>
      <c r="AM749" s="1222"/>
      <c r="AN749" s="1222"/>
      <c r="AO749" s="1222"/>
      <c r="AP749" s="1222"/>
      <c r="AQ749" s="1222"/>
      <c r="AR749" s="1222"/>
      <c r="AS749" s="1222"/>
      <c r="AT749" s="1222"/>
      <c r="AU749" s="1120"/>
      <c r="AV749" s="445"/>
      <c r="AW749" s="607"/>
      <c r="AX749" s="607"/>
      <c r="AY749" s="607"/>
      <c r="AZ749" s="1209"/>
      <c r="BA749" s="1209"/>
    </row>
    <row r="750" spans="2:53" s="256" customFormat="1" ht="24.95" customHeight="1">
      <c r="B750" s="445"/>
      <c r="C750" s="204"/>
      <c r="D750" s="204"/>
      <c r="E750" s="204"/>
      <c r="F750" s="368"/>
      <c r="G750" s="1134"/>
      <c r="H750" s="401"/>
      <c r="I750" s="317"/>
      <c r="N750" s="317"/>
      <c r="O750" s="1135"/>
      <c r="P750" s="1136"/>
      <c r="Q750" s="1137"/>
      <c r="R750" s="1120"/>
      <c r="S750" s="1120"/>
      <c r="T750" s="1120"/>
      <c r="U750" s="1120"/>
      <c r="V750" s="1120"/>
      <c r="W750" s="1120"/>
      <c r="Z750" s="1145"/>
      <c r="AA750" s="1120"/>
      <c r="AB750" s="1120"/>
      <c r="AC750" s="1120"/>
      <c r="AD750" s="1212"/>
      <c r="AE750" s="1212"/>
      <c r="AF750" s="1186"/>
      <c r="AG750" s="1186"/>
      <c r="AH750" s="1222"/>
      <c r="AI750" s="1222"/>
      <c r="AJ750" s="1222"/>
      <c r="AK750" s="1222"/>
      <c r="AL750" s="1222"/>
      <c r="AM750" s="1222"/>
      <c r="AN750" s="1222"/>
      <c r="AO750" s="1222"/>
      <c r="AP750" s="1222"/>
      <c r="AQ750" s="1222"/>
      <c r="AR750" s="1222"/>
      <c r="AS750" s="1222"/>
      <c r="AT750" s="1222"/>
      <c r="AU750" s="1120"/>
      <c r="AV750" s="445"/>
      <c r="AW750" s="607"/>
      <c r="AX750" s="607"/>
      <c r="AY750" s="607"/>
      <c r="AZ750" s="1209"/>
      <c r="BA750" s="1209"/>
    </row>
    <row r="751" spans="2:53" s="256" customFormat="1" ht="24.95" customHeight="1">
      <c r="B751" s="445"/>
      <c r="C751" s="204"/>
      <c r="D751" s="204"/>
      <c r="E751" s="204"/>
      <c r="F751" s="368"/>
      <c r="G751" s="1134"/>
      <c r="H751" s="401"/>
      <c r="I751" s="317"/>
      <c r="N751" s="317"/>
      <c r="O751" s="1135"/>
      <c r="P751" s="1136"/>
      <c r="Q751" s="1137"/>
      <c r="R751" s="1120"/>
      <c r="S751" s="1120"/>
      <c r="T751" s="1120"/>
      <c r="U751" s="1120"/>
      <c r="V751" s="1120"/>
      <c r="W751" s="1120"/>
      <c r="Z751" s="1145"/>
      <c r="AA751" s="1120"/>
      <c r="AB751" s="1120"/>
      <c r="AC751" s="1120"/>
      <c r="AD751" s="1212"/>
      <c r="AE751" s="1212"/>
      <c r="AF751" s="1186"/>
      <c r="AG751" s="1186"/>
      <c r="AH751" s="1222"/>
      <c r="AI751" s="1222"/>
      <c r="AJ751" s="1222"/>
      <c r="AK751" s="1222"/>
      <c r="AL751" s="1222"/>
      <c r="AM751" s="1222"/>
      <c r="AN751" s="1222"/>
      <c r="AO751" s="1222"/>
      <c r="AP751" s="1222"/>
      <c r="AQ751" s="1222"/>
      <c r="AR751" s="1222"/>
      <c r="AS751" s="1222"/>
      <c r="AT751" s="1222"/>
      <c r="AU751" s="1120"/>
      <c r="AV751" s="445"/>
      <c r="AW751" s="607"/>
      <c r="AX751" s="607"/>
      <c r="AY751" s="607"/>
      <c r="AZ751" s="1209"/>
      <c r="BA751" s="1209"/>
    </row>
    <row r="752" spans="2:53" s="256" customFormat="1" ht="24.95" customHeight="1">
      <c r="B752" s="445"/>
      <c r="C752" s="204"/>
      <c r="D752" s="204"/>
      <c r="E752" s="204"/>
      <c r="F752" s="368"/>
      <c r="G752" s="1134"/>
      <c r="H752" s="401"/>
      <c r="I752" s="317"/>
      <c r="N752" s="317"/>
      <c r="O752" s="1135"/>
      <c r="P752" s="1136"/>
      <c r="Q752" s="1137"/>
      <c r="R752" s="1120"/>
      <c r="S752" s="1120"/>
      <c r="T752" s="1120"/>
      <c r="U752" s="1120"/>
      <c r="V752" s="1120"/>
      <c r="W752" s="1120"/>
      <c r="Z752" s="1145"/>
      <c r="AA752" s="1120"/>
      <c r="AB752" s="1120"/>
      <c r="AC752" s="1120"/>
      <c r="AD752" s="1212"/>
      <c r="AE752" s="1212"/>
      <c r="AF752" s="1186"/>
      <c r="AG752" s="1186"/>
      <c r="AH752" s="1222"/>
      <c r="AI752" s="1222"/>
      <c r="AJ752" s="1222"/>
      <c r="AK752" s="1222"/>
      <c r="AL752" s="1222"/>
      <c r="AM752" s="1222"/>
      <c r="AN752" s="1222"/>
      <c r="AO752" s="1222"/>
      <c r="AP752" s="1222"/>
      <c r="AQ752" s="1222"/>
      <c r="AR752" s="1222"/>
      <c r="AS752" s="1222"/>
      <c r="AT752" s="1222"/>
      <c r="AU752" s="1120"/>
      <c r="AV752" s="445"/>
      <c r="AW752" s="607"/>
      <c r="AX752" s="607"/>
      <c r="AY752" s="607"/>
      <c r="AZ752" s="1209"/>
      <c r="BA752" s="1209"/>
    </row>
    <row r="753" spans="2:53" s="256" customFormat="1" ht="24.95" customHeight="1">
      <c r="B753" s="445"/>
      <c r="C753" s="204"/>
      <c r="D753" s="204"/>
      <c r="E753" s="204"/>
      <c r="F753" s="368"/>
      <c r="G753" s="1134"/>
      <c r="H753" s="401"/>
      <c r="I753" s="317"/>
      <c r="N753" s="317"/>
      <c r="O753" s="1135"/>
      <c r="P753" s="1136"/>
      <c r="Q753" s="1137"/>
      <c r="R753" s="1120"/>
      <c r="S753" s="1120"/>
      <c r="T753" s="1120"/>
      <c r="U753" s="1120"/>
      <c r="V753" s="1120"/>
      <c r="W753" s="1120"/>
      <c r="Z753" s="1145"/>
      <c r="AA753" s="1120"/>
      <c r="AB753" s="1120"/>
      <c r="AC753" s="1120"/>
      <c r="AD753" s="1212"/>
      <c r="AE753" s="1212"/>
      <c r="AF753" s="1186"/>
      <c r="AG753" s="1186"/>
      <c r="AH753" s="1222"/>
      <c r="AI753" s="1222"/>
      <c r="AJ753" s="1222"/>
      <c r="AK753" s="1222"/>
      <c r="AL753" s="1222"/>
      <c r="AM753" s="1222"/>
      <c r="AN753" s="1222"/>
      <c r="AO753" s="1222"/>
      <c r="AP753" s="1222"/>
      <c r="AQ753" s="1222"/>
      <c r="AR753" s="1222"/>
      <c r="AS753" s="1222"/>
      <c r="AT753" s="1222"/>
      <c r="AU753" s="1120"/>
      <c r="AV753" s="445"/>
      <c r="AW753" s="607"/>
      <c r="AX753" s="607"/>
      <c r="AY753" s="607"/>
      <c r="AZ753" s="1209"/>
      <c r="BA753" s="1209"/>
    </row>
    <row r="754" spans="2:53" s="256" customFormat="1" ht="24.95" customHeight="1">
      <c r="B754" s="445"/>
      <c r="C754" s="204"/>
      <c r="D754" s="204"/>
      <c r="E754" s="204"/>
      <c r="F754" s="368"/>
      <c r="G754" s="1134"/>
      <c r="H754" s="401"/>
      <c r="I754" s="317"/>
      <c r="N754" s="317"/>
      <c r="O754" s="1135"/>
      <c r="P754" s="1136"/>
      <c r="Q754" s="1137"/>
      <c r="R754" s="1120"/>
      <c r="S754" s="1120"/>
      <c r="T754" s="1120"/>
      <c r="U754" s="1120"/>
      <c r="V754" s="1120"/>
      <c r="W754" s="1120"/>
      <c r="Z754" s="1145"/>
      <c r="AA754" s="1120"/>
      <c r="AB754" s="1120"/>
      <c r="AC754" s="1120"/>
      <c r="AD754" s="1212"/>
      <c r="AE754" s="1212"/>
      <c r="AF754" s="1186"/>
      <c r="AG754" s="1186"/>
      <c r="AH754" s="1222"/>
      <c r="AI754" s="1222"/>
      <c r="AJ754" s="1222"/>
      <c r="AK754" s="1222"/>
      <c r="AL754" s="1222"/>
      <c r="AM754" s="1222"/>
      <c r="AN754" s="1222"/>
      <c r="AO754" s="1222"/>
      <c r="AP754" s="1222"/>
      <c r="AQ754" s="1222"/>
      <c r="AR754" s="1222"/>
      <c r="AS754" s="1222"/>
      <c r="AT754" s="1222"/>
      <c r="AU754" s="1120"/>
      <c r="AV754" s="445"/>
      <c r="AW754" s="607"/>
      <c r="AX754" s="607"/>
      <c r="AY754" s="607"/>
      <c r="AZ754" s="1209"/>
      <c r="BA754" s="1209"/>
    </row>
    <row r="755" spans="2:53" s="256" customFormat="1" ht="24.95" customHeight="1">
      <c r="B755" s="445"/>
      <c r="C755" s="204"/>
      <c r="D755" s="204"/>
      <c r="E755" s="204"/>
      <c r="F755" s="368"/>
      <c r="G755" s="1134"/>
      <c r="H755" s="401"/>
      <c r="I755" s="317"/>
      <c r="N755" s="317"/>
      <c r="O755" s="1135"/>
      <c r="P755" s="1136"/>
      <c r="Q755" s="1137"/>
      <c r="R755" s="1120"/>
      <c r="S755" s="1120"/>
      <c r="T755" s="1120"/>
      <c r="U755" s="1120"/>
      <c r="V755" s="1120"/>
      <c r="W755" s="1120"/>
      <c r="Z755" s="1145"/>
      <c r="AA755" s="1120"/>
      <c r="AB755" s="1120"/>
      <c r="AC755" s="1120"/>
      <c r="AD755" s="1212"/>
      <c r="AE755" s="1212"/>
      <c r="AF755" s="1186"/>
      <c r="AG755" s="1186"/>
      <c r="AH755" s="1222"/>
      <c r="AI755" s="1222"/>
      <c r="AJ755" s="1222"/>
      <c r="AK755" s="1222"/>
      <c r="AL755" s="1222"/>
      <c r="AM755" s="1222"/>
      <c r="AN755" s="1222"/>
      <c r="AO755" s="1222"/>
      <c r="AP755" s="1222"/>
      <c r="AQ755" s="1222"/>
      <c r="AR755" s="1222"/>
      <c r="AS755" s="1222"/>
      <c r="AT755" s="1222"/>
      <c r="AU755" s="1120"/>
      <c r="AV755" s="445"/>
      <c r="AW755" s="607"/>
      <c r="AX755" s="607"/>
      <c r="AY755" s="607"/>
      <c r="AZ755" s="1209"/>
      <c r="BA755" s="1209"/>
    </row>
    <row r="756" spans="2:53" s="256" customFormat="1" ht="24.95" customHeight="1">
      <c r="B756" s="445"/>
      <c r="C756" s="204"/>
      <c r="D756" s="204"/>
      <c r="E756" s="204"/>
      <c r="F756" s="368"/>
      <c r="G756" s="1134"/>
      <c r="H756" s="401"/>
      <c r="I756" s="317"/>
      <c r="N756" s="317"/>
      <c r="O756" s="1135"/>
      <c r="P756" s="1136"/>
      <c r="Q756" s="1137"/>
      <c r="R756" s="1120"/>
      <c r="S756" s="1120"/>
      <c r="T756" s="1120"/>
      <c r="U756" s="1120"/>
      <c r="V756" s="1120"/>
      <c r="W756" s="1120"/>
      <c r="Z756" s="1145"/>
      <c r="AA756" s="1120"/>
      <c r="AB756" s="1120"/>
      <c r="AC756" s="1120"/>
      <c r="AD756" s="1212"/>
      <c r="AE756" s="1212"/>
      <c r="AF756" s="1186"/>
      <c r="AG756" s="1186"/>
      <c r="AH756" s="1222"/>
      <c r="AI756" s="1222"/>
      <c r="AJ756" s="1222"/>
      <c r="AK756" s="1222"/>
      <c r="AL756" s="1222"/>
      <c r="AM756" s="1222"/>
      <c r="AN756" s="1222"/>
      <c r="AO756" s="1222"/>
      <c r="AP756" s="1222"/>
      <c r="AQ756" s="1222"/>
      <c r="AR756" s="1222"/>
      <c r="AS756" s="1222"/>
      <c r="AT756" s="1222"/>
      <c r="AU756" s="1120"/>
      <c r="AV756" s="445"/>
      <c r="AW756" s="607"/>
      <c r="AX756" s="607"/>
      <c r="AY756" s="607"/>
      <c r="AZ756" s="1209"/>
      <c r="BA756" s="1209"/>
    </row>
    <row r="757" spans="2:53" s="256" customFormat="1" ht="24.95" customHeight="1">
      <c r="B757" s="445"/>
      <c r="C757" s="204"/>
      <c r="D757" s="204"/>
      <c r="E757" s="204"/>
      <c r="F757" s="368"/>
      <c r="G757" s="1134"/>
      <c r="H757" s="401"/>
      <c r="I757" s="317"/>
      <c r="N757" s="317"/>
      <c r="O757" s="1135"/>
      <c r="P757" s="1136"/>
      <c r="Q757" s="1137"/>
      <c r="R757" s="1120"/>
      <c r="S757" s="1120"/>
      <c r="T757" s="1120"/>
      <c r="U757" s="1120"/>
      <c r="V757" s="1120"/>
      <c r="W757" s="1120"/>
      <c r="Z757" s="1145"/>
      <c r="AA757" s="1120"/>
      <c r="AB757" s="1120"/>
      <c r="AC757" s="1120"/>
      <c r="AD757" s="1212"/>
      <c r="AE757" s="1212"/>
      <c r="AF757" s="1186"/>
      <c r="AG757" s="1186"/>
      <c r="AH757" s="1222"/>
      <c r="AI757" s="1222"/>
      <c r="AJ757" s="1222"/>
      <c r="AK757" s="1222"/>
      <c r="AL757" s="1222"/>
      <c r="AM757" s="1222"/>
      <c r="AN757" s="1222"/>
      <c r="AO757" s="1222"/>
      <c r="AP757" s="1222"/>
      <c r="AQ757" s="1222"/>
      <c r="AR757" s="1222"/>
      <c r="AS757" s="1222"/>
      <c r="AT757" s="1222"/>
      <c r="AU757" s="1120"/>
      <c r="AV757" s="445"/>
      <c r="AW757" s="607"/>
      <c r="AX757" s="607"/>
      <c r="AY757" s="607"/>
      <c r="AZ757" s="1209"/>
      <c r="BA757" s="1209"/>
    </row>
    <row r="758" spans="2:53" s="256" customFormat="1" ht="24.95" customHeight="1">
      <c r="B758" s="445"/>
      <c r="C758" s="204"/>
      <c r="D758" s="204"/>
      <c r="E758" s="204"/>
      <c r="F758" s="368"/>
      <c r="G758" s="1134"/>
      <c r="H758" s="401"/>
      <c r="I758" s="317"/>
      <c r="N758" s="317"/>
      <c r="O758" s="1135"/>
      <c r="P758" s="1136"/>
      <c r="Q758" s="1137"/>
      <c r="R758" s="1120"/>
      <c r="S758" s="1120"/>
      <c r="T758" s="1120"/>
      <c r="U758" s="1120"/>
      <c r="V758" s="1120"/>
      <c r="W758" s="1120"/>
      <c r="Z758" s="1145"/>
      <c r="AA758" s="1120"/>
      <c r="AB758" s="1120"/>
      <c r="AC758" s="1120"/>
      <c r="AD758" s="1212"/>
      <c r="AE758" s="1212"/>
      <c r="AF758" s="1186"/>
      <c r="AG758" s="1186"/>
      <c r="AH758" s="1222"/>
      <c r="AI758" s="1222"/>
      <c r="AJ758" s="1222"/>
      <c r="AK758" s="1222"/>
      <c r="AL758" s="1222"/>
      <c r="AM758" s="1222"/>
      <c r="AN758" s="1222"/>
      <c r="AO758" s="1222"/>
      <c r="AP758" s="1222"/>
      <c r="AQ758" s="1222"/>
      <c r="AR758" s="1222"/>
      <c r="AS758" s="1222"/>
      <c r="AT758" s="1222"/>
      <c r="AU758" s="1120"/>
      <c r="AV758" s="445"/>
      <c r="AW758" s="607"/>
      <c r="AX758" s="607"/>
      <c r="AY758" s="607"/>
      <c r="AZ758" s="1209"/>
      <c r="BA758" s="1209"/>
    </row>
    <row r="759" spans="2:53" s="256" customFormat="1" ht="24.95" customHeight="1">
      <c r="B759" s="445"/>
      <c r="C759" s="204"/>
      <c r="D759" s="204"/>
      <c r="E759" s="204"/>
      <c r="F759" s="368"/>
      <c r="G759" s="1134"/>
      <c r="H759" s="401"/>
      <c r="I759" s="317"/>
      <c r="N759" s="317"/>
      <c r="O759" s="1135"/>
      <c r="P759" s="1136"/>
      <c r="Q759" s="1137"/>
      <c r="R759" s="1120"/>
      <c r="S759" s="1120"/>
      <c r="T759" s="1120"/>
      <c r="U759" s="1120"/>
      <c r="V759" s="1120"/>
      <c r="W759" s="1120"/>
      <c r="Z759" s="1145"/>
      <c r="AA759" s="1120"/>
      <c r="AB759" s="1120"/>
      <c r="AC759" s="1120"/>
      <c r="AD759" s="1212"/>
      <c r="AE759" s="1212"/>
      <c r="AF759" s="1186"/>
      <c r="AG759" s="1186"/>
      <c r="AH759" s="1222"/>
      <c r="AI759" s="1222"/>
      <c r="AJ759" s="1222"/>
      <c r="AK759" s="1222"/>
      <c r="AL759" s="1222"/>
      <c r="AM759" s="1222"/>
      <c r="AN759" s="1222"/>
      <c r="AO759" s="1222"/>
      <c r="AP759" s="1222"/>
      <c r="AQ759" s="1222"/>
      <c r="AR759" s="1222"/>
      <c r="AS759" s="1222"/>
      <c r="AT759" s="1222"/>
      <c r="AU759" s="1120"/>
      <c r="AV759" s="445"/>
      <c r="AW759" s="607"/>
      <c r="AX759" s="607"/>
      <c r="AY759" s="607"/>
      <c r="AZ759" s="1209"/>
      <c r="BA759" s="1209"/>
    </row>
    <row r="760" spans="2:53" s="256" customFormat="1" ht="24.95" customHeight="1">
      <c r="B760" s="445"/>
      <c r="C760" s="204"/>
      <c r="D760" s="204"/>
      <c r="E760" s="204"/>
      <c r="F760" s="368"/>
      <c r="G760" s="1134"/>
      <c r="H760" s="401"/>
      <c r="I760" s="317"/>
      <c r="N760" s="317"/>
      <c r="O760" s="1135"/>
      <c r="P760" s="1136"/>
      <c r="Q760" s="1137"/>
      <c r="R760" s="1120"/>
      <c r="S760" s="1120"/>
      <c r="T760" s="1120"/>
      <c r="U760" s="1120"/>
      <c r="V760" s="1120"/>
      <c r="W760" s="1120"/>
      <c r="Z760" s="1145"/>
      <c r="AA760" s="1120"/>
      <c r="AB760" s="1120"/>
      <c r="AC760" s="1120"/>
      <c r="AD760" s="1212"/>
      <c r="AE760" s="1212"/>
      <c r="AF760" s="1186"/>
      <c r="AG760" s="1186"/>
      <c r="AH760" s="1222"/>
      <c r="AI760" s="1222"/>
      <c r="AJ760" s="1222"/>
      <c r="AK760" s="1222"/>
      <c r="AL760" s="1222"/>
      <c r="AM760" s="1222"/>
      <c r="AN760" s="1222"/>
      <c r="AO760" s="1222"/>
      <c r="AP760" s="1222"/>
      <c r="AQ760" s="1222"/>
      <c r="AR760" s="1222"/>
      <c r="AS760" s="1222"/>
      <c r="AT760" s="1222"/>
      <c r="AU760" s="1120"/>
      <c r="AV760" s="445"/>
      <c r="AW760" s="607"/>
      <c r="AX760" s="607"/>
      <c r="AY760" s="607"/>
      <c r="AZ760" s="1209"/>
      <c r="BA760" s="1209"/>
    </row>
    <row r="761" spans="2:53" s="256" customFormat="1" ht="24.95" customHeight="1">
      <c r="B761" s="445"/>
      <c r="C761" s="204"/>
      <c r="D761" s="204"/>
      <c r="E761" s="204"/>
      <c r="F761" s="368"/>
      <c r="G761" s="1134"/>
      <c r="H761" s="401"/>
      <c r="I761" s="317"/>
      <c r="N761" s="317"/>
      <c r="O761" s="1135"/>
      <c r="P761" s="1136"/>
      <c r="Q761" s="1137"/>
      <c r="R761" s="1120"/>
      <c r="S761" s="1120"/>
      <c r="T761" s="1120"/>
      <c r="U761" s="1120"/>
      <c r="V761" s="1120"/>
      <c r="W761" s="1120"/>
      <c r="Z761" s="1145"/>
      <c r="AA761" s="1120"/>
      <c r="AB761" s="1120"/>
      <c r="AC761" s="1120"/>
      <c r="AD761" s="1212"/>
      <c r="AE761" s="1212"/>
      <c r="AF761" s="1186"/>
      <c r="AG761" s="1186"/>
      <c r="AH761" s="1222"/>
      <c r="AI761" s="1222"/>
      <c r="AJ761" s="1222"/>
      <c r="AK761" s="1222"/>
      <c r="AL761" s="1222"/>
      <c r="AM761" s="1222"/>
      <c r="AN761" s="1222"/>
      <c r="AO761" s="1222"/>
      <c r="AP761" s="1222"/>
      <c r="AQ761" s="1222"/>
      <c r="AR761" s="1222"/>
      <c r="AS761" s="1222"/>
      <c r="AT761" s="1222"/>
      <c r="AU761" s="1120"/>
      <c r="AV761" s="445"/>
      <c r="AW761" s="607"/>
      <c r="AX761" s="607"/>
      <c r="AY761" s="607"/>
      <c r="AZ761" s="1209"/>
      <c r="BA761" s="1209"/>
    </row>
    <row r="762" spans="2:53" s="256" customFormat="1" ht="24.95" customHeight="1">
      <c r="B762" s="445"/>
      <c r="C762" s="204"/>
      <c r="D762" s="204"/>
      <c r="E762" s="204"/>
      <c r="F762" s="368"/>
      <c r="G762" s="1134"/>
      <c r="H762" s="401"/>
      <c r="I762" s="317"/>
      <c r="N762" s="317"/>
      <c r="O762" s="1135"/>
      <c r="P762" s="1136"/>
      <c r="Q762" s="1137"/>
      <c r="R762" s="1120"/>
      <c r="S762" s="1120"/>
      <c r="T762" s="1120"/>
      <c r="U762" s="1120"/>
      <c r="V762" s="1120"/>
      <c r="W762" s="1120"/>
      <c r="Z762" s="1145"/>
      <c r="AA762" s="1120"/>
      <c r="AB762" s="1120"/>
      <c r="AC762" s="1120"/>
      <c r="AD762" s="1212"/>
      <c r="AE762" s="1212"/>
      <c r="AF762" s="1186"/>
      <c r="AG762" s="1186"/>
      <c r="AH762" s="1222"/>
      <c r="AI762" s="1222"/>
      <c r="AJ762" s="1222"/>
      <c r="AK762" s="1222"/>
      <c r="AL762" s="1222"/>
      <c r="AM762" s="1222"/>
      <c r="AN762" s="1222"/>
      <c r="AO762" s="1222"/>
      <c r="AP762" s="1222"/>
      <c r="AQ762" s="1222"/>
      <c r="AR762" s="1222"/>
      <c r="AS762" s="1222"/>
      <c r="AT762" s="1222"/>
      <c r="AU762" s="1120"/>
      <c r="AV762" s="445"/>
      <c r="AW762" s="607"/>
      <c r="AX762" s="607"/>
      <c r="AY762" s="607"/>
      <c r="AZ762" s="1209"/>
      <c r="BA762" s="1209"/>
    </row>
    <row r="763" spans="2:53" s="256" customFormat="1" ht="24.95" customHeight="1">
      <c r="B763" s="445"/>
      <c r="C763" s="204"/>
      <c r="D763" s="204"/>
      <c r="E763" s="204"/>
      <c r="F763" s="368"/>
      <c r="G763" s="1134"/>
      <c r="H763" s="401"/>
      <c r="I763" s="317"/>
      <c r="N763" s="317"/>
      <c r="O763" s="1135"/>
      <c r="P763" s="1136"/>
      <c r="Q763" s="1137"/>
      <c r="R763" s="1120"/>
      <c r="S763" s="1120"/>
      <c r="T763" s="1120"/>
      <c r="U763" s="1120"/>
      <c r="V763" s="1120"/>
      <c r="W763" s="1120"/>
      <c r="Z763" s="1145"/>
      <c r="AA763" s="1120"/>
      <c r="AB763" s="1120"/>
      <c r="AC763" s="1120"/>
      <c r="AD763" s="1212"/>
      <c r="AE763" s="1212"/>
      <c r="AF763" s="1186"/>
      <c r="AG763" s="1186"/>
      <c r="AH763" s="1222"/>
      <c r="AI763" s="1222"/>
      <c r="AJ763" s="1222"/>
      <c r="AK763" s="1222"/>
      <c r="AL763" s="1222"/>
      <c r="AM763" s="1222"/>
      <c r="AN763" s="1222"/>
      <c r="AO763" s="1222"/>
      <c r="AP763" s="1222"/>
      <c r="AQ763" s="1222"/>
      <c r="AR763" s="1222"/>
      <c r="AS763" s="1222"/>
      <c r="AT763" s="1222"/>
      <c r="AU763" s="1120"/>
      <c r="AV763" s="445"/>
      <c r="AW763" s="607"/>
      <c r="AX763" s="607"/>
      <c r="AY763" s="607"/>
      <c r="AZ763" s="1209"/>
      <c r="BA763" s="1209"/>
    </row>
    <row r="764" spans="2:53" s="256" customFormat="1" ht="24.95" customHeight="1">
      <c r="B764" s="445"/>
      <c r="C764" s="204"/>
      <c r="D764" s="204"/>
      <c r="E764" s="204"/>
      <c r="F764" s="368"/>
      <c r="G764" s="1134"/>
      <c r="H764" s="401"/>
      <c r="I764" s="317"/>
      <c r="N764" s="317"/>
      <c r="O764" s="1135"/>
      <c r="P764" s="1136"/>
      <c r="Q764" s="1137"/>
      <c r="R764" s="1120"/>
      <c r="S764" s="1120"/>
      <c r="T764" s="1120"/>
      <c r="U764" s="1120"/>
      <c r="V764" s="1120"/>
      <c r="W764" s="1120"/>
      <c r="Z764" s="1145"/>
      <c r="AA764" s="1120"/>
      <c r="AB764" s="1120"/>
      <c r="AC764" s="1120"/>
      <c r="AD764" s="1212"/>
      <c r="AE764" s="1212"/>
      <c r="AF764" s="1186"/>
      <c r="AG764" s="1186"/>
      <c r="AH764" s="1222"/>
      <c r="AI764" s="1222"/>
      <c r="AJ764" s="1222"/>
      <c r="AK764" s="1222"/>
      <c r="AL764" s="1222"/>
      <c r="AM764" s="1222"/>
      <c r="AN764" s="1222"/>
      <c r="AO764" s="1222"/>
      <c r="AP764" s="1222"/>
      <c r="AQ764" s="1222"/>
      <c r="AR764" s="1222"/>
      <c r="AS764" s="1222"/>
      <c r="AT764" s="1222"/>
      <c r="AU764" s="1120"/>
      <c r="AV764" s="445"/>
      <c r="AW764" s="607"/>
      <c r="AX764" s="607"/>
      <c r="AY764" s="607"/>
      <c r="AZ764" s="1209"/>
      <c r="BA764" s="1209"/>
    </row>
    <row r="765" spans="2:53" s="256" customFormat="1" ht="24.95" customHeight="1">
      <c r="B765" s="445"/>
      <c r="C765" s="204"/>
      <c r="D765" s="204"/>
      <c r="E765" s="204"/>
      <c r="F765" s="368"/>
      <c r="G765" s="1134"/>
      <c r="H765" s="401"/>
      <c r="I765" s="317"/>
      <c r="N765" s="317"/>
      <c r="O765" s="1135"/>
      <c r="P765" s="1136"/>
      <c r="Q765" s="1137"/>
      <c r="R765" s="1120"/>
      <c r="S765" s="1120"/>
      <c r="T765" s="1120"/>
      <c r="U765" s="1120"/>
      <c r="V765" s="1120"/>
      <c r="W765" s="1120"/>
      <c r="Z765" s="1145"/>
      <c r="AA765" s="1120"/>
      <c r="AB765" s="1120"/>
      <c r="AC765" s="1120"/>
      <c r="AD765" s="1212"/>
      <c r="AE765" s="1212"/>
      <c r="AF765" s="1186"/>
      <c r="AG765" s="1186"/>
      <c r="AH765" s="1222"/>
      <c r="AI765" s="1222"/>
      <c r="AJ765" s="1222"/>
      <c r="AK765" s="1222"/>
      <c r="AL765" s="1222"/>
      <c r="AM765" s="1222"/>
      <c r="AN765" s="1222"/>
      <c r="AO765" s="1222"/>
      <c r="AP765" s="1222"/>
      <c r="AQ765" s="1222"/>
      <c r="AR765" s="1222"/>
      <c r="AS765" s="1222"/>
      <c r="AT765" s="1222"/>
      <c r="AU765" s="1120"/>
      <c r="AV765" s="445"/>
      <c r="AW765" s="607"/>
      <c r="AX765" s="607"/>
      <c r="AY765" s="607"/>
      <c r="AZ765" s="1209"/>
      <c r="BA765" s="1209"/>
    </row>
    <row r="766" spans="2:53" s="256" customFormat="1" ht="24.95" customHeight="1">
      <c r="B766" s="445"/>
      <c r="C766" s="204"/>
      <c r="D766" s="204"/>
      <c r="E766" s="204"/>
      <c r="F766" s="368"/>
      <c r="G766" s="1134"/>
      <c r="H766" s="401"/>
      <c r="I766" s="317"/>
      <c r="N766" s="317"/>
      <c r="O766" s="1135"/>
      <c r="P766" s="1136"/>
      <c r="Q766" s="1137"/>
      <c r="R766" s="1120"/>
      <c r="S766" s="1120"/>
      <c r="T766" s="1120"/>
      <c r="U766" s="1120"/>
      <c r="V766" s="1120"/>
      <c r="W766" s="1120"/>
      <c r="Z766" s="1145"/>
      <c r="AA766" s="1120"/>
      <c r="AB766" s="1120"/>
      <c r="AC766" s="1120"/>
      <c r="AD766" s="1212"/>
      <c r="AE766" s="1212"/>
      <c r="AF766" s="1186"/>
      <c r="AG766" s="1186"/>
      <c r="AH766" s="1222"/>
      <c r="AI766" s="1222"/>
      <c r="AJ766" s="1222"/>
      <c r="AK766" s="1222"/>
      <c r="AL766" s="1222"/>
      <c r="AM766" s="1222"/>
      <c r="AN766" s="1222"/>
      <c r="AO766" s="1222"/>
      <c r="AP766" s="1222"/>
      <c r="AQ766" s="1222"/>
      <c r="AR766" s="1222"/>
      <c r="AS766" s="1222"/>
      <c r="AT766" s="1222"/>
      <c r="AU766" s="1120"/>
      <c r="AV766" s="445"/>
      <c r="AW766" s="607"/>
      <c r="AX766" s="607"/>
      <c r="AY766" s="607"/>
      <c r="AZ766" s="1209"/>
      <c r="BA766" s="1209"/>
    </row>
    <row r="767" spans="2:53" s="256" customFormat="1" ht="24.95" customHeight="1">
      <c r="B767" s="445"/>
      <c r="C767" s="204"/>
      <c r="D767" s="204"/>
      <c r="E767" s="204"/>
      <c r="F767" s="368"/>
      <c r="G767" s="1134"/>
      <c r="H767" s="401"/>
      <c r="I767" s="317"/>
      <c r="N767" s="317"/>
      <c r="O767" s="1135"/>
      <c r="P767" s="1136"/>
      <c r="Q767" s="1137"/>
      <c r="R767" s="1120"/>
      <c r="S767" s="1120"/>
      <c r="T767" s="1120"/>
      <c r="U767" s="1120"/>
      <c r="V767" s="1120"/>
      <c r="W767" s="1120"/>
      <c r="Z767" s="1145"/>
      <c r="AA767" s="1120"/>
      <c r="AB767" s="1120"/>
      <c r="AC767" s="1120"/>
      <c r="AD767" s="1212"/>
      <c r="AE767" s="1212"/>
      <c r="AF767" s="1186"/>
      <c r="AG767" s="1186"/>
      <c r="AH767" s="1222"/>
      <c r="AI767" s="1222"/>
      <c r="AJ767" s="1222"/>
      <c r="AK767" s="1222"/>
      <c r="AL767" s="1222"/>
      <c r="AM767" s="1222"/>
      <c r="AN767" s="1222"/>
      <c r="AO767" s="1222"/>
      <c r="AP767" s="1222"/>
      <c r="AQ767" s="1222"/>
      <c r="AR767" s="1222"/>
      <c r="AS767" s="1222"/>
      <c r="AT767" s="1222"/>
      <c r="AU767" s="1120"/>
      <c r="AV767" s="445"/>
      <c r="AW767" s="607"/>
      <c r="AX767" s="607"/>
      <c r="AY767" s="607"/>
      <c r="AZ767" s="1209"/>
      <c r="BA767" s="1209"/>
    </row>
    <row r="768" spans="2:53" s="256" customFormat="1" ht="24.95" customHeight="1">
      <c r="B768" s="445"/>
      <c r="C768" s="204"/>
      <c r="D768" s="204"/>
      <c r="E768" s="204"/>
      <c r="F768" s="368"/>
      <c r="G768" s="1134"/>
      <c r="H768" s="401"/>
      <c r="I768" s="317"/>
      <c r="N768" s="317"/>
      <c r="O768" s="1135"/>
      <c r="P768" s="1136"/>
      <c r="Q768" s="1137"/>
      <c r="R768" s="1120"/>
      <c r="S768" s="1120"/>
      <c r="T768" s="1120"/>
      <c r="U768" s="1120"/>
      <c r="V768" s="1120"/>
      <c r="W768" s="1120"/>
      <c r="Z768" s="1145"/>
      <c r="AA768" s="1120"/>
      <c r="AB768" s="1120"/>
      <c r="AC768" s="1120"/>
      <c r="AD768" s="1212"/>
      <c r="AE768" s="1212"/>
      <c r="AF768" s="1186"/>
      <c r="AG768" s="1186"/>
      <c r="AH768" s="1222"/>
      <c r="AI768" s="1222"/>
      <c r="AJ768" s="1222"/>
      <c r="AK768" s="1222"/>
      <c r="AL768" s="1222"/>
      <c r="AM768" s="1222"/>
      <c r="AN768" s="1222"/>
      <c r="AO768" s="1222"/>
      <c r="AP768" s="1222"/>
      <c r="AQ768" s="1222"/>
      <c r="AR768" s="1222"/>
      <c r="AS768" s="1222"/>
      <c r="AT768" s="1222"/>
      <c r="AU768" s="1120"/>
      <c r="AV768" s="445"/>
      <c r="AW768" s="607"/>
      <c r="AX768" s="607"/>
      <c r="AY768" s="607"/>
      <c r="AZ768" s="1209"/>
      <c r="BA768" s="1209"/>
    </row>
    <row r="769" spans="2:53" s="256" customFormat="1" ht="24.95" customHeight="1">
      <c r="B769" s="445"/>
      <c r="C769" s="204"/>
      <c r="D769" s="204"/>
      <c r="E769" s="204"/>
      <c r="F769" s="368"/>
      <c r="G769" s="1134"/>
      <c r="H769" s="401"/>
      <c r="I769" s="317"/>
      <c r="N769" s="317"/>
      <c r="O769" s="1135"/>
      <c r="P769" s="1136"/>
      <c r="Q769" s="1137"/>
      <c r="R769" s="1120"/>
      <c r="S769" s="1120"/>
      <c r="T769" s="1120"/>
      <c r="U769" s="1120"/>
      <c r="V769" s="1120"/>
      <c r="W769" s="1120"/>
      <c r="Z769" s="1145"/>
      <c r="AA769" s="1120"/>
      <c r="AB769" s="1120"/>
      <c r="AC769" s="1120"/>
      <c r="AD769" s="1212"/>
      <c r="AE769" s="1212"/>
      <c r="AF769" s="1186"/>
      <c r="AG769" s="1186"/>
      <c r="AH769" s="1222"/>
      <c r="AI769" s="1222"/>
      <c r="AJ769" s="1222"/>
      <c r="AK769" s="1222"/>
      <c r="AL769" s="1222"/>
      <c r="AM769" s="1222"/>
      <c r="AN769" s="1222"/>
      <c r="AO769" s="1222"/>
      <c r="AP769" s="1222"/>
      <c r="AQ769" s="1222"/>
      <c r="AR769" s="1222"/>
      <c r="AS769" s="1222"/>
      <c r="AT769" s="1222"/>
      <c r="AU769" s="1120"/>
      <c r="AV769" s="445"/>
      <c r="AW769" s="607"/>
      <c r="AX769" s="607"/>
      <c r="AY769" s="607"/>
      <c r="AZ769" s="1209"/>
      <c r="BA769" s="1209"/>
    </row>
    <row r="770" spans="2:53" s="256" customFormat="1" ht="24.95" customHeight="1">
      <c r="B770" s="445"/>
      <c r="C770" s="204"/>
      <c r="D770" s="204"/>
      <c r="E770" s="204"/>
      <c r="F770" s="368"/>
      <c r="G770" s="1134"/>
      <c r="H770" s="401"/>
      <c r="I770" s="317"/>
      <c r="N770" s="317"/>
      <c r="O770" s="1135"/>
      <c r="P770" s="1136"/>
      <c r="Q770" s="1137"/>
      <c r="R770" s="1120"/>
      <c r="S770" s="1120"/>
      <c r="T770" s="1120"/>
      <c r="U770" s="1120"/>
      <c r="V770" s="1120"/>
      <c r="W770" s="1120"/>
      <c r="Z770" s="1145"/>
      <c r="AA770" s="1120"/>
      <c r="AB770" s="1120"/>
      <c r="AC770" s="1120"/>
      <c r="AD770" s="1212"/>
      <c r="AE770" s="1212"/>
      <c r="AF770" s="1186"/>
      <c r="AG770" s="1186"/>
      <c r="AH770" s="1222"/>
      <c r="AI770" s="1222"/>
      <c r="AJ770" s="1222"/>
      <c r="AK770" s="1222"/>
      <c r="AL770" s="1222"/>
      <c r="AM770" s="1222"/>
      <c r="AN770" s="1222"/>
      <c r="AO770" s="1222"/>
      <c r="AP770" s="1222"/>
      <c r="AQ770" s="1222"/>
      <c r="AR770" s="1222"/>
      <c r="AS770" s="1222"/>
      <c r="AT770" s="1222"/>
      <c r="AU770" s="1120"/>
      <c r="AV770" s="445"/>
      <c r="AW770" s="607"/>
      <c r="AX770" s="607"/>
      <c r="AY770" s="607"/>
      <c r="AZ770" s="1209"/>
      <c r="BA770" s="1209"/>
    </row>
    <row r="771" spans="2:53" s="256" customFormat="1" ht="24.95" customHeight="1">
      <c r="B771" s="445"/>
      <c r="C771" s="204"/>
      <c r="D771" s="204"/>
      <c r="E771" s="204"/>
      <c r="F771" s="368"/>
      <c r="G771" s="1134"/>
      <c r="H771" s="401"/>
      <c r="I771" s="317"/>
      <c r="N771" s="317"/>
      <c r="O771" s="1135"/>
      <c r="P771" s="1136"/>
      <c r="Q771" s="1137"/>
      <c r="R771" s="1120"/>
      <c r="S771" s="1120"/>
      <c r="T771" s="1120"/>
      <c r="U771" s="1120"/>
      <c r="V771" s="1120"/>
      <c r="W771" s="1120"/>
      <c r="Z771" s="1145"/>
      <c r="AA771" s="1120"/>
      <c r="AB771" s="1120"/>
      <c r="AC771" s="1120"/>
      <c r="AD771" s="1212"/>
      <c r="AE771" s="1212"/>
      <c r="AF771" s="1186"/>
      <c r="AG771" s="1186"/>
      <c r="AH771" s="1222"/>
      <c r="AI771" s="1222"/>
      <c r="AJ771" s="1222"/>
      <c r="AK771" s="1222"/>
      <c r="AL771" s="1222"/>
      <c r="AM771" s="1222"/>
      <c r="AN771" s="1222"/>
      <c r="AO771" s="1222"/>
      <c r="AP771" s="1222"/>
      <c r="AQ771" s="1222"/>
      <c r="AR771" s="1222"/>
      <c r="AS771" s="1222"/>
      <c r="AT771" s="1222"/>
      <c r="AU771" s="1120"/>
      <c r="AV771" s="445"/>
      <c r="AW771" s="607"/>
      <c r="AX771" s="607"/>
      <c r="AY771" s="607"/>
      <c r="AZ771" s="1209"/>
      <c r="BA771" s="1209"/>
    </row>
    <row r="772" spans="2:53" s="256" customFormat="1" ht="24.95" customHeight="1">
      <c r="B772" s="445"/>
      <c r="C772" s="204"/>
      <c r="D772" s="204"/>
      <c r="E772" s="204"/>
      <c r="F772" s="368"/>
      <c r="G772" s="1134"/>
      <c r="H772" s="401"/>
      <c r="I772" s="317"/>
      <c r="N772" s="317"/>
      <c r="O772" s="1135"/>
      <c r="P772" s="1136"/>
      <c r="Q772" s="1137"/>
      <c r="R772" s="1120"/>
      <c r="S772" s="1120"/>
      <c r="T772" s="1120"/>
      <c r="U772" s="1120"/>
      <c r="V772" s="1120"/>
      <c r="W772" s="1120"/>
      <c r="Z772" s="1145"/>
      <c r="AA772" s="1120"/>
      <c r="AB772" s="1120"/>
      <c r="AC772" s="1120"/>
      <c r="AD772" s="1212"/>
      <c r="AE772" s="1212"/>
      <c r="AF772" s="1186"/>
      <c r="AG772" s="1186"/>
      <c r="AH772" s="1222"/>
      <c r="AI772" s="1222"/>
      <c r="AJ772" s="1222"/>
      <c r="AK772" s="1222"/>
      <c r="AL772" s="1222"/>
      <c r="AM772" s="1222"/>
      <c r="AN772" s="1222"/>
      <c r="AO772" s="1222"/>
      <c r="AP772" s="1222"/>
      <c r="AQ772" s="1222"/>
      <c r="AR772" s="1222"/>
      <c r="AS772" s="1222"/>
      <c r="AT772" s="1222"/>
      <c r="AU772" s="1120"/>
      <c r="AV772" s="445"/>
      <c r="AW772" s="607"/>
      <c r="AX772" s="607"/>
      <c r="AY772" s="607"/>
      <c r="AZ772" s="1209"/>
      <c r="BA772" s="1209"/>
    </row>
    <row r="773" spans="2:53" s="256" customFormat="1" ht="24.95" customHeight="1">
      <c r="B773" s="445"/>
      <c r="C773" s="204"/>
      <c r="D773" s="204"/>
      <c r="E773" s="204"/>
      <c r="F773" s="368"/>
      <c r="G773" s="1134"/>
      <c r="H773" s="401"/>
      <c r="I773" s="317"/>
      <c r="N773" s="317"/>
      <c r="O773" s="1135"/>
      <c r="P773" s="1136"/>
      <c r="Q773" s="1137"/>
      <c r="R773" s="1120"/>
      <c r="S773" s="1120"/>
      <c r="T773" s="1120"/>
      <c r="U773" s="1120"/>
      <c r="V773" s="1120"/>
      <c r="W773" s="1120"/>
      <c r="Z773" s="1145"/>
      <c r="AA773" s="1120"/>
      <c r="AB773" s="1120"/>
      <c r="AC773" s="1120"/>
      <c r="AD773" s="1212"/>
      <c r="AE773" s="1212"/>
      <c r="AF773" s="1186"/>
      <c r="AG773" s="1186"/>
      <c r="AH773" s="1222"/>
      <c r="AI773" s="1222"/>
      <c r="AJ773" s="1222"/>
      <c r="AK773" s="1222"/>
      <c r="AL773" s="1222"/>
      <c r="AM773" s="1222"/>
      <c r="AN773" s="1222"/>
      <c r="AO773" s="1222"/>
      <c r="AP773" s="1222"/>
      <c r="AQ773" s="1222"/>
      <c r="AR773" s="1222"/>
      <c r="AS773" s="1222"/>
      <c r="AT773" s="1222"/>
      <c r="AU773" s="1120"/>
      <c r="AV773" s="445"/>
      <c r="AW773" s="607"/>
      <c r="AX773" s="607"/>
      <c r="AY773" s="607"/>
      <c r="AZ773" s="1209"/>
      <c r="BA773" s="1209"/>
    </row>
    <row r="774" spans="2:53" s="256" customFormat="1" ht="24.95" customHeight="1">
      <c r="B774" s="445"/>
      <c r="C774" s="204"/>
      <c r="D774" s="204"/>
      <c r="E774" s="204"/>
      <c r="F774" s="368"/>
      <c r="G774" s="1134"/>
      <c r="H774" s="401"/>
      <c r="I774" s="317"/>
      <c r="N774" s="317"/>
      <c r="O774" s="1135"/>
      <c r="P774" s="1136"/>
      <c r="Q774" s="1137"/>
      <c r="R774" s="1120"/>
      <c r="S774" s="1120"/>
      <c r="T774" s="1120"/>
      <c r="U774" s="1120"/>
      <c r="V774" s="1120"/>
      <c r="W774" s="1120"/>
      <c r="Z774" s="1145"/>
      <c r="AA774" s="1120"/>
      <c r="AB774" s="1120"/>
      <c r="AC774" s="1120"/>
      <c r="AD774" s="1212"/>
      <c r="AE774" s="1212"/>
      <c r="AF774" s="1186"/>
      <c r="AG774" s="1186"/>
      <c r="AH774" s="1222"/>
      <c r="AI774" s="1222"/>
      <c r="AJ774" s="1222"/>
      <c r="AK774" s="1222"/>
      <c r="AL774" s="1222"/>
      <c r="AM774" s="1222"/>
      <c r="AN774" s="1222"/>
      <c r="AO774" s="1222"/>
      <c r="AP774" s="1222"/>
      <c r="AQ774" s="1222"/>
      <c r="AR774" s="1222"/>
      <c r="AS774" s="1222"/>
      <c r="AT774" s="1222"/>
      <c r="AU774" s="1120"/>
      <c r="AV774" s="445"/>
      <c r="AW774" s="607"/>
      <c r="AX774" s="607"/>
      <c r="AY774" s="607"/>
      <c r="AZ774" s="1209"/>
      <c r="BA774" s="1209"/>
    </row>
    <row r="775" spans="2:53" s="256" customFormat="1" ht="24.95" customHeight="1">
      <c r="B775" s="445"/>
      <c r="C775" s="204"/>
      <c r="D775" s="204"/>
      <c r="E775" s="204"/>
      <c r="F775" s="368"/>
      <c r="G775" s="1134"/>
      <c r="H775" s="401"/>
      <c r="I775" s="317"/>
      <c r="N775" s="317"/>
      <c r="O775" s="1135"/>
      <c r="P775" s="1136"/>
      <c r="Q775" s="1137"/>
      <c r="R775" s="1120"/>
      <c r="S775" s="1120"/>
      <c r="T775" s="1120"/>
      <c r="U775" s="1120"/>
      <c r="V775" s="1120"/>
      <c r="W775" s="1120"/>
      <c r="Z775" s="1145"/>
      <c r="AA775" s="1120"/>
      <c r="AB775" s="1120"/>
      <c r="AC775" s="1120"/>
      <c r="AD775" s="1212"/>
      <c r="AE775" s="1212"/>
      <c r="AF775" s="1186"/>
      <c r="AG775" s="1186"/>
      <c r="AH775" s="1222"/>
      <c r="AI775" s="1222"/>
      <c r="AJ775" s="1222"/>
      <c r="AK775" s="1222"/>
      <c r="AL775" s="1222"/>
      <c r="AM775" s="1222"/>
      <c r="AN775" s="1222"/>
      <c r="AO775" s="1222"/>
      <c r="AP775" s="1222"/>
      <c r="AQ775" s="1222"/>
      <c r="AR775" s="1222"/>
      <c r="AS775" s="1222"/>
      <c r="AT775" s="1222"/>
      <c r="AU775" s="1120"/>
      <c r="AV775" s="445"/>
      <c r="AW775" s="607"/>
      <c r="AX775" s="607"/>
      <c r="AY775" s="607"/>
      <c r="AZ775" s="1209"/>
      <c r="BA775" s="1209"/>
    </row>
    <row r="776" spans="2:53" s="256" customFormat="1" ht="24.95" customHeight="1">
      <c r="B776" s="445"/>
      <c r="C776" s="204"/>
      <c r="D776" s="204"/>
      <c r="E776" s="204"/>
      <c r="F776" s="368"/>
      <c r="G776" s="1134"/>
      <c r="H776" s="401"/>
      <c r="I776" s="317"/>
      <c r="N776" s="317"/>
      <c r="O776" s="1135"/>
      <c r="P776" s="1136"/>
      <c r="Q776" s="1137"/>
      <c r="R776" s="1120"/>
      <c r="S776" s="1120"/>
      <c r="T776" s="1120"/>
      <c r="U776" s="1120"/>
      <c r="V776" s="1120"/>
      <c r="W776" s="1120"/>
      <c r="Z776" s="1145"/>
      <c r="AA776" s="1120"/>
      <c r="AB776" s="1120"/>
      <c r="AC776" s="1120"/>
      <c r="AD776" s="1212"/>
      <c r="AE776" s="1212"/>
      <c r="AF776" s="1186"/>
      <c r="AG776" s="1186"/>
      <c r="AH776" s="1222"/>
      <c r="AI776" s="1222"/>
      <c r="AJ776" s="1222"/>
      <c r="AK776" s="1222"/>
      <c r="AL776" s="1222"/>
      <c r="AM776" s="1222"/>
      <c r="AN776" s="1222"/>
      <c r="AO776" s="1222"/>
      <c r="AP776" s="1222"/>
      <c r="AQ776" s="1222"/>
      <c r="AR776" s="1222"/>
      <c r="AS776" s="1222"/>
      <c r="AT776" s="1222"/>
      <c r="AU776" s="1120"/>
      <c r="AV776" s="445"/>
      <c r="AW776" s="607"/>
      <c r="AX776" s="607"/>
      <c r="AY776" s="607"/>
      <c r="AZ776" s="1209"/>
      <c r="BA776" s="1209"/>
    </row>
    <row r="777" spans="2:53" s="256" customFormat="1" ht="24.95" customHeight="1">
      <c r="B777" s="445"/>
      <c r="C777" s="204"/>
      <c r="D777" s="204"/>
      <c r="E777" s="204"/>
      <c r="F777" s="368"/>
      <c r="G777" s="1134"/>
      <c r="H777" s="401"/>
      <c r="I777" s="317"/>
      <c r="N777" s="317"/>
      <c r="O777" s="1135"/>
      <c r="P777" s="1136"/>
      <c r="Q777" s="1137"/>
      <c r="R777" s="1120"/>
      <c r="S777" s="1120"/>
      <c r="T777" s="1120"/>
      <c r="U777" s="1120"/>
      <c r="V777" s="1120"/>
      <c r="W777" s="1120"/>
      <c r="Z777" s="1145"/>
      <c r="AA777" s="1120"/>
      <c r="AB777" s="1120"/>
      <c r="AC777" s="1120"/>
      <c r="AD777" s="1212"/>
      <c r="AE777" s="1212"/>
      <c r="AF777" s="1186"/>
      <c r="AG777" s="1186"/>
      <c r="AH777" s="1222"/>
      <c r="AI777" s="1222"/>
      <c r="AJ777" s="1222"/>
      <c r="AK777" s="1222"/>
      <c r="AL777" s="1222"/>
      <c r="AM777" s="1222"/>
      <c r="AN777" s="1222"/>
      <c r="AO777" s="1222"/>
      <c r="AP777" s="1222"/>
      <c r="AQ777" s="1222"/>
      <c r="AR777" s="1222"/>
      <c r="AS777" s="1222"/>
      <c r="AT777" s="1222"/>
      <c r="AU777" s="1120"/>
      <c r="AV777" s="445"/>
      <c r="AW777" s="607"/>
      <c r="AX777" s="607"/>
      <c r="AY777" s="607"/>
      <c r="AZ777" s="1209"/>
      <c r="BA777" s="1209"/>
    </row>
    <row r="778" spans="2:53" s="256" customFormat="1" ht="24.95" customHeight="1">
      <c r="B778" s="445"/>
      <c r="C778" s="204"/>
      <c r="D778" s="204"/>
      <c r="E778" s="204"/>
      <c r="F778" s="368"/>
      <c r="G778" s="1134"/>
      <c r="H778" s="401"/>
      <c r="I778" s="317"/>
      <c r="N778" s="317"/>
      <c r="O778" s="1135"/>
      <c r="P778" s="1136"/>
      <c r="Q778" s="1137"/>
      <c r="R778" s="1120"/>
      <c r="S778" s="1120"/>
      <c r="T778" s="1120"/>
      <c r="U778" s="1120"/>
      <c r="V778" s="1120"/>
      <c r="W778" s="1120"/>
      <c r="Z778" s="1145"/>
      <c r="AA778" s="1120"/>
      <c r="AB778" s="1120"/>
      <c r="AC778" s="1120"/>
      <c r="AD778" s="1212"/>
      <c r="AE778" s="1212"/>
      <c r="AF778" s="1186"/>
      <c r="AG778" s="1186"/>
      <c r="AH778" s="1222"/>
      <c r="AI778" s="1222"/>
      <c r="AJ778" s="1222"/>
      <c r="AK778" s="1222"/>
      <c r="AL778" s="1222"/>
      <c r="AM778" s="1222"/>
      <c r="AN778" s="1222"/>
      <c r="AO778" s="1222"/>
      <c r="AP778" s="1222"/>
      <c r="AQ778" s="1222"/>
      <c r="AR778" s="1222"/>
      <c r="AS778" s="1222"/>
      <c r="AT778" s="1222"/>
      <c r="AU778" s="1120"/>
      <c r="AV778" s="445"/>
      <c r="AW778" s="607"/>
      <c r="AX778" s="607"/>
      <c r="AY778" s="607"/>
      <c r="AZ778" s="1209"/>
      <c r="BA778" s="1209"/>
    </row>
    <row r="779" spans="2:53" s="256" customFormat="1" ht="24.95" customHeight="1">
      <c r="B779" s="445"/>
      <c r="C779" s="204"/>
      <c r="D779" s="204"/>
      <c r="E779" s="204"/>
      <c r="F779" s="368"/>
      <c r="G779" s="1134"/>
      <c r="H779" s="401"/>
      <c r="I779" s="317"/>
      <c r="N779" s="317"/>
      <c r="O779" s="1135"/>
      <c r="P779" s="1136"/>
      <c r="Q779" s="1137"/>
      <c r="R779" s="1120"/>
      <c r="S779" s="1120"/>
      <c r="T779" s="1120"/>
      <c r="U779" s="1120"/>
      <c r="V779" s="1120"/>
      <c r="W779" s="1120"/>
      <c r="Z779" s="1145"/>
      <c r="AA779" s="1120"/>
      <c r="AB779" s="1120"/>
      <c r="AC779" s="1120"/>
      <c r="AD779" s="1212"/>
      <c r="AE779" s="1212"/>
      <c r="AF779" s="1186"/>
      <c r="AG779" s="1186"/>
      <c r="AH779" s="1222"/>
      <c r="AI779" s="1222"/>
      <c r="AJ779" s="1222"/>
      <c r="AK779" s="1222"/>
      <c r="AL779" s="1222"/>
      <c r="AM779" s="1222"/>
      <c r="AN779" s="1222"/>
      <c r="AO779" s="1222"/>
      <c r="AP779" s="1222"/>
      <c r="AQ779" s="1222"/>
      <c r="AR779" s="1222"/>
      <c r="AS779" s="1222"/>
      <c r="AT779" s="1222"/>
      <c r="AU779" s="1120"/>
      <c r="AV779" s="445"/>
      <c r="AW779" s="607"/>
      <c r="AX779" s="607"/>
      <c r="AY779" s="607"/>
      <c r="AZ779" s="1209"/>
      <c r="BA779" s="1209"/>
    </row>
    <row r="780" spans="2:53" s="256" customFormat="1" ht="24.95" customHeight="1">
      <c r="B780" s="445"/>
      <c r="C780" s="204"/>
      <c r="D780" s="204"/>
      <c r="E780" s="204"/>
      <c r="F780" s="368"/>
      <c r="G780" s="1134"/>
      <c r="H780" s="401"/>
      <c r="I780" s="317"/>
      <c r="N780" s="317"/>
      <c r="O780" s="1135"/>
      <c r="P780" s="1136"/>
      <c r="Q780" s="1137"/>
      <c r="R780" s="1120"/>
      <c r="S780" s="1120"/>
      <c r="T780" s="1120"/>
      <c r="U780" s="1120"/>
      <c r="V780" s="1120"/>
      <c r="W780" s="1120"/>
      <c r="Z780" s="1145"/>
      <c r="AA780" s="1120"/>
      <c r="AB780" s="1120"/>
      <c r="AC780" s="1120"/>
      <c r="AD780" s="1212"/>
      <c r="AE780" s="1212"/>
      <c r="AF780" s="1186"/>
      <c r="AG780" s="1186"/>
      <c r="AH780" s="1222"/>
      <c r="AI780" s="1222"/>
      <c r="AJ780" s="1222"/>
      <c r="AK780" s="1222"/>
      <c r="AL780" s="1222"/>
      <c r="AM780" s="1222"/>
      <c r="AN780" s="1222"/>
      <c r="AO780" s="1222"/>
      <c r="AP780" s="1222"/>
      <c r="AQ780" s="1222"/>
      <c r="AR780" s="1222"/>
      <c r="AS780" s="1222"/>
      <c r="AT780" s="1222"/>
      <c r="AU780" s="1120"/>
      <c r="AV780" s="445"/>
      <c r="AW780" s="607"/>
      <c r="AX780" s="607"/>
      <c r="AY780" s="607"/>
      <c r="AZ780" s="1209"/>
      <c r="BA780" s="1209"/>
    </row>
    <row r="781" spans="2:53" s="256" customFormat="1" ht="24.95" customHeight="1">
      <c r="B781" s="445"/>
      <c r="C781" s="204"/>
      <c r="D781" s="204"/>
      <c r="E781" s="204"/>
      <c r="F781" s="368"/>
      <c r="G781" s="1134"/>
      <c r="H781" s="401"/>
      <c r="I781" s="317"/>
      <c r="N781" s="317"/>
      <c r="O781" s="1135"/>
      <c r="P781" s="1136"/>
      <c r="Q781" s="1137"/>
      <c r="R781" s="1120"/>
      <c r="S781" s="1120"/>
      <c r="T781" s="1120"/>
      <c r="U781" s="1120"/>
      <c r="V781" s="1120"/>
      <c r="W781" s="1120"/>
      <c r="Z781" s="1145"/>
      <c r="AA781" s="1120"/>
      <c r="AB781" s="1120"/>
      <c r="AC781" s="1120"/>
      <c r="AD781" s="1212"/>
      <c r="AE781" s="1212"/>
      <c r="AF781" s="1186"/>
      <c r="AG781" s="1186"/>
      <c r="AH781" s="1222"/>
      <c r="AI781" s="1222"/>
      <c r="AJ781" s="1222"/>
      <c r="AK781" s="1222"/>
      <c r="AL781" s="1222"/>
      <c r="AM781" s="1222"/>
      <c r="AN781" s="1222"/>
      <c r="AO781" s="1222"/>
      <c r="AP781" s="1222"/>
      <c r="AQ781" s="1222"/>
      <c r="AR781" s="1222"/>
      <c r="AS781" s="1222"/>
      <c r="AT781" s="1222"/>
      <c r="AU781" s="1120"/>
      <c r="AV781" s="445"/>
      <c r="AW781" s="607"/>
      <c r="AX781" s="607"/>
      <c r="AY781" s="607"/>
      <c r="AZ781" s="1209"/>
      <c r="BA781" s="1209"/>
    </row>
    <row r="782" spans="2:53" s="256" customFormat="1" ht="24.95" customHeight="1">
      <c r="B782" s="445"/>
      <c r="C782" s="204"/>
      <c r="D782" s="204"/>
      <c r="E782" s="204"/>
      <c r="F782" s="368"/>
      <c r="G782" s="1134"/>
      <c r="H782" s="401"/>
      <c r="I782" s="317"/>
      <c r="N782" s="317"/>
      <c r="O782" s="1135"/>
      <c r="P782" s="1136"/>
      <c r="Q782" s="1137"/>
      <c r="R782" s="1120"/>
      <c r="S782" s="1120"/>
      <c r="T782" s="1120"/>
      <c r="U782" s="1120"/>
      <c r="V782" s="1120"/>
      <c r="W782" s="1120"/>
      <c r="Z782" s="1145"/>
      <c r="AA782" s="1120"/>
      <c r="AB782" s="1120"/>
      <c r="AC782" s="1120"/>
      <c r="AD782" s="1212"/>
      <c r="AE782" s="1212"/>
      <c r="AF782" s="1186"/>
      <c r="AG782" s="1186"/>
      <c r="AH782" s="1222"/>
      <c r="AI782" s="1222"/>
      <c r="AJ782" s="1222"/>
      <c r="AK782" s="1222"/>
      <c r="AL782" s="1222"/>
      <c r="AM782" s="1222"/>
      <c r="AN782" s="1222"/>
      <c r="AO782" s="1222"/>
      <c r="AP782" s="1222"/>
      <c r="AQ782" s="1222"/>
      <c r="AR782" s="1222"/>
      <c r="AS782" s="1222"/>
      <c r="AT782" s="1222"/>
      <c r="AU782" s="1120"/>
      <c r="AV782" s="445"/>
      <c r="AW782" s="607"/>
      <c r="AX782" s="607"/>
      <c r="AY782" s="607"/>
      <c r="AZ782" s="1209"/>
      <c r="BA782" s="1209"/>
    </row>
    <row r="783" spans="2:53" s="256" customFormat="1" ht="24.95" customHeight="1">
      <c r="B783" s="445"/>
      <c r="C783" s="204"/>
      <c r="D783" s="204"/>
      <c r="E783" s="204"/>
      <c r="F783" s="368"/>
      <c r="G783" s="1134"/>
      <c r="H783" s="401"/>
      <c r="I783" s="317"/>
      <c r="N783" s="317"/>
      <c r="O783" s="1135"/>
      <c r="P783" s="1136"/>
      <c r="Q783" s="1137"/>
      <c r="R783" s="1120"/>
      <c r="S783" s="1120"/>
      <c r="T783" s="1120"/>
      <c r="U783" s="1120"/>
      <c r="V783" s="1120"/>
      <c r="W783" s="1120"/>
      <c r="Z783" s="1145"/>
      <c r="AA783" s="1120"/>
      <c r="AB783" s="1120"/>
      <c r="AC783" s="1120"/>
      <c r="AD783" s="1212"/>
      <c r="AE783" s="1212"/>
      <c r="AF783" s="1186"/>
      <c r="AG783" s="1186"/>
      <c r="AH783" s="1222"/>
      <c r="AI783" s="1222"/>
      <c r="AJ783" s="1222"/>
      <c r="AK783" s="1222"/>
      <c r="AL783" s="1222"/>
      <c r="AM783" s="1222"/>
      <c r="AN783" s="1222"/>
      <c r="AO783" s="1222"/>
      <c r="AP783" s="1222"/>
      <c r="AQ783" s="1222"/>
      <c r="AR783" s="1222"/>
      <c r="AS783" s="1222"/>
      <c r="AT783" s="1222"/>
      <c r="AU783" s="1120"/>
      <c r="AV783" s="445"/>
      <c r="AW783" s="607"/>
      <c r="AX783" s="607"/>
      <c r="AY783" s="607"/>
      <c r="AZ783" s="1209"/>
      <c r="BA783" s="1209"/>
    </row>
    <row r="784" spans="2:53" s="256" customFormat="1" ht="24.95" customHeight="1">
      <c r="B784" s="445"/>
      <c r="C784" s="204"/>
      <c r="D784" s="204"/>
      <c r="E784" s="204"/>
      <c r="F784" s="368"/>
      <c r="G784" s="1134"/>
      <c r="H784" s="401"/>
      <c r="I784" s="317"/>
      <c r="N784" s="317"/>
      <c r="O784" s="1135"/>
      <c r="P784" s="1136"/>
      <c r="Q784" s="1137"/>
      <c r="R784" s="1120"/>
      <c r="S784" s="1120"/>
      <c r="T784" s="1120"/>
      <c r="U784" s="1120"/>
      <c r="V784" s="1120"/>
      <c r="W784" s="1120"/>
      <c r="Z784" s="1145"/>
      <c r="AA784" s="1120"/>
      <c r="AB784" s="1120"/>
      <c r="AC784" s="1120"/>
      <c r="AD784" s="1212"/>
      <c r="AE784" s="1212"/>
      <c r="AF784" s="1186"/>
      <c r="AG784" s="1186"/>
      <c r="AH784" s="1222"/>
      <c r="AI784" s="1222"/>
      <c r="AJ784" s="1222"/>
      <c r="AK784" s="1222"/>
      <c r="AL784" s="1222"/>
      <c r="AM784" s="1222"/>
      <c r="AN784" s="1222"/>
      <c r="AO784" s="1222"/>
      <c r="AP784" s="1222"/>
      <c r="AQ784" s="1222"/>
      <c r="AR784" s="1222"/>
      <c r="AS784" s="1222"/>
      <c r="AT784" s="1222"/>
      <c r="AU784" s="1120"/>
      <c r="AV784" s="445"/>
      <c r="AW784" s="607"/>
      <c r="AX784" s="607"/>
      <c r="AY784" s="607"/>
      <c r="AZ784" s="1209"/>
      <c r="BA784" s="1209"/>
    </row>
    <row r="785" spans="2:53" s="256" customFormat="1" ht="24.95" customHeight="1">
      <c r="B785" s="445"/>
      <c r="C785" s="204"/>
      <c r="D785" s="204"/>
      <c r="E785" s="204"/>
      <c r="F785" s="368"/>
      <c r="G785" s="1134"/>
      <c r="H785" s="401"/>
      <c r="I785" s="317"/>
      <c r="N785" s="317"/>
      <c r="O785" s="1135"/>
      <c r="P785" s="1136"/>
      <c r="Q785" s="1137"/>
      <c r="R785" s="1120"/>
      <c r="S785" s="1120"/>
      <c r="T785" s="1120"/>
      <c r="U785" s="1120"/>
      <c r="V785" s="1120"/>
      <c r="W785" s="1120"/>
      <c r="Z785" s="1145"/>
      <c r="AA785" s="1120"/>
      <c r="AB785" s="1120"/>
      <c r="AC785" s="1120"/>
      <c r="AD785" s="1212"/>
      <c r="AE785" s="1212"/>
      <c r="AF785" s="1186"/>
      <c r="AG785" s="1186"/>
      <c r="AH785" s="1222"/>
      <c r="AI785" s="1222"/>
      <c r="AJ785" s="1222"/>
      <c r="AK785" s="1222"/>
      <c r="AL785" s="1222"/>
      <c r="AM785" s="1222"/>
      <c r="AN785" s="1222"/>
      <c r="AO785" s="1222"/>
      <c r="AP785" s="1222"/>
      <c r="AQ785" s="1222"/>
      <c r="AR785" s="1222"/>
      <c r="AS785" s="1222"/>
      <c r="AT785" s="1222"/>
      <c r="AU785" s="1120"/>
      <c r="AV785" s="445"/>
      <c r="AW785" s="607"/>
      <c r="AX785" s="607"/>
      <c r="AY785" s="607"/>
      <c r="AZ785" s="1209"/>
      <c r="BA785" s="1209"/>
    </row>
    <row r="786" spans="2:53" s="256" customFormat="1" ht="24.95" customHeight="1">
      <c r="B786" s="445"/>
      <c r="C786" s="204"/>
      <c r="D786" s="204"/>
      <c r="E786" s="204"/>
      <c r="F786" s="368"/>
      <c r="G786" s="1134"/>
      <c r="H786" s="401"/>
      <c r="I786" s="317"/>
      <c r="N786" s="317"/>
      <c r="O786" s="1135"/>
      <c r="P786" s="1136"/>
      <c r="Q786" s="1137"/>
      <c r="R786" s="1120"/>
      <c r="S786" s="1120"/>
      <c r="T786" s="1120"/>
      <c r="U786" s="1120"/>
      <c r="V786" s="1120"/>
      <c r="W786" s="1120"/>
      <c r="Z786" s="1145"/>
      <c r="AA786" s="1120"/>
      <c r="AB786" s="1120"/>
      <c r="AC786" s="1120"/>
      <c r="AD786" s="1212"/>
      <c r="AE786" s="1212"/>
      <c r="AF786" s="1186"/>
      <c r="AG786" s="1186"/>
      <c r="AH786" s="1222"/>
      <c r="AI786" s="1222"/>
      <c r="AJ786" s="1222"/>
      <c r="AK786" s="1222"/>
      <c r="AL786" s="1222"/>
      <c r="AM786" s="1222"/>
      <c r="AN786" s="1222"/>
      <c r="AO786" s="1222"/>
      <c r="AP786" s="1222"/>
      <c r="AQ786" s="1222"/>
      <c r="AR786" s="1222"/>
      <c r="AS786" s="1222"/>
      <c r="AT786" s="1222"/>
      <c r="AU786" s="1120"/>
      <c r="AV786" s="445"/>
      <c r="AW786" s="607"/>
      <c r="AX786" s="607"/>
      <c r="AY786" s="607"/>
      <c r="AZ786" s="1209"/>
      <c r="BA786" s="1209"/>
    </row>
    <row r="787" spans="2:53" s="256" customFormat="1" ht="24.95" customHeight="1">
      <c r="B787" s="445"/>
      <c r="C787" s="204"/>
      <c r="D787" s="204"/>
      <c r="E787" s="204"/>
      <c r="F787" s="368"/>
      <c r="G787" s="1134"/>
      <c r="H787" s="401"/>
      <c r="I787" s="317"/>
      <c r="N787" s="317"/>
      <c r="O787" s="1135"/>
      <c r="P787" s="1136"/>
      <c r="Q787" s="1137"/>
      <c r="R787" s="1120"/>
      <c r="S787" s="1120"/>
      <c r="T787" s="1120"/>
      <c r="U787" s="1120"/>
      <c r="V787" s="1120"/>
      <c r="W787" s="1120"/>
      <c r="Z787" s="1145"/>
      <c r="AA787" s="1120"/>
      <c r="AB787" s="1120"/>
      <c r="AC787" s="1120"/>
      <c r="AD787" s="1212"/>
      <c r="AE787" s="1212"/>
      <c r="AF787" s="1186"/>
      <c r="AG787" s="1186"/>
      <c r="AH787" s="1222"/>
      <c r="AI787" s="1222"/>
      <c r="AJ787" s="1222"/>
      <c r="AK787" s="1222"/>
      <c r="AL787" s="1222"/>
      <c r="AM787" s="1222"/>
      <c r="AN787" s="1222"/>
      <c r="AO787" s="1222"/>
      <c r="AP787" s="1222"/>
      <c r="AQ787" s="1222"/>
      <c r="AR787" s="1222"/>
      <c r="AS787" s="1222"/>
      <c r="AT787" s="1222"/>
      <c r="AU787" s="1120"/>
      <c r="AV787" s="445"/>
      <c r="AW787" s="607"/>
      <c r="AX787" s="607"/>
      <c r="AY787" s="607"/>
      <c r="AZ787" s="1209"/>
      <c r="BA787" s="1209"/>
    </row>
    <row r="788" spans="2:53" s="256" customFormat="1" ht="24.95" customHeight="1">
      <c r="B788" s="445"/>
      <c r="C788" s="204"/>
      <c r="D788" s="204"/>
      <c r="E788" s="204"/>
      <c r="F788" s="368"/>
      <c r="G788" s="1134"/>
      <c r="H788" s="401"/>
      <c r="I788" s="317"/>
      <c r="N788" s="317"/>
      <c r="O788" s="1135"/>
      <c r="P788" s="1136"/>
      <c r="Q788" s="1137"/>
      <c r="R788" s="1120"/>
      <c r="S788" s="1120"/>
      <c r="T788" s="1120"/>
      <c r="U788" s="1120"/>
      <c r="V788" s="1120"/>
      <c r="W788" s="1120"/>
      <c r="Z788" s="1145"/>
      <c r="AA788" s="1120"/>
      <c r="AB788" s="1120"/>
      <c r="AC788" s="1120"/>
      <c r="AD788" s="1212"/>
      <c r="AE788" s="1212"/>
      <c r="AF788" s="1186"/>
      <c r="AG788" s="1186"/>
      <c r="AH788" s="1222"/>
      <c r="AI788" s="1222"/>
      <c r="AJ788" s="1222"/>
      <c r="AK788" s="1222"/>
      <c r="AL788" s="1222"/>
      <c r="AM788" s="1222"/>
      <c r="AN788" s="1222"/>
      <c r="AO788" s="1222"/>
      <c r="AP788" s="1222"/>
      <c r="AQ788" s="1222"/>
      <c r="AR788" s="1222"/>
      <c r="AS788" s="1222"/>
      <c r="AT788" s="1222"/>
      <c r="AU788" s="1120"/>
      <c r="AV788" s="445"/>
      <c r="AW788" s="607"/>
      <c r="AX788" s="607"/>
      <c r="AY788" s="607"/>
      <c r="AZ788" s="1209"/>
      <c r="BA788" s="1209"/>
    </row>
    <row r="789" spans="2:53" s="256" customFormat="1" ht="24.95" customHeight="1">
      <c r="B789" s="445"/>
      <c r="C789" s="204"/>
      <c r="D789" s="204"/>
      <c r="E789" s="204"/>
      <c r="F789" s="368"/>
      <c r="G789" s="1134"/>
      <c r="H789" s="401"/>
      <c r="I789" s="317"/>
      <c r="N789" s="317"/>
      <c r="O789" s="1135"/>
      <c r="P789" s="1136"/>
      <c r="Q789" s="1137"/>
      <c r="R789" s="1120"/>
      <c r="S789" s="1120"/>
      <c r="T789" s="1120"/>
      <c r="U789" s="1120"/>
      <c r="V789" s="1120"/>
      <c r="W789" s="1120"/>
      <c r="Z789" s="1145"/>
      <c r="AA789" s="1120"/>
      <c r="AB789" s="1120"/>
      <c r="AC789" s="1120"/>
      <c r="AD789" s="1212"/>
      <c r="AE789" s="1212"/>
      <c r="AF789" s="1186"/>
      <c r="AG789" s="1186"/>
      <c r="AH789" s="1222"/>
      <c r="AI789" s="1222"/>
      <c r="AJ789" s="1222"/>
      <c r="AK789" s="1222"/>
      <c r="AL789" s="1222"/>
      <c r="AM789" s="1222"/>
      <c r="AN789" s="1222"/>
      <c r="AO789" s="1222"/>
      <c r="AP789" s="1222"/>
      <c r="AQ789" s="1222"/>
      <c r="AR789" s="1222"/>
      <c r="AS789" s="1222"/>
      <c r="AT789" s="1222"/>
      <c r="AU789" s="1120"/>
      <c r="AV789" s="445"/>
      <c r="AW789" s="607"/>
      <c r="AX789" s="607"/>
      <c r="AY789" s="607"/>
      <c r="AZ789" s="1209"/>
      <c r="BA789" s="1209"/>
    </row>
    <row r="790" spans="2:53" s="256" customFormat="1" ht="24.95" customHeight="1">
      <c r="B790" s="445"/>
      <c r="C790" s="204"/>
      <c r="D790" s="204"/>
      <c r="E790" s="204"/>
      <c r="F790" s="368"/>
      <c r="G790" s="1134"/>
      <c r="H790" s="401"/>
      <c r="I790" s="317"/>
      <c r="N790" s="317"/>
      <c r="O790" s="1135"/>
      <c r="P790" s="1136"/>
      <c r="Q790" s="1137"/>
      <c r="R790" s="1120"/>
      <c r="S790" s="1120"/>
      <c r="T790" s="1120"/>
      <c r="U790" s="1120"/>
      <c r="V790" s="1120"/>
      <c r="W790" s="1120"/>
      <c r="Z790" s="1145"/>
      <c r="AA790" s="1120"/>
      <c r="AB790" s="1120"/>
      <c r="AC790" s="1120"/>
      <c r="AD790" s="1212"/>
      <c r="AE790" s="1212"/>
      <c r="AF790" s="1186"/>
      <c r="AG790" s="1186"/>
      <c r="AH790" s="1222"/>
      <c r="AI790" s="1222"/>
      <c r="AJ790" s="1222"/>
      <c r="AK790" s="1222"/>
      <c r="AL790" s="1222"/>
      <c r="AM790" s="1222"/>
      <c r="AN790" s="1222"/>
      <c r="AO790" s="1222"/>
      <c r="AP790" s="1222"/>
      <c r="AQ790" s="1222"/>
      <c r="AR790" s="1222"/>
      <c r="AS790" s="1222"/>
      <c r="AT790" s="1222"/>
      <c r="AU790" s="1120"/>
      <c r="AV790" s="445"/>
      <c r="AW790" s="607"/>
      <c r="AX790" s="607"/>
      <c r="AY790" s="607"/>
      <c r="AZ790" s="1209"/>
      <c r="BA790" s="1209"/>
    </row>
    <row r="791" spans="2:53" s="256" customFormat="1" ht="24.95" customHeight="1">
      <c r="B791" s="445"/>
      <c r="C791" s="204"/>
      <c r="D791" s="204"/>
      <c r="E791" s="204"/>
      <c r="F791" s="368"/>
      <c r="G791" s="1134"/>
      <c r="H791" s="401"/>
      <c r="I791" s="317"/>
      <c r="N791" s="317"/>
      <c r="O791" s="1135"/>
      <c r="P791" s="1136"/>
      <c r="Q791" s="1137"/>
      <c r="R791" s="1120"/>
      <c r="S791" s="1120"/>
      <c r="T791" s="1120"/>
      <c r="U791" s="1120"/>
      <c r="V791" s="1120"/>
      <c r="W791" s="1120"/>
      <c r="Z791" s="1145"/>
      <c r="AA791" s="1120"/>
      <c r="AB791" s="1120"/>
      <c r="AC791" s="1120"/>
      <c r="AD791" s="1212"/>
      <c r="AE791" s="1212"/>
      <c r="AF791" s="1186"/>
      <c r="AG791" s="1186"/>
      <c r="AH791" s="1222"/>
      <c r="AI791" s="1222"/>
      <c r="AJ791" s="1222"/>
      <c r="AK791" s="1222"/>
      <c r="AL791" s="1222"/>
      <c r="AM791" s="1222"/>
      <c r="AN791" s="1222"/>
      <c r="AO791" s="1222"/>
      <c r="AP791" s="1222"/>
      <c r="AQ791" s="1222"/>
      <c r="AR791" s="1222"/>
      <c r="AS791" s="1222"/>
      <c r="AT791" s="1222"/>
      <c r="AU791" s="1120"/>
      <c r="AV791" s="445"/>
      <c r="AW791" s="607"/>
      <c r="AX791" s="607"/>
      <c r="AY791" s="607"/>
      <c r="AZ791" s="1209"/>
      <c r="BA791" s="1209"/>
    </row>
    <row r="792" spans="2:53" s="256" customFormat="1" ht="24.95" customHeight="1">
      <c r="B792" s="445"/>
      <c r="C792" s="204"/>
      <c r="D792" s="204"/>
      <c r="E792" s="204"/>
      <c r="F792" s="368"/>
      <c r="G792" s="1134"/>
      <c r="H792" s="401"/>
      <c r="I792" s="317"/>
      <c r="N792" s="317"/>
      <c r="O792" s="1135"/>
      <c r="P792" s="1136"/>
      <c r="Q792" s="1137"/>
      <c r="R792" s="1120"/>
      <c r="S792" s="1120"/>
      <c r="T792" s="1120"/>
      <c r="U792" s="1120"/>
      <c r="V792" s="1120"/>
      <c r="W792" s="1120"/>
      <c r="Z792" s="1145"/>
      <c r="AA792" s="1120"/>
      <c r="AB792" s="1120"/>
      <c r="AC792" s="1120"/>
      <c r="AD792" s="1212"/>
      <c r="AE792" s="1212"/>
      <c r="AF792" s="1186"/>
      <c r="AG792" s="1186"/>
      <c r="AH792" s="1222"/>
      <c r="AI792" s="1222"/>
      <c r="AJ792" s="1222"/>
      <c r="AK792" s="1222"/>
      <c r="AL792" s="1222"/>
      <c r="AM792" s="1222"/>
      <c r="AN792" s="1222"/>
      <c r="AO792" s="1222"/>
      <c r="AP792" s="1222"/>
      <c r="AQ792" s="1222"/>
      <c r="AR792" s="1222"/>
      <c r="AS792" s="1222"/>
      <c r="AT792" s="1222"/>
      <c r="AU792" s="1120"/>
      <c r="AV792" s="445"/>
      <c r="AW792" s="607"/>
      <c r="AX792" s="607"/>
      <c r="AY792" s="607"/>
      <c r="AZ792" s="1209"/>
      <c r="BA792" s="1209"/>
    </row>
    <row r="793" spans="2:53" s="256" customFormat="1" ht="24.95" customHeight="1">
      <c r="B793" s="445"/>
      <c r="C793" s="204"/>
      <c r="D793" s="204"/>
      <c r="E793" s="204"/>
      <c r="F793" s="368"/>
      <c r="G793" s="1134"/>
      <c r="H793" s="401"/>
      <c r="I793" s="317"/>
      <c r="N793" s="317"/>
      <c r="O793" s="1135"/>
      <c r="P793" s="1136"/>
      <c r="Q793" s="1137"/>
      <c r="R793" s="1120"/>
      <c r="S793" s="1120"/>
      <c r="T793" s="1120"/>
      <c r="U793" s="1120"/>
      <c r="V793" s="1120"/>
      <c r="W793" s="1120"/>
      <c r="Z793" s="1145"/>
      <c r="AA793" s="1120"/>
      <c r="AB793" s="1120"/>
      <c r="AC793" s="1120"/>
      <c r="AD793" s="1212"/>
      <c r="AE793" s="1212"/>
      <c r="AF793" s="1186"/>
      <c r="AG793" s="1186"/>
      <c r="AH793" s="1222"/>
      <c r="AI793" s="1222"/>
      <c r="AJ793" s="1222"/>
      <c r="AK793" s="1222"/>
      <c r="AL793" s="1222"/>
      <c r="AM793" s="1222"/>
      <c r="AN793" s="1222"/>
      <c r="AO793" s="1222"/>
      <c r="AP793" s="1222"/>
      <c r="AQ793" s="1222"/>
      <c r="AR793" s="1222"/>
      <c r="AS793" s="1222"/>
      <c r="AT793" s="1222"/>
      <c r="AU793" s="1120"/>
      <c r="AV793" s="445"/>
      <c r="AW793" s="607"/>
      <c r="AX793" s="607"/>
      <c r="AY793" s="607"/>
      <c r="AZ793" s="1209"/>
      <c r="BA793" s="1209"/>
    </row>
    <row r="794" spans="2:53" s="256" customFormat="1" ht="24.95" customHeight="1">
      <c r="B794" s="445"/>
      <c r="C794" s="204"/>
      <c r="D794" s="204"/>
      <c r="E794" s="204"/>
      <c r="F794" s="368"/>
      <c r="G794" s="1134"/>
      <c r="H794" s="401"/>
      <c r="I794" s="317"/>
      <c r="N794" s="317"/>
      <c r="O794" s="1135"/>
      <c r="P794" s="1136"/>
      <c r="Q794" s="1137"/>
      <c r="R794" s="1120"/>
      <c r="S794" s="1120"/>
      <c r="T794" s="1120"/>
      <c r="U794" s="1120"/>
      <c r="V794" s="1120"/>
      <c r="W794" s="1120"/>
      <c r="Z794" s="1145"/>
      <c r="AA794" s="1120"/>
      <c r="AB794" s="1120"/>
      <c r="AC794" s="1120"/>
      <c r="AD794" s="1212"/>
      <c r="AE794" s="1212"/>
      <c r="AF794" s="1186"/>
      <c r="AG794" s="1186"/>
      <c r="AH794" s="1222"/>
      <c r="AI794" s="1222"/>
      <c r="AJ794" s="1222"/>
      <c r="AK794" s="1222"/>
      <c r="AL794" s="1222"/>
      <c r="AM794" s="1222"/>
      <c r="AN794" s="1222"/>
      <c r="AO794" s="1222"/>
      <c r="AP794" s="1222"/>
      <c r="AQ794" s="1222"/>
      <c r="AR794" s="1222"/>
      <c r="AS794" s="1222"/>
      <c r="AT794" s="1222"/>
      <c r="AU794" s="1120"/>
      <c r="AV794" s="445"/>
      <c r="AW794" s="607"/>
      <c r="AX794" s="607"/>
      <c r="AY794" s="607"/>
      <c r="AZ794" s="1209"/>
      <c r="BA794" s="1209"/>
    </row>
    <row r="795" spans="2:53" s="256" customFormat="1" ht="24.95" customHeight="1">
      <c r="B795" s="445"/>
      <c r="C795" s="204"/>
      <c r="D795" s="204"/>
      <c r="E795" s="204"/>
      <c r="F795" s="368"/>
      <c r="G795" s="1134"/>
      <c r="H795" s="401"/>
      <c r="I795" s="317"/>
      <c r="N795" s="317"/>
      <c r="O795" s="1135"/>
      <c r="P795" s="1136"/>
      <c r="Q795" s="1137"/>
      <c r="R795" s="1120"/>
      <c r="S795" s="1120"/>
      <c r="T795" s="1120"/>
      <c r="U795" s="1120"/>
      <c r="V795" s="1120"/>
      <c r="W795" s="1120"/>
      <c r="Z795" s="1145"/>
      <c r="AA795" s="1120"/>
      <c r="AB795" s="1120"/>
      <c r="AC795" s="1120"/>
      <c r="AD795" s="1212"/>
      <c r="AE795" s="1212"/>
      <c r="AF795" s="1186"/>
      <c r="AG795" s="1186"/>
      <c r="AH795" s="1222"/>
      <c r="AI795" s="1222"/>
      <c r="AJ795" s="1222"/>
      <c r="AK795" s="1222"/>
      <c r="AL795" s="1222"/>
      <c r="AM795" s="1222"/>
      <c r="AN795" s="1222"/>
      <c r="AO795" s="1222"/>
      <c r="AP795" s="1222"/>
      <c r="AQ795" s="1222"/>
      <c r="AR795" s="1222"/>
      <c r="AS795" s="1222"/>
      <c r="AT795" s="1222"/>
      <c r="AU795" s="1120"/>
      <c r="AV795" s="445"/>
      <c r="AW795" s="607"/>
      <c r="AX795" s="607"/>
      <c r="AY795" s="607"/>
      <c r="AZ795" s="1209"/>
      <c r="BA795" s="1209"/>
    </row>
    <row r="796" spans="2:53" s="256" customFormat="1" ht="24.95" customHeight="1">
      <c r="B796" s="445"/>
      <c r="C796" s="204"/>
      <c r="D796" s="204"/>
      <c r="E796" s="204"/>
      <c r="F796" s="368"/>
      <c r="G796" s="1134"/>
      <c r="H796" s="401"/>
      <c r="I796" s="317"/>
      <c r="N796" s="317"/>
      <c r="O796" s="1135"/>
      <c r="P796" s="1136"/>
      <c r="Q796" s="1137"/>
      <c r="R796" s="1120"/>
      <c r="S796" s="1120"/>
      <c r="T796" s="1120"/>
      <c r="U796" s="1120"/>
      <c r="V796" s="1120"/>
      <c r="W796" s="1120"/>
      <c r="Z796" s="1145"/>
      <c r="AA796" s="1120"/>
      <c r="AB796" s="1120"/>
      <c r="AC796" s="1120"/>
      <c r="AD796" s="1212"/>
      <c r="AE796" s="1212"/>
      <c r="AF796" s="1186"/>
      <c r="AG796" s="1186"/>
      <c r="AH796" s="1222"/>
      <c r="AI796" s="1222"/>
      <c r="AJ796" s="1222"/>
      <c r="AK796" s="1222"/>
      <c r="AL796" s="1222"/>
      <c r="AM796" s="1222"/>
      <c r="AN796" s="1222"/>
      <c r="AO796" s="1222"/>
      <c r="AP796" s="1222"/>
      <c r="AQ796" s="1222"/>
      <c r="AR796" s="1222"/>
      <c r="AS796" s="1222"/>
      <c r="AT796" s="1222"/>
      <c r="AU796" s="1120"/>
      <c r="AV796" s="445"/>
      <c r="AW796" s="607"/>
      <c r="AX796" s="607"/>
      <c r="AY796" s="607"/>
      <c r="AZ796" s="1209"/>
      <c r="BA796" s="1209"/>
    </row>
    <row r="797" spans="2:53" s="256" customFormat="1" ht="24.95" customHeight="1">
      <c r="B797" s="445"/>
      <c r="C797" s="204"/>
      <c r="D797" s="204"/>
      <c r="E797" s="204"/>
      <c r="F797" s="368"/>
      <c r="G797" s="1134"/>
      <c r="H797" s="401"/>
      <c r="I797" s="317"/>
      <c r="N797" s="317"/>
      <c r="O797" s="1135"/>
      <c r="P797" s="1136"/>
      <c r="Q797" s="1137"/>
      <c r="R797" s="1120"/>
      <c r="S797" s="1120"/>
      <c r="T797" s="1120"/>
      <c r="U797" s="1120"/>
      <c r="V797" s="1120"/>
      <c r="W797" s="1120"/>
      <c r="Z797" s="1145"/>
      <c r="AA797" s="1120"/>
      <c r="AB797" s="1120"/>
      <c r="AC797" s="1120"/>
      <c r="AD797" s="1212"/>
      <c r="AE797" s="1212"/>
      <c r="AF797" s="1186"/>
      <c r="AG797" s="1186"/>
      <c r="AH797" s="1222"/>
      <c r="AI797" s="1222"/>
      <c r="AJ797" s="1222"/>
      <c r="AK797" s="1222"/>
      <c r="AL797" s="1222"/>
      <c r="AM797" s="1222"/>
      <c r="AN797" s="1222"/>
      <c r="AO797" s="1222"/>
      <c r="AP797" s="1222"/>
      <c r="AQ797" s="1222"/>
      <c r="AR797" s="1222"/>
      <c r="AS797" s="1222"/>
      <c r="AT797" s="1222"/>
      <c r="AU797" s="1120"/>
      <c r="AV797" s="445"/>
      <c r="AW797" s="607"/>
      <c r="AX797" s="607"/>
      <c r="AY797" s="607"/>
      <c r="AZ797" s="1209"/>
      <c r="BA797" s="1209"/>
    </row>
    <row r="798" spans="2:53" s="256" customFormat="1" ht="24.95" customHeight="1">
      <c r="B798" s="445"/>
      <c r="C798" s="204"/>
      <c r="D798" s="204"/>
      <c r="E798" s="204"/>
      <c r="F798" s="368"/>
      <c r="G798" s="1134"/>
      <c r="H798" s="401"/>
      <c r="I798" s="317"/>
      <c r="N798" s="317"/>
      <c r="O798" s="1135"/>
      <c r="P798" s="1136"/>
      <c r="Q798" s="1137"/>
      <c r="R798" s="1120"/>
      <c r="S798" s="1120"/>
      <c r="T798" s="1120"/>
      <c r="U798" s="1120"/>
      <c r="V798" s="1120"/>
      <c r="W798" s="1120"/>
      <c r="Z798" s="1145"/>
      <c r="AA798" s="1120"/>
      <c r="AB798" s="1120"/>
      <c r="AC798" s="1120"/>
      <c r="AD798" s="1212"/>
      <c r="AE798" s="1212"/>
      <c r="AF798" s="1186"/>
      <c r="AG798" s="1186"/>
      <c r="AH798" s="1222"/>
      <c r="AI798" s="1222"/>
      <c r="AJ798" s="1222"/>
      <c r="AK798" s="1222"/>
      <c r="AL798" s="1222"/>
      <c r="AM798" s="1222"/>
      <c r="AN798" s="1222"/>
      <c r="AO798" s="1222"/>
      <c r="AP798" s="1222"/>
      <c r="AQ798" s="1222"/>
      <c r="AR798" s="1222"/>
      <c r="AS798" s="1222"/>
      <c r="AT798" s="1222"/>
      <c r="AU798" s="1120"/>
      <c r="AV798" s="445"/>
      <c r="AW798" s="607"/>
      <c r="AX798" s="607"/>
      <c r="AY798" s="607"/>
      <c r="AZ798" s="1209"/>
      <c r="BA798" s="1209"/>
    </row>
    <row r="799" spans="2:53" s="256" customFormat="1" ht="24.95" customHeight="1">
      <c r="B799" s="445"/>
      <c r="C799" s="204"/>
      <c r="D799" s="204"/>
      <c r="E799" s="204"/>
      <c r="F799" s="368"/>
      <c r="G799" s="1134"/>
      <c r="H799" s="401"/>
      <c r="I799" s="317"/>
      <c r="N799" s="317"/>
      <c r="O799" s="1135"/>
      <c r="P799" s="1136"/>
      <c r="Q799" s="1137"/>
      <c r="R799" s="1120"/>
      <c r="S799" s="1120"/>
      <c r="T799" s="1120"/>
      <c r="U799" s="1120"/>
      <c r="V799" s="1120"/>
      <c r="W799" s="1120"/>
      <c r="Z799" s="1145"/>
      <c r="AA799" s="1120"/>
      <c r="AB799" s="1120"/>
      <c r="AC799" s="1120"/>
      <c r="AD799" s="1212"/>
      <c r="AE799" s="1212"/>
      <c r="AF799" s="1186"/>
      <c r="AG799" s="1186"/>
      <c r="AH799" s="1222"/>
      <c r="AI799" s="1222"/>
      <c r="AJ799" s="1222"/>
      <c r="AK799" s="1222"/>
      <c r="AL799" s="1222"/>
      <c r="AM799" s="1222"/>
      <c r="AN799" s="1222"/>
      <c r="AO799" s="1222"/>
      <c r="AP799" s="1222"/>
      <c r="AQ799" s="1222"/>
      <c r="AR799" s="1222"/>
      <c r="AS799" s="1222"/>
      <c r="AT799" s="1222"/>
      <c r="AU799" s="1120"/>
      <c r="AV799" s="445"/>
      <c r="AW799" s="607"/>
      <c r="AX799" s="607"/>
      <c r="AY799" s="607"/>
      <c r="AZ799" s="1209"/>
      <c r="BA799" s="1209"/>
    </row>
    <row r="800" spans="2:53" s="256" customFormat="1" ht="24.95" customHeight="1">
      <c r="B800" s="445"/>
      <c r="C800" s="204"/>
      <c r="D800" s="204"/>
      <c r="E800" s="204"/>
      <c r="F800" s="368"/>
      <c r="G800" s="1134"/>
      <c r="H800" s="401"/>
      <c r="I800" s="317"/>
      <c r="N800" s="317"/>
      <c r="O800" s="1135"/>
      <c r="P800" s="1136"/>
      <c r="Q800" s="1137"/>
      <c r="R800" s="1120"/>
      <c r="S800" s="1120"/>
      <c r="T800" s="1120"/>
      <c r="U800" s="1120"/>
      <c r="V800" s="1120"/>
      <c r="W800" s="1120"/>
      <c r="Z800" s="1145"/>
      <c r="AA800" s="1120"/>
      <c r="AB800" s="1120"/>
      <c r="AC800" s="1120"/>
      <c r="AD800" s="1212"/>
      <c r="AE800" s="1212"/>
      <c r="AF800" s="1186"/>
      <c r="AG800" s="1186"/>
      <c r="AH800" s="1222"/>
      <c r="AI800" s="1222"/>
      <c r="AJ800" s="1222"/>
      <c r="AK800" s="1222"/>
      <c r="AL800" s="1222"/>
      <c r="AM800" s="1222"/>
      <c r="AN800" s="1222"/>
      <c r="AO800" s="1222"/>
      <c r="AP800" s="1222"/>
      <c r="AQ800" s="1222"/>
      <c r="AR800" s="1222"/>
      <c r="AS800" s="1222"/>
      <c r="AT800" s="1222"/>
      <c r="AU800" s="1120"/>
      <c r="AV800" s="445"/>
      <c r="AW800" s="607"/>
      <c r="AX800" s="607"/>
      <c r="AY800" s="607"/>
      <c r="AZ800" s="1209"/>
      <c r="BA800" s="1209"/>
    </row>
    <row r="801" spans="2:53" s="256" customFormat="1" ht="24.95" customHeight="1">
      <c r="B801" s="445"/>
      <c r="C801" s="204"/>
      <c r="D801" s="204"/>
      <c r="E801" s="204"/>
      <c r="F801" s="368"/>
      <c r="G801" s="1134"/>
      <c r="H801" s="401"/>
      <c r="I801" s="317"/>
      <c r="N801" s="317"/>
      <c r="O801" s="1135"/>
      <c r="P801" s="1136"/>
      <c r="Q801" s="1137"/>
      <c r="R801" s="1120"/>
      <c r="S801" s="1120"/>
      <c r="T801" s="1120"/>
      <c r="U801" s="1120"/>
      <c r="V801" s="1120"/>
      <c r="W801" s="1120"/>
      <c r="Z801" s="1145"/>
      <c r="AA801" s="1120"/>
      <c r="AB801" s="1120"/>
      <c r="AC801" s="1120"/>
      <c r="AD801" s="1212"/>
      <c r="AE801" s="1212"/>
      <c r="AF801" s="1186"/>
      <c r="AG801" s="1186"/>
      <c r="AH801" s="1222"/>
      <c r="AI801" s="1222"/>
      <c r="AJ801" s="1222"/>
      <c r="AK801" s="1222"/>
      <c r="AL801" s="1222"/>
      <c r="AM801" s="1222"/>
      <c r="AN801" s="1222"/>
      <c r="AO801" s="1222"/>
      <c r="AP801" s="1222"/>
      <c r="AQ801" s="1222"/>
      <c r="AR801" s="1222"/>
      <c r="AS801" s="1222"/>
      <c r="AT801" s="1222"/>
      <c r="AU801" s="1120"/>
      <c r="AV801" s="445"/>
      <c r="AW801" s="607"/>
      <c r="AX801" s="607"/>
      <c r="AY801" s="607"/>
      <c r="AZ801" s="1209"/>
      <c r="BA801" s="1209"/>
    </row>
    <row r="802" spans="2:53" s="256" customFormat="1" ht="24.95" customHeight="1">
      <c r="B802" s="445"/>
      <c r="C802" s="204"/>
      <c r="D802" s="204"/>
      <c r="E802" s="204"/>
      <c r="F802" s="368"/>
      <c r="G802" s="1134"/>
      <c r="H802" s="401"/>
      <c r="I802" s="317"/>
      <c r="N802" s="317"/>
      <c r="O802" s="1135"/>
      <c r="P802" s="1136"/>
      <c r="Q802" s="1137"/>
      <c r="R802" s="1120"/>
      <c r="S802" s="1120"/>
      <c r="T802" s="1120"/>
      <c r="U802" s="1120"/>
      <c r="V802" s="1120"/>
      <c r="W802" s="1120"/>
      <c r="Z802" s="1145"/>
      <c r="AA802" s="1120"/>
      <c r="AB802" s="1120"/>
      <c r="AC802" s="1120"/>
      <c r="AD802" s="1212"/>
      <c r="AE802" s="1212"/>
      <c r="AF802" s="1186"/>
      <c r="AG802" s="1186"/>
      <c r="AH802" s="1222"/>
      <c r="AI802" s="1222"/>
      <c r="AJ802" s="1222"/>
      <c r="AK802" s="1222"/>
      <c r="AL802" s="1222"/>
      <c r="AM802" s="1222"/>
      <c r="AN802" s="1222"/>
      <c r="AO802" s="1222"/>
      <c r="AP802" s="1222"/>
      <c r="AQ802" s="1222"/>
      <c r="AR802" s="1222"/>
      <c r="AS802" s="1222"/>
      <c r="AT802" s="1222"/>
      <c r="AU802" s="1120"/>
      <c r="AV802" s="445"/>
      <c r="AW802" s="607"/>
      <c r="AX802" s="607"/>
      <c r="AY802" s="607"/>
      <c r="AZ802" s="1209"/>
      <c r="BA802" s="1209"/>
    </row>
    <row r="803" spans="2:53" s="256" customFormat="1" ht="24.95" customHeight="1">
      <c r="B803" s="445"/>
      <c r="C803" s="204"/>
      <c r="D803" s="204"/>
      <c r="E803" s="204"/>
      <c r="F803" s="368"/>
      <c r="G803" s="1134"/>
      <c r="H803" s="401"/>
      <c r="I803" s="317"/>
      <c r="N803" s="317"/>
      <c r="O803" s="1135"/>
      <c r="P803" s="1136"/>
      <c r="Q803" s="1137"/>
      <c r="R803" s="1120"/>
      <c r="S803" s="1120"/>
      <c r="T803" s="1120"/>
      <c r="U803" s="1120"/>
      <c r="V803" s="1120"/>
      <c r="W803" s="1120"/>
      <c r="Z803" s="1145"/>
      <c r="AA803" s="1120"/>
      <c r="AB803" s="1120"/>
      <c r="AC803" s="1120"/>
      <c r="AD803" s="1212"/>
      <c r="AE803" s="1212"/>
      <c r="AF803" s="1186"/>
      <c r="AG803" s="1186"/>
      <c r="AH803" s="1222"/>
      <c r="AI803" s="1222"/>
      <c r="AJ803" s="1222"/>
      <c r="AK803" s="1222"/>
      <c r="AL803" s="1222"/>
      <c r="AM803" s="1222"/>
      <c r="AN803" s="1222"/>
      <c r="AO803" s="1222"/>
      <c r="AP803" s="1222"/>
      <c r="AQ803" s="1222"/>
      <c r="AR803" s="1222"/>
      <c r="AS803" s="1222"/>
      <c r="AT803" s="1222"/>
      <c r="AU803" s="1120"/>
      <c r="AV803" s="445"/>
      <c r="AW803" s="607"/>
      <c r="AX803" s="607"/>
      <c r="AY803" s="607"/>
      <c r="AZ803" s="1209"/>
      <c r="BA803" s="1209"/>
    </row>
    <row r="804" spans="2:53" s="256" customFormat="1" ht="24.95" customHeight="1">
      <c r="B804" s="445"/>
      <c r="C804" s="204"/>
      <c r="D804" s="204"/>
      <c r="E804" s="204"/>
      <c r="F804" s="368"/>
      <c r="G804" s="1134"/>
      <c r="H804" s="401"/>
      <c r="I804" s="317"/>
      <c r="N804" s="317"/>
      <c r="O804" s="1135"/>
      <c r="P804" s="1136"/>
      <c r="Q804" s="1137"/>
      <c r="R804" s="1120"/>
      <c r="S804" s="1120"/>
      <c r="T804" s="1120"/>
      <c r="U804" s="1120"/>
      <c r="V804" s="1120"/>
      <c r="W804" s="1120"/>
      <c r="Z804" s="1145"/>
      <c r="AA804" s="1120"/>
      <c r="AB804" s="1120"/>
      <c r="AC804" s="1120"/>
      <c r="AD804" s="1212"/>
      <c r="AE804" s="1212"/>
      <c r="AF804" s="1186"/>
      <c r="AG804" s="1186"/>
      <c r="AH804" s="1222"/>
      <c r="AI804" s="1222"/>
      <c r="AJ804" s="1222"/>
      <c r="AK804" s="1222"/>
      <c r="AL804" s="1222"/>
      <c r="AM804" s="1222"/>
      <c r="AN804" s="1222"/>
      <c r="AO804" s="1222"/>
      <c r="AP804" s="1222"/>
      <c r="AQ804" s="1222"/>
      <c r="AR804" s="1222"/>
      <c r="AS804" s="1222"/>
      <c r="AT804" s="1222"/>
      <c r="AU804" s="1120"/>
      <c r="AV804" s="445"/>
      <c r="AW804" s="607"/>
      <c r="AX804" s="607"/>
      <c r="AY804" s="607"/>
      <c r="AZ804" s="1209"/>
      <c r="BA804" s="1209"/>
    </row>
    <row r="805" spans="2:53" s="256" customFormat="1" ht="24.95" customHeight="1">
      <c r="B805" s="445"/>
      <c r="C805" s="204"/>
      <c r="D805" s="204"/>
      <c r="E805" s="204"/>
      <c r="F805" s="368"/>
      <c r="G805" s="1134"/>
      <c r="H805" s="401"/>
      <c r="I805" s="317"/>
      <c r="N805" s="317"/>
      <c r="O805" s="1135"/>
      <c r="P805" s="1136"/>
      <c r="Q805" s="1137"/>
      <c r="R805" s="1120"/>
      <c r="S805" s="1120"/>
      <c r="T805" s="1120"/>
      <c r="U805" s="1120"/>
      <c r="V805" s="1120"/>
      <c r="W805" s="1120"/>
      <c r="Z805" s="1145"/>
      <c r="AA805" s="1120"/>
      <c r="AB805" s="1120"/>
      <c r="AC805" s="1120"/>
      <c r="AD805" s="1212"/>
      <c r="AE805" s="1212"/>
      <c r="AF805" s="1186"/>
      <c r="AG805" s="1186"/>
      <c r="AH805" s="1222"/>
      <c r="AI805" s="1222"/>
      <c r="AJ805" s="1222"/>
      <c r="AK805" s="1222"/>
      <c r="AL805" s="1222"/>
      <c r="AM805" s="1222"/>
      <c r="AN805" s="1222"/>
      <c r="AO805" s="1222"/>
      <c r="AP805" s="1222"/>
      <c r="AQ805" s="1222"/>
      <c r="AR805" s="1222"/>
      <c r="AS805" s="1222"/>
      <c r="AT805" s="1222"/>
      <c r="AU805" s="1120"/>
      <c r="AV805" s="445"/>
      <c r="AW805" s="607"/>
      <c r="AX805" s="607"/>
      <c r="AY805" s="607"/>
      <c r="AZ805" s="1209"/>
      <c r="BA805" s="1209"/>
    </row>
    <row r="806" spans="2:53" s="256" customFormat="1" ht="24.95" customHeight="1">
      <c r="B806" s="445"/>
      <c r="C806" s="204"/>
      <c r="D806" s="204"/>
      <c r="E806" s="204"/>
      <c r="F806" s="368"/>
      <c r="G806" s="1134"/>
      <c r="H806" s="401"/>
      <c r="I806" s="317"/>
      <c r="N806" s="317"/>
      <c r="O806" s="1135"/>
      <c r="P806" s="1136"/>
      <c r="Q806" s="1137"/>
      <c r="R806" s="1120"/>
      <c r="S806" s="1120"/>
      <c r="T806" s="1120"/>
      <c r="U806" s="1120"/>
      <c r="V806" s="1120"/>
      <c r="W806" s="1120"/>
      <c r="Z806" s="1145"/>
      <c r="AA806" s="1120"/>
      <c r="AB806" s="1120"/>
      <c r="AC806" s="1120"/>
      <c r="AD806" s="1212"/>
      <c r="AE806" s="1212"/>
      <c r="AF806" s="1186"/>
      <c r="AG806" s="1186"/>
      <c r="AH806" s="1222"/>
      <c r="AI806" s="1222"/>
      <c r="AJ806" s="1222"/>
      <c r="AK806" s="1222"/>
      <c r="AL806" s="1222"/>
      <c r="AM806" s="1222"/>
      <c r="AN806" s="1222"/>
      <c r="AO806" s="1222"/>
      <c r="AP806" s="1222"/>
      <c r="AQ806" s="1222"/>
      <c r="AR806" s="1222"/>
      <c r="AS806" s="1222"/>
      <c r="AT806" s="1222"/>
      <c r="AU806" s="1120"/>
      <c r="AV806" s="445"/>
      <c r="AW806" s="607"/>
      <c r="AX806" s="607"/>
      <c r="AY806" s="607"/>
      <c r="AZ806" s="1209"/>
      <c r="BA806" s="1209"/>
    </row>
    <row r="807" spans="2:53" s="256" customFormat="1" ht="24.95" customHeight="1">
      <c r="B807" s="445"/>
      <c r="C807" s="204"/>
      <c r="D807" s="204"/>
      <c r="E807" s="204"/>
      <c r="F807" s="368"/>
      <c r="G807" s="1134"/>
      <c r="H807" s="401"/>
      <c r="I807" s="317"/>
      <c r="N807" s="317"/>
      <c r="O807" s="1135"/>
      <c r="P807" s="1136"/>
      <c r="Q807" s="1137"/>
      <c r="R807" s="1120"/>
      <c r="S807" s="1120"/>
      <c r="T807" s="1120"/>
      <c r="U807" s="1120"/>
      <c r="V807" s="1120"/>
      <c r="W807" s="1120"/>
      <c r="Z807" s="1145"/>
      <c r="AA807" s="1120"/>
      <c r="AB807" s="1120"/>
      <c r="AC807" s="1120"/>
      <c r="AD807" s="1212"/>
      <c r="AE807" s="1212"/>
      <c r="AF807" s="1186"/>
      <c r="AG807" s="1186"/>
      <c r="AH807" s="1222"/>
      <c r="AI807" s="1222"/>
      <c r="AJ807" s="1222"/>
      <c r="AK807" s="1222"/>
      <c r="AL807" s="1222"/>
      <c r="AM807" s="1222"/>
      <c r="AN807" s="1222"/>
      <c r="AO807" s="1222"/>
      <c r="AP807" s="1222"/>
      <c r="AQ807" s="1222"/>
      <c r="AR807" s="1222"/>
      <c r="AS807" s="1222"/>
      <c r="AT807" s="1222"/>
      <c r="AU807" s="1120"/>
      <c r="AV807" s="445"/>
      <c r="AW807" s="607"/>
      <c r="AX807" s="607"/>
      <c r="AY807" s="607"/>
      <c r="AZ807" s="1209"/>
      <c r="BA807" s="1209"/>
    </row>
    <row r="808" spans="2:53" s="256" customFormat="1" ht="24.95" customHeight="1">
      <c r="B808" s="445"/>
      <c r="C808" s="204"/>
      <c r="D808" s="204"/>
      <c r="E808" s="204"/>
      <c r="F808" s="368"/>
      <c r="G808" s="1134"/>
      <c r="H808" s="401"/>
      <c r="I808" s="317"/>
      <c r="N808" s="317"/>
      <c r="O808" s="1135"/>
      <c r="P808" s="1136"/>
      <c r="Q808" s="1137"/>
      <c r="R808" s="1120"/>
      <c r="S808" s="1120"/>
      <c r="T808" s="1120"/>
      <c r="U808" s="1120"/>
      <c r="V808" s="1120"/>
      <c r="W808" s="1120"/>
      <c r="Z808" s="1145"/>
      <c r="AA808" s="1120"/>
      <c r="AB808" s="1120"/>
      <c r="AC808" s="1120"/>
      <c r="AD808" s="1212"/>
      <c r="AE808" s="1212"/>
      <c r="AF808" s="1186"/>
      <c r="AG808" s="1186"/>
      <c r="AH808" s="1222"/>
      <c r="AI808" s="1222"/>
      <c r="AJ808" s="1222"/>
      <c r="AK808" s="1222"/>
      <c r="AL808" s="1222"/>
      <c r="AM808" s="1222"/>
      <c r="AN808" s="1222"/>
      <c r="AO808" s="1222"/>
      <c r="AP808" s="1222"/>
      <c r="AQ808" s="1222"/>
      <c r="AR808" s="1222"/>
      <c r="AS808" s="1222"/>
      <c r="AT808" s="1222"/>
      <c r="AU808" s="1120"/>
      <c r="AV808" s="445"/>
      <c r="AW808" s="607"/>
      <c r="AX808" s="607"/>
      <c r="AY808" s="607"/>
      <c r="AZ808" s="1209"/>
      <c r="BA808" s="1209"/>
    </row>
    <row r="809" spans="2:53" s="256" customFormat="1" ht="24.95" customHeight="1">
      <c r="B809" s="445"/>
      <c r="C809" s="204"/>
      <c r="D809" s="204"/>
      <c r="E809" s="204"/>
      <c r="F809" s="368"/>
      <c r="G809" s="1134"/>
      <c r="H809" s="401"/>
      <c r="I809" s="317"/>
      <c r="N809" s="317"/>
      <c r="O809" s="1135"/>
      <c r="P809" s="1136"/>
      <c r="Q809" s="1137"/>
      <c r="R809" s="1120"/>
      <c r="S809" s="1120"/>
      <c r="T809" s="1120"/>
      <c r="U809" s="1120"/>
      <c r="V809" s="1120"/>
      <c r="W809" s="1120"/>
      <c r="Z809" s="1145"/>
      <c r="AA809" s="1120"/>
      <c r="AB809" s="1120"/>
      <c r="AC809" s="1120"/>
      <c r="AD809" s="1212"/>
      <c r="AE809" s="1212"/>
      <c r="AF809" s="1186"/>
      <c r="AG809" s="1186"/>
      <c r="AH809" s="1222"/>
      <c r="AI809" s="1222"/>
      <c r="AJ809" s="1222"/>
      <c r="AK809" s="1222"/>
      <c r="AL809" s="1222"/>
      <c r="AM809" s="1222"/>
      <c r="AN809" s="1222"/>
      <c r="AO809" s="1222"/>
      <c r="AP809" s="1222"/>
      <c r="AQ809" s="1222"/>
      <c r="AR809" s="1222"/>
      <c r="AS809" s="1222"/>
      <c r="AT809" s="1222"/>
      <c r="AU809" s="1120"/>
      <c r="AV809" s="445"/>
      <c r="AW809" s="607"/>
      <c r="AX809" s="607"/>
      <c r="AY809" s="607"/>
      <c r="AZ809" s="1209"/>
      <c r="BA809" s="1209"/>
    </row>
    <row r="810" spans="2:53" s="256" customFormat="1" ht="24.95" customHeight="1">
      <c r="B810" s="445"/>
      <c r="C810" s="204"/>
      <c r="D810" s="204"/>
      <c r="E810" s="204"/>
      <c r="F810" s="368"/>
      <c r="G810" s="1134"/>
      <c r="H810" s="401"/>
      <c r="I810" s="317"/>
      <c r="N810" s="317"/>
      <c r="O810" s="1135"/>
      <c r="P810" s="1136"/>
      <c r="Q810" s="1137"/>
      <c r="R810" s="1120"/>
      <c r="S810" s="1120"/>
      <c r="T810" s="1120"/>
      <c r="U810" s="1120"/>
      <c r="V810" s="1120"/>
      <c r="W810" s="1120"/>
      <c r="Z810" s="1145"/>
      <c r="AA810" s="1120"/>
      <c r="AB810" s="1120"/>
      <c r="AC810" s="1120"/>
      <c r="AD810" s="1212"/>
      <c r="AE810" s="1212"/>
      <c r="AF810" s="1186"/>
      <c r="AG810" s="1186"/>
      <c r="AH810" s="1222"/>
      <c r="AI810" s="1222"/>
      <c r="AJ810" s="1222"/>
      <c r="AK810" s="1222"/>
      <c r="AL810" s="1222"/>
      <c r="AM810" s="1222"/>
      <c r="AN810" s="1222"/>
      <c r="AO810" s="1222"/>
      <c r="AP810" s="1222"/>
      <c r="AQ810" s="1222"/>
      <c r="AR810" s="1222"/>
      <c r="AS810" s="1222"/>
      <c r="AT810" s="1222"/>
      <c r="AU810" s="1120"/>
      <c r="AV810" s="445"/>
      <c r="AW810" s="607"/>
      <c r="AX810" s="607"/>
      <c r="AY810" s="607"/>
      <c r="AZ810" s="1209"/>
      <c r="BA810" s="1209"/>
    </row>
    <row r="811" spans="2:53" s="256" customFormat="1" ht="24.95" customHeight="1">
      <c r="B811" s="445"/>
      <c r="C811" s="204"/>
      <c r="D811" s="204"/>
      <c r="E811" s="204"/>
      <c r="F811" s="368"/>
      <c r="G811" s="1134"/>
      <c r="H811" s="401"/>
      <c r="I811" s="317"/>
      <c r="N811" s="317"/>
      <c r="O811" s="1135"/>
      <c r="P811" s="1136"/>
      <c r="Q811" s="1137"/>
      <c r="R811" s="1120"/>
      <c r="S811" s="1120"/>
      <c r="T811" s="1120"/>
      <c r="U811" s="1120"/>
      <c r="V811" s="1120"/>
      <c r="W811" s="1120"/>
      <c r="Z811" s="1145"/>
      <c r="AA811" s="1120"/>
      <c r="AB811" s="1120"/>
      <c r="AC811" s="1120"/>
      <c r="AD811" s="1212"/>
      <c r="AE811" s="1212"/>
      <c r="AF811" s="1186"/>
      <c r="AG811" s="1186"/>
      <c r="AH811" s="1222"/>
      <c r="AI811" s="1222"/>
      <c r="AJ811" s="1222"/>
      <c r="AK811" s="1222"/>
      <c r="AL811" s="1222"/>
      <c r="AM811" s="1222"/>
      <c r="AN811" s="1222"/>
      <c r="AO811" s="1222"/>
      <c r="AP811" s="1222"/>
      <c r="AQ811" s="1222"/>
      <c r="AR811" s="1222"/>
      <c r="AS811" s="1222"/>
      <c r="AT811" s="1222"/>
      <c r="AU811" s="1120"/>
      <c r="AV811" s="445"/>
      <c r="AW811" s="607"/>
      <c r="AX811" s="607"/>
      <c r="AY811" s="607"/>
      <c r="AZ811" s="1209"/>
      <c r="BA811" s="1209"/>
    </row>
    <row r="812" spans="2:53" s="256" customFormat="1" ht="24.95" customHeight="1">
      <c r="B812" s="445"/>
      <c r="C812" s="204"/>
      <c r="D812" s="204"/>
      <c r="E812" s="204"/>
      <c r="F812" s="368"/>
      <c r="G812" s="1134"/>
      <c r="H812" s="401"/>
      <c r="I812" s="317"/>
      <c r="N812" s="317"/>
      <c r="O812" s="1135"/>
      <c r="P812" s="1136"/>
      <c r="Q812" s="1137"/>
      <c r="R812" s="1120"/>
      <c r="S812" s="1120"/>
      <c r="T812" s="1120"/>
      <c r="U812" s="1120"/>
      <c r="V812" s="1120"/>
      <c r="W812" s="1120"/>
      <c r="Z812" s="1145"/>
      <c r="AA812" s="1120"/>
      <c r="AB812" s="1120"/>
      <c r="AC812" s="1120"/>
      <c r="AD812" s="1212"/>
      <c r="AE812" s="1212"/>
      <c r="AF812" s="1186"/>
      <c r="AG812" s="1186"/>
      <c r="AH812" s="1222"/>
      <c r="AI812" s="1222"/>
      <c r="AJ812" s="1222"/>
      <c r="AK812" s="1222"/>
      <c r="AL812" s="1222"/>
      <c r="AM812" s="1222"/>
      <c r="AN812" s="1222"/>
      <c r="AO812" s="1222"/>
      <c r="AP812" s="1222"/>
      <c r="AQ812" s="1222"/>
      <c r="AR812" s="1222"/>
      <c r="AS812" s="1222"/>
      <c r="AT812" s="1222"/>
      <c r="AU812" s="1120"/>
      <c r="AV812" s="445"/>
      <c r="AW812" s="607"/>
      <c r="AX812" s="607"/>
      <c r="AY812" s="607"/>
      <c r="AZ812" s="1209"/>
      <c r="BA812" s="1209"/>
    </row>
    <row r="813" spans="2:53" s="256" customFormat="1" ht="24.95" customHeight="1">
      <c r="B813" s="445"/>
      <c r="C813" s="204"/>
      <c r="D813" s="204"/>
      <c r="E813" s="204"/>
      <c r="F813" s="368"/>
      <c r="G813" s="1134"/>
      <c r="H813" s="401"/>
      <c r="I813" s="317"/>
      <c r="N813" s="317"/>
      <c r="O813" s="1135"/>
      <c r="P813" s="1136"/>
      <c r="Q813" s="1137"/>
      <c r="R813" s="1120"/>
      <c r="S813" s="1120"/>
      <c r="T813" s="1120"/>
      <c r="U813" s="1120"/>
      <c r="V813" s="1120"/>
      <c r="W813" s="1120"/>
      <c r="Z813" s="1145"/>
      <c r="AA813" s="1120"/>
      <c r="AB813" s="1120"/>
      <c r="AC813" s="1120"/>
      <c r="AD813" s="1212"/>
      <c r="AE813" s="1212"/>
      <c r="AF813" s="1186"/>
      <c r="AG813" s="1186"/>
      <c r="AH813" s="1222"/>
      <c r="AI813" s="1222"/>
      <c r="AJ813" s="1222"/>
      <c r="AK813" s="1222"/>
      <c r="AL813" s="1222"/>
      <c r="AM813" s="1222"/>
      <c r="AN813" s="1222"/>
      <c r="AO813" s="1222"/>
      <c r="AP813" s="1222"/>
      <c r="AQ813" s="1222"/>
      <c r="AR813" s="1222"/>
      <c r="AS813" s="1222"/>
      <c r="AT813" s="1222"/>
      <c r="AU813" s="1120"/>
      <c r="AV813" s="445"/>
      <c r="AW813" s="607"/>
      <c r="AX813" s="607"/>
      <c r="AY813" s="607"/>
      <c r="AZ813" s="1209"/>
      <c r="BA813" s="1209"/>
    </row>
  </sheetData>
  <mergeCells count="1">
    <mergeCell ref="F2:H2"/>
  </mergeCells>
  <phoneticPr fontId="37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BC3A-686B-4491-A2AE-5BD1EB7384B0}">
  <sheetPr codeName="Sheet19"/>
  <dimension ref="B1:BG813"/>
  <sheetViews>
    <sheetView showGridLines="0" zoomScale="80" zoomScaleNormal="80" zoomScaleSheetLayoutView="90" workbookViewId="0">
      <pane ySplit="19" topLeftCell="A29" activePane="bottomLeft" state="frozen"/>
      <selection pane="bottomLeft"/>
    </sheetView>
  </sheetViews>
  <sheetFormatPr defaultColWidth="8.7109375" defaultRowHeight="24.95" customHeight="1"/>
  <cols>
    <col min="1" max="1" width="2.140625" style="1121" customWidth="1"/>
    <col min="2" max="2" width="2.28515625" style="445" customWidth="1"/>
    <col min="3" max="3" width="9.7109375" style="204" customWidth="1"/>
    <col min="4" max="4" width="16" style="204" customWidth="1"/>
    <col min="5" max="5" width="15.5703125" style="204" customWidth="1"/>
    <col min="6" max="6" width="16.5703125" style="368" customWidth="1"/>
    <col min="7" max="7" width="23.42578125" style="1134" customWidth="1"/>
    <col min="8" max="8" width="38" style="401" bestFit="1" customWidth="1"/>
    <col min="9" max="9" width="36.7109375" style="317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17" customWidth="1"/>
    <col min="15" max="15" width="15.28515625" style="1135" bestFit="1" customWidth="1"/>
    <col min="16" max="16" width="15.85546875" style="1136" customWidth="1"/>
    <col min="17" max="17" width="21.5703125" style="1137" customWidth="1"/>
    <col min="18" max="18" width="15.85546875" style="1120" customWidth="1"/>
    <col min="19" max="19" width="17.140625" style="1120" customWidth="1"/>
    <col min="20" max="20" width="18" style="1120" customWidth="1"/>
    <col min="21" max="22" width="18.140625" style="1120" customWidth="1"/>
    <col min="23" max="23" width="14.85546875" style="1120" customWidth="1"/>
    <col min="24" max="24" width="19.5703125" style="317" bestFit="1" customWidth="1"/>
    <col min="25" max="25" width="20.85546875" style="256" customWidth="1"/>
    <col min="26" max="26" width="17.42578125" style="1145" customWidth="1"/>
    <col min="27" max="28" width="17" style="1120" customWidth="1"/>
    <col min="29" max="29" width="22.5703125" style="1120" customWidth="1"/>
    <col min="30" max="30" width="17.85546875" style="1212" customWidth="1"/>
    <col min="31" max="31" width="20" style="1212" bestFit="1" customWidth="1"/>
    <col min="32" max="32" width="23.5703125" style="1186" customWidth="1"/>
    <col min="33" max="33" width="25.7109375" style="1186" customWidth="1"/>
    <col min="34" max="46" width="5.7109375" style="1186" customWidth="1"/>
    <col min="47" max="47" width="19.85546875" style="1120" customWidth="1"/>
    <col min="48" max="48" width="23.28515625" style="445" customWidth="1"/>
    <col min="49" max="51" width="10.7109375" style="607" customWidth="1"/>
    <col min="52" max="52" width="21.140625" style="1209" customWidth="1"/>
    <col min="53" max="53" width="21.5703125" style="1209" customWidth="1"/>
    <col min="54" max="54" width="15.28515625" style="1121" customWidth="1"/>
    <col min="55" max="55" width="22.85546875" style="1121" customWidth="1"/>
    <col min="56" max="56" width="22" style="1121" customWidth="1"/>
    <col min="57" max="58" width="8.7109375" style="1121"/>
    <col min="59" max="59" width="33.85546875" style="1121" customWidth="1"/>
    <col min="60" max="16384" width="8.7109375" style="1121"/>
  </cols>
  <sheetData>
    <row r="1" spans="2:53" ht="58.5" customHeight="1">
      <c r="C1" s="1187" t="s">
        <v>3221</v>
      </c>
      <c r="D1" s="1188"/>
      <c r="E1" s="1188"/>
      <c r="F1" s="1189"/>
      <c r="G1" s="1190"/>
      <c r="H1" s="1191"/>
      <c r="I1" s="1192"/>
      <c r="J1" s="1191"/>
      <c r="K1" s="1191"/>
      <c r="L1" s="1191"/>
      <c r="M1" s="1191"/>
      <c r="N1" s="1192"/>
      <c r="O1" s="1193"/>
      <c r="P1" s="1193"/>
      <c r="Q1" s="1194"/>
      <c r="R1" s="1195"/>
      <c r="S1" s="1195"/>
      <c r="T1" s="1195"/>
      <c r="U1" s="1195"/>
      <c r="V1" s="1195"/>
      <c r="W1" s="1195"/>
      <c r="X1" s="1192"/>
      <c r="Y1" s="1191"/>
      <c r="Z1" s="1195"/>
      <c r="AA1" s="1195"/>
      <c r="AB1" s="1195"/>
      <c r="AC1" s="1195"/>
      <c r="AU1" s="1195"/>
      <c r="AV1" s="1196"/>
    </row>
    <row r="2" spans="2:53" ht="39.75" customHeight="1">
      <c r="C2" s="1197" t="s">
        <v>2085</v>
      </c>
      <c r="D2" s="1198"/>
      <c r="E2" s="1198"/>
      <c r="F2" s="2120" t="s">
        <v>1960</v>
      </c>
      <c r="G2" s="2121"/>
      <c r="H2" s="2122"/>
      <c r="I2" s="1199" t="s">
        <v>2130</v>
      </c>
      <c r="J2" s="1246" t="s">
        <v>20</v>
      </c>
      <c r="K2" s="1246" t="s">
        <v>22</v>
      </c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</row>
    <row r="3" spans="2:53" ht="27" customHeight="1">
      <c r="F3" s="1233">
        <f>MID(F2,1,2)*1</f>
        <v>1</v>
      </c>
      <c r="G3" s="1176"/>
      <c r="H3" s="1234">
        <f>COUNT(J3:Z3)</f>
        <v>2</v>
      </c>
      <c r="I3" s="1235" t="str">
        <f>IF(import_pro_number_of_price_type&gt;1,_xlfn.TEXTJOIN(",",TRUE,J3:Z3),J3)</f>
        <v>1,2</v>
      </c>
      <c r="J3" s="1233">
        <f>IF(J2="","",MID(J2,1,2)*1)</f>
        <v>1</v>
      </c>
      <c r="K3" s="1233">
        <f>IF(K2="","",MID(K2,1,2)*1)</f>
        <v>2</v>
      </c>
      <c r="L3" s="1233" t="str">
        <f>IF(L2="","",MID(L2,1,2)*1)</f>
        <v/>
      </c>
      <c r="M3" s="1233" t="str">
        <f t="shared" ref="M3:Z3" si="0">IF(M2="","",MID(M2,1,2)*1)</f>
        <v/>
      </c>
      <c r="N3" s="1233" t="str">
        <f t="shared" si="0"/>
        <v/>
      </c>
      <c r="O3" s="1233" t="str">
        <f t="shared" si="0"/>
        <v/>
      </c>
      <c r="P3" s="1233" t="str">
        <f t="shared" si="0"/>
        <v/>
      </c>
      <c r="Q3" s="1233" t="str">
        <f t="shared" si="0"/>
        <v/>
      </c>
      <c r="R3" s="1233" t="str">
        <f t="shared" si="0"/>
        <v/>
      </c>
      <c r="S3" s="1233" t="str">
        <f t="shared" si="0"/>
        <v/>
      </c>
      <c r="T3" s="1233" t="str">
        <f t="shared" si="0"/>
        <v/>
      </c>
      <c r="U3" s="1233" t="str">
        <f t="shared" si="0"/>
        <v/>
      </c>
      <c r="V3" s="1233" t="str">
        <f t="shared" si="0"/>
        <v/>
      </c>
      <c r="W3" s="1233" t="str">
        <f t="shared" si="0"/>
        <v/>
      </c>
      <c r="X3" s="1233" t="str">
        <f t="shared" si="0"/>
        <v/>
      </c>
      <c r="Y3" s="1233" t="str">
        <f t="shared" si="0"/>
        <v/>
      </c>
      <c r="Z3" s="1233" t="str">
        <f t="shared" si="0"/>
        <v/>
      </c>
      <c r="AD3" s="1236" t="s">
        <v>3219</v>
      </c>
    </row>
    <row r="4" spans="2:53" s="1120" customFormat="1" ht="21.95" hidden="1" customHeight="1">
      <c r="B4" s="1237"/>
      <c r="C4" s="204"/>
      <c r="D4" s="204"/>
      <c r="E4" s="204"/>
      <c r="F4" s="204"/>
      <c r="H4" s="757"/>
      <c r="J4" s="757"/>
      <c r="K4" s="757"/>
      <c r="L4" s="757"/>
      <c r="M4" s="757"/>
      <c r="N4" s="757"/>
      <c r="O4" s="757"/>
      <c r="P4" s="757"/>
      <c r="Q4" s="757"/>
      <c r="R4" s="757"/>
      <c r="S4" s="757"/>
      <c r="T4" s="757"/>
      <c r="U4" s="757"/>
      <c r="V4" s="757"/>
      <c r="W4" s="757"/>
      <c r="X4" s="757"/>
      <c r="Y4" s="757"/>
      <c r="Z4" s="757"/>
      <c r="AD4" s="1238"/>
      <c r="AE4" s="1238"/>
      <c r="AV4" s="1237"/>
      <c r="AW4" s="607"/>
      <c r="AX4" s="607"/>
      <c r="AY4" s="607"/>
      <c r="AZ4" s="1209"/>
      <c r="BA4" s="1209"/>
    </row>
    <row r="5" spans="2:53" ht="21.95" hidden="1" customHeight="1">
      <c r="J5" s="401"/>
      <c r="K5" s="757" t="str">
        <f t="shared" ref="K5:K13" si="1">IF(J5="","",MID(J5,1,2)*1)</f>
        <v/>
      </c>
      <c r="AD5" s="1239"/>
      <c r="AE5" s="1239"/>
    </row>
    <row r="6" spans="2:53" ht="21.95" hidden="1" customHeight="1">
      <c r="J6" s="401"/>
      <c r="K6" s="757" t="str">
        <f t="shared" si="1"/>
        <v/>
      </c>
      <c r="AD6" s="1239"/>
      <c r="AE6" s="1239"/>
    </row>
    <row r="7" spans="2:53" ht="21.95" hidden="1" customHeight="1">
      <c r="J7" s="401"/>
      <c r="K7" s="757" t="str">
        <f t="shared" si="1"/>
        <v/>
      </c>
      <c r="AD7" s="1239"/>
      <c r="AE7" s="1239"/>
    </row>
    <row r="8" spans="2:53" ht="21.95" hidden="1" customHeight="1">
      <c r="J8" s="401"/>
      <c r="K8" s="757" t="str">
        <f t="shared" si="1"/>
        <v/>
      </c>
      <c r="AD8" s="1239"/>
      <c r="AE8" s="1239"/>
    </row>
    <row r="9" spans="2:53" ht="21.95" hidden="1" customHeight="1">
      <c r="J9" s="401"/>
      <c r="K9" s="757" t="str">
        <f t="shared" si="1"/>
        <v/>
      </c>
      <c r="AD9" s="1239"/>
      <c r="AE9" s="1239"/>
    </row>
    <row r="10" spans="2:53" ht="21.95" hidden="1" customHeight="1">
      <c r="J10" s="401"/>
      <c r="K10" s="757" t="str">
        <f t="shared" si="1"/>
        <v/>
      </c>
      <c r="AD10" s="1239"/>
      <c r="AE10" s="1239"/>
    </row>
    <row r="11" spans="2:53" ht="21.95" hidden="1" customHeight="1">
      <c r="J11" s="401"/>
      <c r="K11" s="757" t="str">
        <f t="shared" si="1"/>
        <v/>
      </c>
      <c r="AD11" s="1239"/>
      <c r="AE11" s="1239"/>
    </row>
    <row r="12" spans="2:53" ht="21.95" hidden="1" customHeight="1">
      <c r="J12" s="401"/>
      <c r="K12" s="757" t="str">
        <f t="shared" si="1"/>
        <v/>
      </c>
      <c r="AD12" s="1239"/>
      <c r="AE12" s="1239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1"/>
      <c r="K13" s="757" t="str">
        <f t="shared" si="1"/>
        <v/>
      </c>
      <c r="L13" s="158"/>
      <c r="M13" s="158"/>
      <c r="N13" s="158"/>
      <c r="O13" s="664"/>
      <c r="P13" s="663"/>
      <c r="Q13" s="880"/>
      <c r="R13" s="144"/>
      <c r="S13" s="144"/>
      <c r="T13" s="144"/>
      <c r="U13" s="144"/>
      <c r="V13" s="144"/>
      <c r="W13" s="144"/>
      <c r="X13" s="158"/>
      <c r="Y13" s="256"/>
      <c r="Z13" s="354"/>
      <c r="AA13" s="144"/>
      <c r="AB13" s="144"/>
      <c r="AC13" s="144"/>
      <c r="AD13" s="1240"/>
      <c r="AE13" s="1240"/>
      <c r="AF13" s="1241"/>
      <c r="AG13" s="1241"/>
      <c r="AH13" s="1241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44"/>
      <c r="AV13"/>
      <c r="AW13" s="13"/>
      <c r="AX13" s="13"/>
      <c r="AY13" s="13"/>
      <c r="AZ13" s="1209"/>
      <c r="BA13" s="1209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664"/>
      <c r="P14" s="663"/>
      <c r="Q14" s="880"/>
      <c r="R14" s="144"/>
      <c r="S14" s="144"/>
      <c r="T14" s="144"/>
      <c r="U14" s="144"/>
      <c r="V14" s="144"/>
      <c r="W14" s="144"/>
      <c r="X14" s="158"/>
      <c r="Y14" s="256"/>
      <c r="Z14" s="354"/>
      <c r="AA14" s="144"/>
      <c r="AB14" s="144"/>
      <c r="AC14" s="144"/>
      <c r="AD14" s="1240"/>
      <c r="AE14" s="1240"/>
      <c r="AF14" s="1241"/>
      <c r="AG14" s="1241"/>
      <c r="AH14" s="1241"/>
      <c r="AI14" s="1241"/>
      <c r="AJ14" s="1241"/>
      <c r="AK14" s="1241"/>
      <c r="AL14" s="1241"/>
      <c r="AM14" s="1241"/>
      <c r="AN14" s="1241"/>
      <c r="AO14" s="1241"/>
      <c r="AP14" s="1241"/>
      <c r="AQ14" s="1241"/>
      <c r="AR14" s="1241"/>
      <c r="AS14" s="1241"/>
      <c r="AT14" s="1241"/>
      <c r="AU14" s="144"/>
      <c r="AV14"/>
      <c r="AW14" s="13"/>
      <c r="AX14" s="13"/>
      <c r="AY14" s="13"/>
      <c r="AZ14" s="1209"/>
      <c r="BA14" s="1209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664"/>
      <c r="P15" s="663"/>
      <c r="Q15" s="880"/>
      <c r="R15" s="144"/>
      <c r="S15" s="144"/>
      <c r="T15" s="144"/>
      <c r="U15" s="144"/>
      <c r="V15" s="144"/>
      <c r="W15" s="144"/>
      <c r="X15" s="158"/>
      <c r="Y15" s="256"/>
      <c r="Z15" s="354"/>
      <c r="AA15" s="144"/>
      <c r="AB15" s="144"/>
      <c r="AC15" s="144"/>
      <c r="AD15" s="1240"/>
      <c r="AE15" s="1240"/>
      <c r="AF15" s="1241"/>
      <c r="AG15" s="1241"/>
      <c r="AH15" s="1241"/>
      <c r="AI15" s="1241"/>
      <c r="AJ15" s="1241"/>
      <c r="AK15" s="1241"/>
      <c r="AL15" s="1241"/>
      <c r="AM15" s="1241"/>
      <c r="AN15" s="1241"/>
      <c r="AO15" s="1241"/>
      <c r="AP15" s="1241"/>
      <c r="AQ15" s="1241"/>
      <c r="AR15" s="1241"/>
      <c r="AS15" s="1241"/>
      <c r="AT15" s="1241"/>
      <c r="AU15" s="144"/>
      <c r="AV15"/>
      <c r="AW15" s="13"/>
      <c r="AX15" s="13"/>
      <c r="AY15" s="13"/>
      <c r="AZ15" s="1209"/>
      <c r="BA15" s="1209"/>
    </row>
    <row r="16" spans="2:53" s="145" customFormat="1" ht="46.5" hidden="1" customHeight="1">
      <c r="B16"/>
      <c r="C16" s="1242"/>
      <c r="D16" s="877"/>
      <c r="E16" s="877"/>
      <c r="F16" s="878"/>
      <c r="H16" s="401"/>
      <c r="I16" s="878"/>
      <c r="J16" s="878"/>
      <c r="K16" s="878"/>
      <c r="L16" s="878"/>
      <c r="M16" s="878"/>
      <c r="N16" s="878"/>
      <c r="O16" s="882"/>
      <c r="P16" s="882"/>
      <c r="Q16" s="881"/>
      <c r="R16" s="877"/>
      <c r="S16" s="877"/>
      <c r="T16" s="877"/>
      <c r="U16" s="877"/>
      <c r="V16" s="877"/>
      <c r="W16" s="877"/>
      <c r="X16" s="878"/>
      <c r="Y16" s="256"/>
      <c r="Z16" s="354"/>
      <c r="AA16" s="144"/>
      <c r="AB16" s="144"/>
      <c r="AC16" s="144"/>
      <c r="AD16" s="1243"/>
      <c r="AE16" s="1243"/>
      <c r="AF16" s="1244"/>
      <c r="AG16" s="1244"/>
      <c r="AH16" s="1244"/>
      <c r="AI16" s="1244"/>
      <c r="AJ16" s="1244"/>
      <c r="AK16" s="1244"/>
      <c r="AL16" s="1244"/>
      <c r="AM16" s="1244"/>
      <c r="AN16" s="1244"/>
      <c r="AO16" s="1244"/>
      <c r="AP16" s="1244"/>
      <c r="AQ16" s="1244"/>
      <c r="AR16" s="1244"/>
      <c r="AS16" s="1244"/>
      <c r="AT16" s="1244"/>
      <c r="AU16" s="144"/>
      <c r="AV16"/>
      <c r="AW16" s="204"/>
      <c r="AX16" s="13"/>
      <c r="AY16" s="13"/>
      <c r="AZ16" s="1209"/>
      <c r="BA16" s="1209"/>
    </row>
    <row r="17" spans="2:59" s="140" customFormat="1" ht="26.25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45"/>
      <c r="AE17" s="1245"/>
      <c r="AF17" s="126">
        <v>30</v>
      </c>
      <c r="AG17" s="126">
        <v>31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209"/>
      <c r="BA17" s="1209"/>
    </row>
    <row r="18" spans="2:59" s="145" customFormat="1" ht="24.95" customHeight="1">
      <c r="B18"/>
      <c r="C18" s="1200" t="s">
        <v>47</v>
      </c>
      <c r="D18" s="1200" t="s">
        <v>2785</v>
      </c>
      <c r="E18" s="1200" t="s">
        <v>2788</v>
      </c>
      <c r="F18" s="1200" t="s">
        <v>2090</v>
      </c>
      <c r="G18" s="1200" t="s">
        <v>2298</v>
      </c>
      <c r="H18" s="1200" t="s">
        <v>61</v>
      </c>
      <c r="I18" s="1200" t="s">
        <v>2950</v>
      </c>
      <c r="J18" s="1200" t="s">
        <v>1646</v>
      </c>
      <c r="K18" s="1200" t="s">
        <v>1647</v>
      </c>
      <c r="L18" s="1200" t="s">
        <v>1651</v>
      </c>
      <c r="M18" s="1200" t="s">
        <v>83</v>
      </c>
      <c r="N18" s="1200" t="s">
        <v>1671</v>
      </c>
      <c r="O18" s="1200" t="s">
        <v>63</v>
      </c>
      <c r="P18" s="1200" t="s">
        <v>280</v>
      </c>
      <c r="Q18" s="1200" t="s">
        <v>267</v>
      </c>
      <c r="R18" s="1200" t="s">
        <v>306</v>
      </c>
      <c r="S18" s="1200" t="s">
        <v>2783</v>
      </c>
      <c r="T18" s="1200" t="s">
        <v>2787</v>
      </c>
      <c r="U18" s="1200" t="s">
        <v>2749</v>
      </c>
      <c r="V18" s="1200" t="s">
        <v>2781</v>
      </c>
      <c r="W18" s="1200" t="s">
        <v>278</v>
      </c>
      <c r="X18" s="1200" t="s">
        <v>62</v>
      </c>
      <c r="Y18" s="1200" t="s">
        <v>3203</v>
      </c>
      <c r="Z18" s="1200" t="s">
        <v>3204</v>
      </c>
      <c r="AA18" s="1200" t="s">
        <v>3208</v>
      </c>
      <c r="AB18" s="1200" t="s">
        <v>3222</v>
      </c>
      <c r="AC18" s="1200" t="s">
        <v>3214</v>
      </c>
      <c r="AD18" s="1213" t="str">
        <f t="shared" ref="AD18:AT18" si="2">IF(J2="","","តម្លៃ"&amp;MID(J2,4,100))</f>
        <v>តម្លៃលក់ដុំ ទូទៅ</v>
      </c>
      <c r="AE18" s="1213" t="str">
        <f t="shared" si="2"/>
        <v>តម្លៃលក់រាយ ទូទៅ</v>
      </c>
      <c r="AF18" s="1201" t="str">
        <f t="shared" si="2"/>
        <v/>
      </c>
      <c r="AG18" s="1201" t="str">
        <f t="shared" si="2"/>
        <v/>
      </c>
      <c r="AH18" s="1201" t="str">
        <f t="shared" si="2"/>
        <v/>
      </c>
      <c r="AI18" s="1201" t="str">
        <f t="shared" si="2"/>
        <v/>
      </c>
      <c r="AJ18" s="1201" t="str">
        <f t="shared" si="2"/>
        <v/>
      </c>
      <c r="AK18" s="1201" t="str">
        <f t="shared" si="2"/>
        <v/>
      </c>
      <c r="AL18" s="1201" t="str">
        <f t="shared" si="2"/>
        <v/>
      </c>
      <c r="AM18" s="1201" t="str">
        <f t="shared" si="2"/>
        <v/>
      </c>
      <c r="AN18" s="1201" t="str">
        <f t="shared" si="2"/>
        <v/>
      </c>
      <c r="AO18" s="1201" t="str">
        <f t="shared" si="2"/>
        <v/>
      </c>
      <c r="AP18" s="1201" t="str">
        <f t="shared" si="2"/>
        <v/>
      </c>
      <c r="AQ18" s="1201" t="str">
        <f t="shared" si="2"/>
        <v/>
      </c>
      <c r="AR18" s="1201" t="str">
        <f t="shared" si="2"/>
        <v/>
      </c>
      <c r="AS18" s="1201" t="str">
        <f t="shared" si="2"/>
        <v/>
      </c>
      <c r="AT18" s="1201" t="str">
        <f t="shared" si="2"/>
        <v/>
      </c>
      <c r="AU18" s="1200" t="s">
        <v>1917</v>
      </c>
      <c r="AV18" s="1200" t="s">
        <v>3215</v>
      </c>
      <c r="AW18" s="1200" t="s">
        <v>3216</v>
      </c>
      <c r="AX18" s="1200" t="s">
        <v>3217</v>
      </c>
      <c r="AY18" s="1200" t="s">
        <v>3218</v>
      </c>
    </row>
    <row r="19" spans="2:59" s="613" customFormat="1" ht="31.5">
      <c r="C19" s="1073" t="s">
        <v>10</v>
      </c>
      <c r="D19" s="1073" t="s">
        <v>2021</v>
      </c>
      <c r="E19" s="1073" t="s">
        <v>2784</v>
      </c>
      <c r="F19" s="1073" t="s">
        <v>439</v>
      </c>
      <c r="G19" s="1073" t="s">
        <v>111</v>
      </c>
      <c r="H19" s="1073" t="s">
        <v>75</v>
      </c>
      <c r="I19" s="1073" t="s">
        <v>2949</v>
      </c>
      <c r="J19" s="1073" t="s">
        <v>1648</v>
      </c>
      <c r="K19" s="1073" t="s">
        <v>1649</v>
      </c>
      <c r="L19" s="1073" t="s">
        <v>1650</v>
      </c>
      <c r="M19" s="1073" t="s">
        <v>86</v>
      </c>
      <c r="N19" s="1073" t="s">
        <v>440</v>
      </c>
      <c r="O19" s="1073" t="s">
        <v>77</v>
      </c>
      <c r="P19" s="1073" t="s">
        <v>29</v>
      </c>
      <c r="Q19" s="1073" t="s">
        <v>2779</v>
      </c>
      <c r="R19" s="1073" t="s">
        <v>1905</v>
      </c>
      <c r="S19" s="1073" t="s">
        <v>2782</v>
      </c>
      <c r="T19" s="1073" t="s">
        <v>2747</v>
      </c>
      <c r="U19" s="1073" t="s">
        <v>2748</v>
      </c>
      <c r="V19" s="1073" t="s">
        <v>2780</v>
      </c>
      <c r="W19" s="1073" t="s">
        <v>273</v>
      </c>
      <c r="X19" s="1073" t="s">
        <v>14</v>
      </c>
      <c r="Y19" s="1073" t="s">
        <v>3205</v>
      </c>
      <c r="Z19" s="1073" t="s">
        <v>3206</v>
      </c>
      <c r="AA19" s="1073" t="s">
        <v>3207</v>
      </c>
      <c r="AB19" s="1073" t="s">
        <v>2116</v>
      </c>
      <c r="AC19" s="1073" t="s">
        <v>3213</v>
      </c>
      <c r="AD19" s="1073">
        <f t="shared" ref="AD19:AT19" si="3">IF(J2="","",MID(J2,1,2)*1)</f>
        <v>1</v>
      </c>
      <c r="AE19" s="1073">
        <f t="shared" si="3"/>
        <v>2</v>
      </c>
      <c r="AF19" s="1073" t="s">
        <v>3225</v>
      </c>
      <c r="AG19" s="1073" t="str">
        <f t="shared" si="3"/>
        <v/>
      </c>
      <c r="AH19" s="1073" t="str">
        <f t="shared" si="3"/>
        <v/>
      </c>
      <c r="AI19" s="1073" t="str">
        <f t="shared" si="3"/>
        <v/>
      </c>
      <c r="AJ19" s="1073" t="str">
        <f t="shared" si="3"/>
        <v/>
      </c>
      <c r="AK19" s="1073" t="str">
        <f t="shared" si="3"/>
        <v/>
      </c>
      <c r="AL19" s="1073" t="str">
        <f t="shared" si="3"/>
        <v/>
      </c>
      <c r="AM19" s="1073" t="str">
        <f t="shared" si="3"/>
        <v/>
      </c>
      <c r="AN19" s="1073" t="str">
        <f t="shared" si="3"/>
        <v/>
      </c>
      <c r="AO19" s="1073" t="str">
        <f t="shared" si="3"/>
        <v/>
      </c>
      <c r="AP19" s="1073" t="str">
        <f t="shared" si="3"/>
        <v/>
      </c>
      <c r="AQ19" s="1073" t="str">
        <f t="shared" si="3"/>
        <v/>
      </c>
      <c r="AR19" s="1073" t="str">
        <f t="shared" si="3"/>
        <v/>
      </c>
      <c r="AS19" s="1073" t="str">
        <f t="shared" si="3"/>
        <v/>
      </c>
      <c r="AT19" s="1073" t="str">
        <f t="shared" si="3"/>
        <v/>
      </c>
      <c r="AU19" s="1073" t="s">
        <v>2103</v>
      </c>
      <c r="AV19" s="1073" t="s">
        <v>3209</v>
      </c>
      <c r="AW19" s="1073" t="s">
        <v>3210</v>
      </c>
      <c r="AX19" s="1073" t="s">
        <v>3211</v>
      </c>
      <c r="AY19" s="1073" t="s">
        <v>3212</v>
      </c>
      <c r="AZ19" s="1210" t="s">
        <v>3226</v>
      </c>
      <c r="BA19" s="1211" t="s">
        <v>3227</v>
      </c>
    </row>
    <row r="20" spans="2:59" ht="24.95" customHeight="1">
      <c r="C20" s="843">
        <v>1</v>
      </c>
      <c r="D20" s="843"/>
      <c r="E20" s="843"/>
      <c r="F20" s="1116" t="s">
        <v>2708</v>
      </c>
      <c r="G20" s="1117" t="s">
        <v>2708</v>
      </c>
      <c r="H20" s="868" t="s">
        <v>2978</v>
      </c>
      <c r="I20" s="1118" t="s">
        <v>2978</v>
      </c>
      <c r="J20" s="1138" t="s">
        <v>2953</v>
      </c>
      <c r="K20" s="1138" t="s">
        <v>2972</v>
      </c>
      <c r="L20" s="870" t="s">
        <v>2308</v>
      </c>
      <c r="M20" s="868" t="s">
        <v>2309</v>
      </c>
      <c r="N20" s="1118"/>
      <c r="O20" s="1119">
        <v>27.34</v>
      </c>
      <c r="P20" s="884">
        <v>28.5</v>
      </c>
      <c r="Q20" s="885"/>
      <c r="R20" s="843">
        <v>1</v>
      </c>
      <c r="S20" s="843">
        <v>0</v>
      </c>
      <c r="T20" s="843">
        <v>1</v>
      </c>
      <c r="U20" s="843">
        <v>0</v>
      </c>
      <c r="V20" s="843">
        <v>0</v>
      </c>
      <c r="W20" s="843">
        <v>1</v>
      </c>
      <c r="X20" s="870" t="s">
        <v>2939</v>
      </c>
      <c r="Y20" s="843" t="str">
        <f>IF(OR(ISNA(MATCH(MID(X20,1,3)*1,UomConversion!$D$8:$D$500,0)),H20=""),"",IF(AV20="","",AV20))</f>
        <v/>
      </c>
      <c r="Z20" s="843" t="str">
        <f>IF(AND(AU20&gt;0,COUNTIFS(UomConversion!$D$8:$D$500,MID(X20,1,3)*1,UomConversion!$J$8:$J$500,1)&gt;1),TEXT(AU20,"000")&amp;"."&amp;VLOOKUP(AU20,uom_list,5,FALSE),"")</f>
        <v/>
      </c>
      <c r="AA20" s="843">
        <f t="shared" ref="AA20:AA83" si="4">COUNT(AW20:AY20)</f>
        <v>1</v>
      </c>
      <c r="AB20" s="843" t="str">
        <f>_xlfn.TEXTJOIN(",",TRUE,AW20:AY20)</f>
        <v>2</v>
      </c>
      <c r="AC20" s="843">
        <f t="shared" ref="AC20" si="5">import_pro_number_of_price_type</f>
        <v>2</v>
      </c>
      <c r="AD20" s="1214">
        <v>28</v>
      </c>
      <c r="AE20" s="1214">
        <v>28.5</v>
      </c>
      <c r="AF20" s="1215"/>
      <c r="AG20" s="1215"/>
      <c r="AH20" s="1215"/>
      <c r="AI20" s="1215"/>
      <c r="AJ20" s="1216"/>
      <c r="AK20" s="1216"/>
      <c r="AL20" s="1216"/>
      <c r="AM20" s="1216"/>
      <c r="AN20" s="1216"/>
      <c r="AO20" s="1216"/>
      <c r="AP20" s="1216"/>
      <c r="AQ20" s="1216"/>
      <c r="AR20" s="1216"/>
      <c r="AS20" s="1216"/>
      <c r="AT20" s="1216"/>
      <c r="AU20" s="1120" cm="1">
        <f t="array" ref="AU20">IF(H20="","",Slookup(MID(X20,1,3)*1,UomConversion!$D$8:$J$500,2,UomConversion!$I$8:$I$500,1,UomConversion!$J$8:$J$500,1))</f>
        <v>0</v>
      </c>
      <c r="AV20" s="401" t="str">
        <f t="shared" ref="AV20:AV83" si="6">IF(OR(ISNA(VLOOKUP(MID(X20,1,3)*1,uom_converion_list,2,FALSE)),H20=""),"",TEXT(VLOOKUP(MID(X20,1,3)*1,uom_converion_list,2,FALSE),"000")&amp;"."&amp;VLOOKUP(VLOOKUP(MID(X20,1,3)*1,uom_converion_list,2,FALSE),uom_list,5,FALSE))</f>
        <v/>
      </c>
      <c r="AW20" s="757">
        <f t="shared" ref="AW20:AY51" si="7">IF(X20="","",MID(X20,1,3)*1)</f>
        <v>2</v>
      </c>
      <c r="AX20" s="757" t="str">
        <f t="shared" si="7"/>
        <v/>
      </c>
      <c r="AY20" s="757" t="str">
        <f t="shared" si="7"/>
        <v/>
      </c>
      <c r="AZ20" s="1209" cm="1">
        <f t="array" ref="AZ20">IF(Y20="",1,Slookup(MID(X20,1,3)*1,UomConversion!$D$8:$J$500,5,UomConversion!$E$8:$E$500,MID(Y20,1,3)*1,UomConversion!$I$8:$I$500,1))</f>
        <v>1</v>
      </c>
      <c r="BA20" s="1209" cm="1">
        <f t="array" ref="BA20">IF(Z20="",1,Slookup(MID(X20,1,3)*1,UomConversion!$D$8:$J$500,5,UomConversion!$E$8:$E$500,MID(Z20,1,3)*1,UomConversion!$I$8:$I$500,1))</f>
        <v>1</v>
      </c>
      <c r="BB20" s="1217">
        <f>IF(AA20=1,AE20,IF(AA20=2,AE20*R20,IF(AA20=3,AE20*BA20,0)))</f>
        <v>28.5</v>
      </c>
      <c r="BC20" s="1217">
        <f>P20-O20</f>
        <v>1.1600000000000001</v>
      </c>
      <c r="BD20" s="1217"/>
    </row>
    <row r="21" spans="2:59" ht="24.95" customHeight="1">
      <c r="C21" s="843">
        <v>2</v>
      </c>
      <c r="D21" s="843"/>
      <c r="E21" s="843"/>
      <c r="F21" s="1116" t="s">
        <v>2709</v>
      </c>
      <c r="G21" s="1117" t="s">
        <v>2709</v>
      </c>
      <c r="H21" s="868" t="s">
        <v>3181</v>
      </c>
      <c r="I21" s="1118" t="s">
        <v>3181</v>
      </c>
      <c r="J21" s="1138" t="s">
        <v>2953</v>
      </c>
      <c r="K21" s="1138" t="s">
        <v>2972</v>
      </c>
      <c r="L21" s="870" t="s">
        <v>2311</v>
      </c>
      <c r="M21" s="868" t="s">
        <v>2309</v>
      </c>
      <c r="N21" s="1118"/>
      <c r="O21" s="1119">
        <v>11.32</v>
      </c>
      <c r="P21" s="884">
        <v>12</v>
      </c>
      <c r="Q21" s="885"/>
      <c r="R21" s="843">
        <v>1</v>
      </c>
      <c r="S21" s="843">
        <v>0</v>
      </c>
      <c r="T21" s="843">
        <v>1</v>
      </c>
      <c r="U21" s="843">
        <v>0</v>
      </c>
      <c r="V21" s="843">
        <v>0</v>
      </c>
      <c r="W21" s="843">
        <v>1</v>
      </c>
      <c r="X21" s="870" t="s">
        <v>2939</v>
      </c>
      <c r="Y21" s="843" t="str">
        <f>IF(OR(ISNA(MATCH(MID(X21,1,3)*1,UomConversion!$D$8:$D$500,0)),H21=""),"",IF(AV21="","",AV21))</f>
        <v/>
      </c>
      <c r="Z21" s="843" t="str">
        <f>IF(AND(AU21&gt;0,COUNTIFS(UomConversion!$D$8:$D$500,MID(X21,1,3)*1,UomConversion!$J$8:$J$500,1)&gt;1),TEXT(AU21,"000")&amp;"."&amp;VLOOKUP(AU21,uom_list,5,FALSE),"")</f>
        <v/>
      </c>
      <c r="AA21" s="843">
        <f t="shared" si="4"/>
        <v>1</v>
      </c>
      <c r="AB21" s="843" t="str">
        <f t="shared" ref="AB21:AB84" si="8">_xlfn.TEXTJOIN(",",TRUE,AW21:AY21)</f>
        <v>2</v>
      </c>
      <c r="AC21" s="843">
        <f t="shared" ref="AC21" si="9">import_pro_number_of_price_type</f>
        <v>2</v>
      </c>
      <c r="AD21" s="1214">
        <v>11.75</v>
      </c>
      <c r="AE21" s="1214">
        <v>12</v>
      </c>
      <c r="AF21" s="1215"/>
      <c r="AG21" s="1215"/>
      <c r="AH21" s="1215"/>
      <c r="AI21" s="1215"/>
      <c r="AJ21" s="1216"/>
      <c r="AK21" s="1216"/>
      <c r="AL21" s="1216"/>
      <c r="AM21" s="1216"/>
      <c r="AN21" s="1216"/>
      <c r="AO21" s="1216"/>
      <c r="AP21" s="1216"/>
      <c r="AQ21" s="1216"/>
      <c r="AR21" s="1216"/>
      <c r="AS21" s="1216"/>
      <c r="AT21" s="1216"/>
      <c r="AU21" s="1120" cm="1">
        <f t="array" ref="AU21">IF(H21="","",Slookup(MID(X21,1,3)*1,UomConversion!$D$8:$J$500,2,UomConversion!$I$8:$I$500,1,UomConversion!$J$8:$J$500,1))</f>
        <v>0</v>
      </c>
      <c r="AV21" s="401" t="str">
        <f t="shared" si="6"/>
        <v/>
      </c>
      <c r="AW21" s="757">
        <f t="shared" si="7"/>
        <v>2</v>
      </c>
      <c r="AX21" s="757" t="str">
        <f t="shared" si="7"/>
        <v/>
      </c>
      <c r="AY21" s="757" t="str">
        <f t="shared" si="7"/>
        <v/>
      </c>
      <c r="AZ21" s="1209" cm="1">
        <f t="array" ref="AZ21">IF(Y21="",1,Slookup(MID(X21,1,3)*1,UomConversion!$D$8:$J$500,5,UomConversion!$E$8:$E$500,MID(Y21,1,3)*1,UomConversion!$I$8:$I$500,1))</f>
        <v>1</v>
      </c>
      <c r="BA21" s="1209" cm="1">
        <f t="array" ref="BA21">IF(Z21="",1,Slookup(MID(X21,1,3)*1,UomConversion!$D$8:$J$500,5,UomConversion!$E$8:$E$500,MID(Z21,1,3)*1,UomConversion!$I$8:$I$500,1))</f>
        <v>1</v>
      </c>
      <c r="BB21" s="1217">
        <f t="shared" ref="BB21:BB84" si="10">IF(AA21=1,AE21,IF(AA21=2,AE21*R21,IF(AA21=3,AE21*BA21,0)))</f>
        <v>12</v>
      </c>
      <c r="BC21" s="1217">
        <f t="shared" ref="BC21:BC84" si="11">P21-O21</f>
        <v>0.67999999999999972</v>
      </c>
      <c r="BD21" s="1217"/>
      <c r="BE21" s="629"/>
    </row>
    <row r="22" spans="2:59" ht="24.95" customHeight="1">
      <c r="C22" s="843">
        <v>3</v>
      </c>
      <c r="D22" s="843"/>
      <c r="E22" s="843"/>
      <c r="F22" s="1116" t="s">
        <v>2710</v>
      </c>
      <c r="G22" s="1117" t="s">
        <v>2710</v>
      </c>
      <c r="H22" s="868" t="s">
        <v>2979</v>
      </c>
      <c r="I22" s="1118" t="s">
        <v>2979</v>
      </c>
      <c r="J22" s="1138" t="s">
        <v>2953</v>
      </c>
      <c r="K22" s="1138" t="s">
        <v>2972</v>
      </c>
      <c r="L22" s="870" t="s">
        <v>2313</v>
      </c>
      <c r="M22" s="868" t="s">
        <v>2309</v>
      </c>
      <c r="N22" s="1118"/>
      <c r="O22" s="1119">
        <v>8.8000000000000007</v>
      </c>
      <c r="P22" s="884">
        <v>9.5</v>
      </c>
      <c r="Q22" s="885"/>
      <c r="R22" s="843">
        <v>1</v>
      </c>
      <c r="S22" s="843">
        <v>0</v>
      </c>
      <c r="T22" s="843">
        <v>1</v>
      </c>
      <c r="U22" s="843">
        <v>0</v>
      </c>
      <c r="V22" s="843">
        <v>0</v>
      </c>
      <c r="W22" s="843">
        <v>1</v>
      </c>
      <c r="X22" s="870" t="s">
        <v>2939</v>
      </c>
      <c r="Y22" s="843" t="str">
        <f>IF(OR(ISNA(MATCH(MID(X22,1,3)*1,UomConversion!$D$8:$D$500,0)),H22=""),"",IF(AV22="","",AV22))</f>
        <v/>
      </c>
      <c r="Z22" s="843" t="str">
        <f>IF(AND(AU22&gt;0,COUNTIFS(UomConversion!$D$8:$D$500,MID(X22,1,3)*1,UomConversion!$J$8:$J$500,1)&gt;1),TEXT(AU22,"000")&amp;"."&amp;VLOOKUP(AU22,uom_list,5,FALSE),"")</f>
        <v/>
      </c>
      <c r="AA22" s="843">
        <f t="shared" si="4"/>
        <v>1</v>
      </c>
      <c r="AB22" s="843" t="str">
        <f t="shared" si="8"/>
        <v>2</v>
      </c>
      <c r="AC22" s="843">
        <f t="shared" ref="AC22" si="12">import_pro_number_of_price_type</f>
        <v>2</v>
      </c>
      <c r="AD22" s="1214">
        <v>9</v>
      </c>
      <c r="AE22" s="1214">
        <v>9.5</v>
      </c>
      <c r="AF22" s="1215"/>
      <c r="AG22" s="1215"/>
      <c r="AH22" s="1215"/>
      <c r="AI22" s="1215"/>
      <c r="AJ22" s="1216"/>
      <c r="AK22" s="1216"/>
      <c r="AL22" s="1216"/>
      <c r="AM22" s="1216"/>
      <c r="AN22" s="1216"/>
      <c r="AO22" s="1216"/>
      <c r="AP22" s="1216"/>
      <c r="AQ22" s="1216"/>
      <c r="AR22" s="1216"/>
      <c r="AS22" s="1216"/>
      <c r="AT22" s="1216"/>
      <c r="AU22" s="1120" cm="1">
        <f t="array" ref="AU22">IF(H22="","",Slookup(MID(X22,1,3)*1,UomConversion!$D$8:$J$500,2,UomConversion!$I$8:$I$500,1,UomConversion!$J$8:$J$500,1))</f>
        <v>0</v>
      </c>
      <c r="AV22" s="401" t="str">
        <f t="shared" si="6"/>
        <v/>
      </c>
      <c r="AW22" s="757">
        <f t="shared" si="7"/>
        <v>2</v>
      </c>
      <c r="AX22" s="757" t="str">
        <f t="shared" si="7"/>
        <v/>
      </c>
      <c r="AY22" s="757" t="str">
        <f t="shared" si="7"/>
        <v/>
      </c>
      <c r="AZ22" s="1209" cm="1">
        <f t="array" ref="AZ22">IF(Y22="",1,Slookup(MID(X22,1,3)*1,UomConversion!$D$8:$J$500,5,UomConversion!$E$8:$E$500,MID(Y22,1,3)*1,UomConversion!$I$8:$I$500,1))</f>
        <v>1</v>
      </c>
      <c r="BA22" s="1209" cm="1">
        <f t="array" ref="BA22">IF(Z22="",1,Slookup(MID(X22,1,3)*1,UomConversion!$D$8:$J$500,5,UomConversion!$E$8:$E$500,MID(Z22,1,3)*1,UomConversion!$I$8:$I$500,1))</f>
        <v>1</v>
      </c>
      <c r="BB22" s="1217">
        <f t="shared" si="10"/>
        <v>9.5</v>
      </c>
      <c r="BC22" s="1217">
        <f t="shared" si="11"/>
        <v>0.69999999999999929</v>
      </c>
      <c r="BD22" s="1217"/>
      <c r="BE22" s="629"/>
    </row>
    <row r="23" spans="2:59" ht="24.95" customHeight="1">
      <c r="C23" s="843">
        <v>4</v>
      </c>
      <c r="D23" s="843"/>
      <c r="E23" s="843"/>
      <c r="F23" s="1116" t="s">
        <v>2711</v>
      </c>
      <c r="G23" s="1117" t="s">
        <v>2711</v>
      </c>
      <c r="H23" s="868" t="s">
        <v>2980</v>
      </c>
      <c r="I23" s="1118" t="s">
        <v>2980</v>
      </c>
      <c r="J23" s="1138" t="s">
        <v>2953</v>
      </c>
      <c r="K23" s="1138" t="s">
        <v>2972</v>
      </c>
      <c r="L23" s="870" t="s">
        <v>2315</v>
      </c>
      <c r="M23" s="868" t="s">
        <v>2309</v>
      </c>
      <c r="N23" s="1118"/>
      <c r="O23" s="1119">
        <v>5.8</v>
      </c>
      <c r="P23" s="884">
        <v>6.5</v>
      </c>
      <c r="Q23" s="885"/>
      <c r="R23" s="843">
        <v>1</v>
      </c>
      <c r="S23" s="843">
        <v>0</v>
      </c>
      <c r="T23" s="843">
        <v>1</v>
      </c>
      <c r="U23" s="843">
        <v>0</v>
      </c>
      <c r="V23" s="843">
        <v>0</v>
      </c>
      <c r="W23" s="843">
        <v>1</v>
      </c>
      <c r="X23" s="870" t="s">
        <v>2939</v>
      </c>
      <c r="Y23" s="843" t="str">
        <f>IF(OR(ISNA(MATCH(MID(X23,1,3)*1,UomConversion!$D$8:$D$500,0)),H23=""),"",IF(AV23="","",AV23))</f>
        <v/>
      </c>
      <c r="Z23" s="843" t="str">
        <f>IF(AND(AU23&gt;0,COUNTIFS(UomConversion!$D$8:$D$500,MID(X23,1,3)*1,UomConversion!$J$8:$J$500,1)&gt;1),TEXT(AU23,"000")&amp;"."&amp;VLOOKUP(AU23,uom_list,5,FALSE),"")</f>
        <v/>
      </c>
      <c r="AA23" s="843">
        <f t="shared" si="4"/>
        <v>1</v>
      </c>
      <c r="AB23" s="843" t="str">
        <f t="shared" si="8"/>
        <v>2</v>
      </c>
      <c r="AC23" s="843">
        <f t="shared" ref="AC23" si="13">import_pro_number_of_price_type</f>
        <v>2</v>
      </c>
      <c r="AD23" s="1214">
        <v>6</v>
      </c>
      <c r="AE23" s="1214">
        <v>6.5</v>
      </c>
      <c r="AF23" s="1215"/>
      <c r="AG23" s="1215"/>
      <c r="AH23" s="1215"/>
      <c r="AI23" s="1215"/>
      <c r="AJ23" s="1216"/>
      <c r="AK23" s="1216"/>
      <c r="AL23" s="1216"/>
      <c r="AM23" s="1216"/>
      <c r="AN23" s="1216"/>
      <c r="AO23" s="1216"/>
      <c r="AP23" s="1216"/>
      <c r="AQ23" s="1216"/>
      <c r="AR23" s="1216"/>
      <c r="AS23" s="1216"/>
      <c r="AT23" s="1216"/>
      <c r="AU23" s="1120" cm="1">
        <f t="array" ref="AU23">IF(H23="","",Slookup(MID(X23,1,3)*1,UomConversion!$D$8:$J$500,2,UomConversion!$I$8:$I$500,1,UomConversion!$J$8:$J$500,1))</f>
        <v>0</v>
      </c>
      <c r="AV23" s="401" t="str">
        <f t="shared" si="6"/>
        <v/>
      </c>
      <c r="AW23" s="757">
        <f t="shared" si="7"/>
        <v>2</v>
      </c>
      <c r="AX23" s="757" t="str">
        <f t="shared" si="7"/>
        <v/>
      </c>
      <c r="AY23" s="757" t="str">
        <f t="shared" si="7"/>
        <v/>
      </c>
      <c r="AZ23" s="1209" cm="1">
        <f t="array" ref="AZ23">IF(Y23="",1,Slookup(MID(X23,1,3)*1,UomConversion!$D$8:$J$500,5,UomConversion!$E$8:$E$500,MID(Y23,1,3)*1,UomConversion!$I$8:$I$500,1))</f>
        <v>1</v>
      </c>
      <c r="BA23" s="1209" cm="1">
        <f t="array" ref="BA23">IF(Z23="",1,Slookup(MID(X23,1,3)*1,UomConversion!$D$8:$J$500,5,UomConversion!$E$8:$E$500,MID(Z23,1,3)*1,UomConversion!$I$8:$I$500,1))</f>
        <v>1</v>
      </c>
      <c r="BB23" s="1217">
        <f t="shared" si="10"/>
        <v>6.5</v>
      </c>
      <c r="BC23" s="1217">
        <f t="shared" si="11"/>
        <v>0.70000000000000018</v>
      </c>
      <c r="BD23" s="1217"/>
      <c r="BE23" s="629"/>
    </row>
    <row r="24" spans="2:59" ht="24.95" customHeight="1">
      <c r="C24" s="843">
        <v>5</v>
      </c>
      <c r="D24" s="843"/>
      <c r="E24" s="843"/>
      <c r="F24" s="1116" t="s">
        <v>2712</v>
      </c>
      <c r="G24" s="1117" t="s">
        <v>2712</v>
      </c>
      <c r="H24" s="868" t="s">
        <v>2981</v>
      </c>
      <c r="I24" s="1118" t="s">
        <v>2981</v>
      </c>
      <c r="J24" s="1138" t="s">
        <v>2953</v>
      </c>
      <c r="K24" s="1138" t="s">
        <v>2972</v>
      </c>
      <c r="L24" s="870" t="s">
        <v>2317</v>
      </c>
      <c r="M24" s="868" t="s">
        <v>2309</v>
      </c>
      <c r="N24" s="1118"/>
      <c r="O24" s="1119">
        <v>3.74</v>
      </c>
      <c r="P24" s="884">
        <v>4.25</v>
      </c>
      <c r="Q24" s="885"/>
      <c r="R24" s="843">
        <v>1</v>
      </c>
      <c r="S24" s="843">
        <v>0</v>
      </c>
      <c r="T24" s="843">
        <v>1</v>
      </c>
      <c r="U24" s="843">
        <v>0</v>
      </c>
      <c r="V24" s="843">
        <v>0</v>
      </c>
      <c r="W24" s="843">
        <v>1</v>
      </c>
      <c r="X24" s="870" t="s">
        <v>2939</v>
      </c>
      <c r="Y24" s="843" t="str">
        <f>IF(OR(ISNA(MATCH(MID(X24,1,3)*1,UomConversion!$D$8:$D$500,0)),H24=""),"",IF(AV24="","",AV24))</f>
        <v/>
      </c>
      <c r="Z24" s="843" t="str">
        <f>IF(AND(AU24&gt;0,COUNTIFS(UomConversion!$D$8:$D$500,MID(X24,1,3)*1,UomConversion!$J$8:$J$500,1)&gt;1),TEXT(AU24,"000")&amp;"."&amp;VLOOKUP(AU24,uom_list,5,FALSE),"")</f>
        <v/>
      </c>
      <c r="AA24" s="843">
        <f t="shared" si="4"/>
        <v>1</v>
      </c>
      <c r="AB24" s="843" t="str">
        <f t="shared" si="8"/>
        <v>2</v>
      </c>
      <c r="AC24" s="843">
        <f t="shared" ref="AC24" si="14">import_pro_number_of_price_type</f>
        <v>2</v>
      </c>
      <c r="AD24" s="1214">
        <v>4</v>
      </c>
      <c r="AE24" s="1214">
        <v>4.25</v>
      </c>
      <c r="AF24" s="1215"/>
      <c r="AG24" s="1215"/>
      <c r="AH24" s="1215"/>
      <c r="AI24" s="1215"/>
      <c r="AJ24" s="1216"/>
      <c r="AK24" s="1216"/>
      <c r="AL24" s="1216"/>
      <c r="AM24" s="1216"/>
      <c r="AN24" s="1216"/>
      <c r="AO24" s="1216"/>
      <c r="AP24" s="1216"/>
      <c r="AQ24" s="1216"/>
      <c r="AR24" s="1216"/>
      <c r="AS24" s="1216"/>
      <c r="AT24" s="1216"/>
      <c r="AU24" s="1120" cm="1">
        <f t="array" ref="AU24">IF(H24="","",Slookup(MID(X24,1,3)*1,UomConversion!$D$8:$J$500,2,UomConversion!$I$8:$I$500,1,UomConversion!$J$8:$J$500,1))</f>
        <v>0</v>
      </c>
      <c r="AV24" s="401" t="str">
        <f t="shared" si="6"/>
        <v/>
      </c>
      <c r="AW24" s="757">
        <f t="shared" si="7"/>
        <v>2</v>
      </c>
      <c r="AX24" s="757" t="str">
        <f t="shared" si="7"/>
        <v/>
      </c>
      <c r="AY24" s="757" t="str">
        <f t="shared" si="7"/>
        <v/>
      </c>
      <c r="AZ24" s="1209" cm="1">
        <f t="array" ref="AZ24">IF(Y24="",1,Slookup(MID(X24,1,3)*1,UomConversion!$D$8:$J$500,5,UomConversion!$E$8:$E$500,MID(Y24,1,3)*1,UomConversion!$I$8:$I$500,1))</f>
        <v>1</v>
      </c>
      <c r="BA24" s="1209" cm="1">
        <f t="array" ref="BA24">IF(Z24="",1,Slookup(MID(X24,1,3)*1,UomConversion!$D$8:$J$500,5,UomConversion!$E$8:$E$500,MID(Z24,1,3)*1,UomConversion!$I$8:$I$500,1))</f>
        <v>1</v>
      </c>
      <c r="BB24" s="1217">
        <f t="shared" si="10"/>
        <v>4.25</v>
      </c>
      <c r="BC24" s="1217">
        <f t="shared" si="11"/>
        <v>0.50999999999999979</v>
      </c>
      <c r="BD24" s="1217"/>
      <c r="BE24" s="629"/>
    </row>
    <row r="25" spans="2:59" ht="24.95" customHeight="1">
      <c r="C25" s="843">
        <v>6</v>
      </c>
      <c r="D25" s="843"/>
      <c r="E25" s="843"/>
      <c r="F25" s="1116" t="s">
        <v>2713</v>
      </c>
      <c r="G25" s="1117" t="s">
        <v>2713</v>
      </c>
      <c r="H25" s="868" t="s">
        <v>2982</v>
      </c>
      <c r="I25" s="1118" t="s">
        <v>2982</v>
      </c>
      <c r="J25" s="1138" t="s">
        <v>2953</v>
      </c>
      <c r="K25" s="1138" t="s">
        <v>2972</v>
      </c>
      <c r="L25" s="870" t="s">
        <v>2319</v>
      </c>
      <c r="M25" s="868" t="s">
        <v>2309</v>
      </c>
      <c r="N25" s="1118"/>
      <c r="O25" s="1119">
        <v>2.89</v>
      </c>
      <c r="P25" s="884">
        <v>3.5</v>
      </c>
      <c r="Q25" s="885"/>
      <c r="R25" s="843">
        <v>1</v>
      </c>
      <c r="S25" s="843">
        <v>0</v>
      </c>
      <c r="T25" s="843">
        <v>1</v>
      </c>
      <c r="U25" s="843">
        <v>0</v>
      </c>
      <c r="V25" s="843">
        <v>0</v>
      </c>
      <c r="W25" s="843">
        <v>1</v>
      </c>
      <c r="X25" s="870" t="s">
        <v>2939</v>
      </c>
      <c r="Y25" s="843" t="str">
        <f>IF(OR(ISNA(MATCH(MID(X25,1,3)*1,UomConversion!$D$8:$D$500,0)),H25=""),"",IF(AV25="","",AV25))</f>
        <v/>
      </c>
      <c r="Z25" s="843" t="str">
        <f>IF(AND(AU25&gt;0,COUNTIFS(UomConversion!$D$8:$D$500,MID(X25,1,3)*1,UomConversion!$J$8:$J$500,1)&gt;1),TEXT(AU25,"000")&amp;"."&amp;VLOOKUP(AU25,uom_list,5,FALSE),"")</f>
        <v/>
      </c>
      <c r="AA25" s="843">
        <f t="shared" si="4"/>
        <v>1</v>
      </c>
      <c r="AB25" s="843" t="str">
        <f t="shared" si="8"/>
        <v>2</v>
      </c>
      <c r="AC25" s="843">
        <f t="shared" ref="AC25" si="15">import_pro_number_of_price_type</f>
        <v>2</v>
      </c>
      <c r="AD25" s="1214">
        <v>3.1</v>
      </c>
      <c r="AE25" s="1214">
        <v>3.5</v>
      </c>
      <c r="AF25" s="1215"/>
      <c r="AG25" s="1215"/>
      <c r="AH25" s="1215"/>
      <c r="AI25" s="1215"/>
      <c r="AJ25" s="1216"/>
      <c r="AK25" s="1216"/>
      <c r="AL25" s="1216"/>
      <c r="AM25" s="1216"/>
      <c r="AN25" s="1216"/>
      <c r="AO25" s="1216"/>
      <c r="AP25" s="1216"/>
      <c r="AQ25" s="1216"/>
      <c r="AR25" s="1216"/>
      <c r="AS25" s="1216"/>
      <c r="AT25" s="1216"/>
      <c r="AU25" s="1120" cm="1">
        <f t="array" ref="AU25">IF(H25="","",Slookup(MID(X25,1,3)*1,UomConversion!$D$8:$J$500,2,UomConversion!$I$8:$I$500,1,UomConversion!$J$8:$J$500,1))</f>
        <v>0</v>
      </c>
      <c r="AV25" s="401" t="str">
        <f t="shared" si="6"/>
        <v/>
      </c>
      <c r="AW25" s="757">
        <f t="shared" si="7"/>
        <v>2</v>
      </c>
      <c r="AX25" s="757" t="str">
        <f t="shared" si="7"/>
        <v/>
      </c>
      <c r="AY25" s="757" t="str">
        <f t="shared" si="7"/>
        <v/>
      </c>
      <c r="AZ25" s="1209" cm="1">
        <f t="array" ref="AZ25">IF(Y25="",1,Slookup(MID(X25,1,3)*1,UomConversion!$D$8:$J$500,5,UomConversion!$E$8:$E$500,MID(Y25,1,3)*1,UomConversion!$I$8:$I$500,1))</f>
        <v>1</v>
      </c>
      <c r="BA25" s="1209" cm="1">
        <f t="array" ref="BA25">IF(Z25="",1,Slookup(MID(X25,1,3)*1,UomConversion!$D$8:$J$500,5,UomConversion!$E$8:$E$500,MID(Z25,1,3)*1,UomConversion!$I$8:$I$500,1))</f>
        <v>1</v>
      </c>
      <c r="BB25" s="1217">
        <f t="shared" si="10"/>
        <v>3.5</v>
      </c>
      <c r="BC25" s="1217">
        <f t="shared" si="11"/>
        <v>0.60999999999999988</v>
      </c>
      <c r="BD25" s="1217"/>
      <c r="BE25" s="629"/>
    </row>
    <row r="26" spans="2:59" ht="24.95" customHeight="1">
      <c r="C26" s="843">
        <v>7</v>
      </c>
      <c r="D26" s="843"/>
      <c r="E26" s="843"/>
      <c r="F26" s="1116" t="s">
        <v>2714</v>
      </c>
      <c r="G26" s="1117" t="s">
        <v>2714</v>
      </c>
      <c r="H26" s="868" t="s">
        <v>2983</v>
      </c>
      <c r="I26" s="1118" t="s">
        <v>2983</v>
      </c>
      <c r="J26" s="1138" t="s">
        <v>2953</v>
      </c>
      <c r="K26" s="1138" t="s">
        <v>2972</v>
      </c>
      <c r="L26" s="870" t="s">
        <v>2321</v>
      </c>
      <c r="M26" s="868" t="s">
        <v>2309</v>
      </c>
      <c r="N26" s="1118"/>
      <c r="O26" s="1119">
        <v>1.79</v>
      </c>
      <c r="P26" s="884">
        <v>2.5</v>
      </c>
      <c r="Q26" s="885"/>
      <c r="R26" s="843">
        <v>1</v>
      </c>
      <c r="S26" s="843">
        <v>0</v>
      </c>
      <c r="T26" s="843">
        <v>1</v>
      </c>
      <c r="U26" s="843">
        <v>0</v>
      </c>
      <c r="V26" s="843">
        <v>0</v>
      </c>
      <c r="W26" s="843">
        <v>1</v>
      </c>
      <c r="X26" s="870" t="s">
        <v>2939</v>
      </c>
      <c r="Y26" s="843" t="str">
        <f>IF(OR(ISNA(MATCH(MID(X26,1,3)*1,UomConversion!$D$8:$D$500,0)),H26=""),"",IF(AV26="","",AV26))</f>
        <v/>
      </c>
      <c r="Z26" s="843" t="str">
        <f>IF(AND(AU26&gt;0,COUNTIFS(UomConversion!$D$8:$D$500,MID(X26,1,3)*1,UomConversion!$J$8:$J$500,1)&gt;1),TEXT(AU26,"000")&amp;"."&amp;VLOOKUP(AU26,uom_list,5,FALSE),"")</f>
        <v/>
      </c>
      <c r="AA26" s="843">
        <f t="shared" si="4"/>
        <v>1</v>
      </c>
      <c r="AB26" s="843" t="str">
        <f t="shared" si="8"/>
        <v>2</v>
      </c>
      <c r="AC26" s="843">
        <f t="shared" ref="AC26" si="16">import_pro_number_of_price_type</f>
        <v>2</v>
      </c>
      <c r="AD26" s="1214">
        <v>2.1</v>
      </c>
      <c r="AE26" s="1214">
        <v>2.5</v>
      </c>
      <c r="AF26" s="1215"/>
      <c r="AG26" s="1215"/>
      <c r="AH26" s="1215"/>
      <c r="AI26" s="1215"/>
      <c r="AJ26" s="1216"/>
      <c r="AK26" s="1216"/>
      <c r="AL26" s="1216"/>
      <c r="AM26" s="1216"/>
      <c r="AN26" s="1216"/>
      <c r="AO26" s="1216"/>
      <c r="AP26" s="1216"/>
      <c r="AQ26" s="1216"/>
      <c r="AR26" s="1216"/>
      <c r="AS26" s="1216"/>
      <c r="AT26" s="1216"/>
      <c r="AU26" s="1120" cm="1">
        <f t="array" ref="AU26">IF(H26="","",Slookup(MID(X26,1,3)*1,UomConversion!$D$8:$J$500,2,UomConversion!$I$8:$I$500,1,UomConversion!$J$8:$J$500,1))</f>
        <v>0</v>
      </c>
      <c r="AV26" s="401" t="str">
        <f t="shared" si="6"/>
        <v/>
      </c>
      <c r="AW26" s="757">
        <f t="shared" si="7"/>
        <v>2</v>
      </c>
      <c r="AX26" s="757" t="str">
        <f t="shared" si="7"/>
        <v/>
      </c>
      <c r="AY26" s="757" t="str">
        <f t="shared" si="7"/>
        <v/>
      </c>
      <c r="AZ26" s="1209" cm="1">
        <f t="array" ref="AZ26">IF(Y26="",1,Slookup(MID(X26,1,3)*1,UomConversion!$D$8:$J$500,5,UomConversion!$E$8:$E$500,MID(Y26,1,3)*1,UomConversion!$I$8:$I$500,1))</f>
        <v>1</v>
      </c>
      <c r="BA26" s="1209" cm="1">
        <f t="array" ref="BA26">IF(Z26="",1,Slookup(MID(X26,1,3)*1,UomConversion!$D$8:$J$500,5,UomConversion!$E$8:$E$500,MID(Z26,1,3)*1,UomConversion!$I$8:$I$500,1))</f>
        <v>1</v>
      </c>
      <c r="BB26" s="1217">
        <f t="shared" si="10"/>
        <v>2.5</v>
      </c>
      <c r="BC26" s="1217">
        <f t="shared" si="11"/>
        <v>0.71</v>
      </c>
      <c r="BD26" s="1217"/>
      <c r="BE26" s="629"/>
    </row>
    <row r="27" spans="2:59" ht="24.95" customHeight="1">
      <c r="C27" s="843">
        <v>8</v>
      </c>
      <c r="D27" s="843"/>
      <c r="E27" s="843"/>
      <c r="F27" s="1116" t="s">
        <v>2715</v>
      </c>
      <c r="G27" s="1117" t="s">
        <v>2715</v>
      </c>
      <c r="H27" s="868" t="s">
        <v>2984</v>
      </c>
      <c r="I27" s="1118" t="s">
        <v>2984</v>
      </c>
      <c r="J27" s="1138" t="s">
        <v>2953</v>
      </c>
      <c r="K27" s="1138" t="s">
        <v>2972</v>
      </c>
      <c r="L27" s="870" t="s">
        <v>2323</v>
      </c>
      <c r="M27" s="868" t="s">
        <v>2309</v>
      </c>
      <c r="N27" s="1118"/>
      <c r="O27" s="1119">
        <v>1.32</v>
      </c>
      <c r="P27" s="884">
        <v>1.75</v>
      </c>
      <c r="Q27" s="885"/>
      <c r="R27" s="843">
        <v>1</v>
      </c>
      <c r="S27" s="843">
        <v>0</v>
      </c>
      <c r="T27" s="843">
        <v>1</v>
      </c>
      <c r="U27" s="843">
        <v>0</v>
      </c>
      <c r="V27" s="843">
        <v>0</v>
      </c>
      <c r="W27" s="843">
        <v>1</v>
      </c>
      <c r="X27" s="870" t="s">
        <v>2939</v>
      </c>
      <c r="Y27" s="843" t="str">
        <f>IF(OR(ISNA(MATCH(MID(X27,1,3)*1,UomConversion!$D$8:$D$500,0)),H27=""),"",IF(AV27="","",AV27))</f>
        <v/>
      </c>
      <c r="Z27" s="843" t="str">
        <f>IF(AND(AU27&gt;0,COUNTIFS(UomConversion!$D$8:$D$500,MID(X27,1,3)*1,UomConversion!$J$8:$J$500,1)&gt;1),TEXT(AU27,"000")&amp;"."&amp;VLOOKUP(AU27,uom_list,5,FALSE),"")</f>
        <v/>
      </c>
      <c r="AA27" s="843">
        <f t="shared" si="4"/>
        <v>1</v>
      </c>
      <c r="AB27" s="843" t="str">
        <f t="shared" si="8"/>
        <v>2</v>
      </c>
      <c r="AC27" s="843">
        <f t="shared" ref="AC27" si="17">import_pro_number_of_price_type</f>
        <v>2</v>
      </c>
      <c r="AD27" s="1214">
        <v>1.5</v>
      </c>
      <c r="AE27" s="1214">
        <v>1.75</v>
      </c>
      <c r="AF27" s="1215"/>
      <c r="AG27" s="1215"/>
      <c r="AH27" s="1215"/>
      <c r="AI27" s="1215"/>
      <c r="AJ27" s="1216"/>
      <c r="AK27" s="1216"/>
      <c r="AL27" s="1216"/>
      <c r="AM27" s="1216"/>
      <c r="AN27" s="1216"/>
      <c r="AO27" s="1216"/>
      <c r="AP27" s="1216"/>
      <c r="AQ27" s="1216"/>
      <c r="AR27" s="1216"/>
      <c r="AS27" s="1216"/>
      <c r="AT27" s="1216"/>
      <c r="AU27" s="1120" cm="1">
        <f t="array" ref="AU27">IF(H27="","",Slookup(MID(X27,1,3)*1,UomConversion!$D$8:$J$500,2,UomConversion!$I$8:$I$500,1,UomConversion!$J$8:$J$500,1))</f>
        <v>0</v>
      </c>
      <c r="AV27" s="401" t="str">
        <f t="shared" si="6"/>
        <v/>
      </c>
      <c r="AW27" s="757">
        <f t="shared" si="7"/>
        <v>2</v>
      </c>
      <c r="AX27" s="757" t="str">
        <f t="shared" si="7"/>
        <v/>
      </c>
      <c r="AY27" s="757" t="str">
        <f t="shared" si="7"/>
        <v/>
      </c>
      <c r="AZ27" s="1209" cm="1">
        <f t="array" ref="AZ27">IF(Y27="",1,Slookup(MID(X27,1,3)*1,UomConversion!$D$8:$J$500,5,UomConversion!$E$8:$E$500,MID(Y27,1,3)*1,UomConversion!$I$8:$I$500,1))</f>
        <v>1</v>
      </c>
      <c r="BA27" s="1209" cm="1">
        <f t="array" ref="BA27">IF(Z27="",1,Slookup(MID(X27,1,3)*1,UomConversion!$D$8:$J$500,5,UomConversion!$E$8:$E$500,MID(Z27,1,3)*1,UomConversion!$I$8:$I$500,1))</f>
        <v>1</v>
      </c>
      <c r="BB27" s="1217">
        <f t="shared" si="10"/>
        <v>1.75</v>
      </c>
      <c r="BC27" s="1217">
        <f t="shared" si="11"/>
        <v>0.42999999999999994</v>
      </c>
      <c r="BD27" s="1217"/>
      <c r="BE27" s="629"/>
    </row>
    <row r="28" spans="2:59" ht="24.95" customHeight="1">
      <c r="C28" s="843">
        <v>9</v>
      </c>
      <c r="D28" s="843"/>
      <c r="E28" s="843"/>
      <c r="F28" s="1116" t="s">
        <v>2716</v>
      </c>
      <c r="G28" s="1117" t="s">
        <v>2716</v>
      </c>
      <c r="H28" s="868" t="s">
        <v>2985</v>
      </c>
      <c r="I28" s="1118" t="s">
        <v>2985</v>
      </c>
      <c r="J28" s="1138" t="s">
        <v>2953</v>
      </c>
      <c r="K28" s="1138" t="s">
        <v>2972</v>
      </c>
      <c r="L28" s="870" t="s">
        <v>2325</v>
      </c>
      <c r="M28" s="868" t="s">
        <v>2309</v>
      </c>
      <c r="N28" s="1118"/>
      <c r="O28" s="1119">
        <v>1.1499999999999999</v>
      </c>
      <c r="P28" s="884">
        <v>1.5</v>
      </c>
      <c r="Q28" s="885"/>
      <c r="R28" s="843">
        <v>1</v>
      </c>
      <c r="S28" s="843">
        <v>0</v>
      </c>
      <c r="T28" s="843">
        <v>1</v>
      </c>
      <c r="U28" s="843">
        <v>0</v>
      </c>
      <c r="V28" s="843">
        <v>0</v>
      </c>
      <c r="W28" s="843">
        <v>1</v>
      </c>
      <c r="X28" s="870" t="s">
        <v>2939</v>
      </c>
      <c r="Y28" s="843" t="str">
        <f>IF(OR(ISNA(MATCH(MID(X28,1,3)*1,UomConversion!$D$8:$D$500,0)),H28=""),"",IF(AV28="","",AV28))</f>
        <v/>
      </c>
      <c r="Z28" s="843" t="str">
        <f>IF(AND(AU28&gt;0,COUNTIFS(UomConversion!$D$8:$D$500,MID(X28,1,3)*1,UomConversion!$J$8:$J$500,1)&gt;1),TEXT(AU28,"000")&amp;"."&amp;VLOOKUP(AU28,uom_list,5,FALSE),"")</f>
        <v/>
      </c>
      <c r="AA28" s="843">
        <f t="shared" si="4"/>
        <v>1</v>
      </c>
      <c r="AB28" s="843" t="str">
        <f t="shared" si="8"/>
        <v>2</v>
      </c>
      <c r="AC28" s="843">
        <f t="shared" ref="AC28" si="18">import_pro_number_of_price_type</f>
        <v>2</v>
      </c>
      <c r="AD28" s="1214">
        <v>1.35</v>
      </c>
      <c r="AE28" s="1214">
        <v>1.5</v>
      </c>
      <c r="AF28" s="1215"/>
      <c r="AG28" s="1215"/>
      <c r="AH28" s="1215"/>
      <c r="AI28" s="1215"/>
      <c r="AJ28" s="1216"/>
      <c r="AK28" s="1216"/>
      <c r="AL28" s="1216"/>
      <c r="AM28" s="1216"/>
      <c r="AN28" s="1216"/>
      <c r="AO28" s="1216"/>
      <c r="AP28" s="1216"/>
      <c r="AQ28" s="1216"/>
      <c r="AR28" s="1216"/>
      <c r="AS28" s="1216"/>
      <c r="AT28" s="1216"/>
      <c r="AU28" s="1120" cm="1">
        <f t="array" ref="AU28">IF(H28="","",Slookup(MID(X28,1,3)*1,UomConversion!$D$8:$J$500,2,UomConversion!$I$8:$I$500,1,UomConversion!$J$8:$J$500,1))</f>
        <v>0</v>
      </c>
      <c r="AV28" s="401" t="str">
        <f t="shared" si="6"/>
        <v/>
      </c>
      <c r="AW28" s="757">
        <f t="shared" si="7"/>
        <v>2</v>
      </c>
      <c r="AX28" s="757" t="str">
        <f t="shared" si="7"/>
        <v/>
      </c>
      <c r="AY28" s="757" t="str">
        <f t="shared" si="7"/>
        <v/>
      </c>
      <c r="AZ28" s="1209" cm="1">
        <f t="array" ref="AZ28">IF(Y28="",1,Slookup(MID(X28,1,3)*1,UomConversion!$D$8:$J$500,5,UomConversion!$E$8:$E$500,MID(Y28,1,3)*1,UomConversion!$I$8:$I$500,1))</f>
        <v>1</v>
      </c>
      <c r="BA28" s="1209" cm="1">
        <f t="array" ref="BA28">IF(Z28="",1,Slookup(MID(X28,1,3)*1,UomConversion!$D$8:$J$500,5,UomConversion!$E$8:$E$500,MID(Z28,1,3)*1,UomConversion!$I$8:$I$500,1))</f>
        <v>1</v>
      </c>
      <c r="BB28" s="1217">
        <f t="shared" si="10"/>
        <v>1.5</v>
      </c>
      <c r="BC28" s="1217">
        <f t="shared" si="11"/>
        <v>0.35000000000000009</v>
      </c>
      <c r="BD28" s="1217"/>
      <c r="BE28" s="629"/>
    </row>
    <row r="29" spans="2:59" s="445" customFormat="1" ht="24.95" customHeight="1">
      <c r="C29" s="843">
        <v>10</v>
      </c>
      <c r="D29" s="843"/>
      <c r="E29" s="843"/>
      <c r="F29" s="1116" t="s">
        <v>2326</v>
      </c>
      <c r="G29" s="1117" t="s">
        <v>2326</v>
      </c>
      <c r="H29" s="868" t="s">
        <v>2986</v>
      </c>
      <c r="I29" s="1118" t="s">
        <v>2986</v>
      </c>
      <c r="J29" s="1138" t="s">
        <v>2953</v>
      </c>
      <c r="K29" s="1138" t="s">
        <v>2973</v>
      </c>
      <c r="L29" s="870" t="s">
        <v>2308</v>
      </c>
      <c r="M29" s="868" t="s">
        <v>2309</v>
      </c>
      <c r="N29" s="1118"/>
      <c r="O29" s="1119">
        <v>14.85</v>
      </c>
      <c r="P29" s="884">
        <v>15.5</v>
      </c>
      <c r="Q29" s="885"/>
      <c r="R29" s="843">
        <v>1</v>
      </c>
      <c r="S29" s="843">
        <v>0</v>
      </c>
      <c r="T29" s="843">
        <v>1</v>
      </c>
      <c r="U29" s="843">
        <v>0</v>
      </c>
      <c r="V29" s="843">
        <v>0</v>
      </c>
      <c r="W29" s="843">
        <v>1</v>
      </c>
      <c r="X29" s="870" t="s">
        <v>2939</v>
      </c>
      <c r="Y29" s="843" t="str">
        <f>IF(OR(ISNA(MATCH(MID(X29,1,3)*1,UomConversion!$D$8:$D$500,0)),H29=""),"",IF(AV29="","",AV29))</f>
        <v/>
      </c>
      <c r="Z29" s="843" t="str">
        <f>IF(AND(AU29&gt;0,COUNTIFS(UomConversion!$D$8:$D$500,MID(X29,1,3)*1,UomConversion!$J$8:$J$500,1)&gt;1),TEXT(AU29,"000")&amp;"."&amp;VLOOKUP(AU29,uom_list,5,FALSE),"")</f>
        <v/>
      </c>
      <c r="AA29" s="843">
        <f t="shared" si="4"/>
        <v>1</v>
      </c>
      <c r="AB29" s="843" t="str">
        <f t="shared" si="8"/>
        <v>2</v>
      </c>
      <c r="AC29" s="843">
        <f t="shared" ref="AC29" si="19">import_pro_number_of_price_type</f>
        <v>2</v>
      </c>
      <c r="AD29" s="1214">
        <v>15.2</v>
      </c>
      <c r="AE29" s="1214">
        <v>15.5</v>
      </c>
      <c r="AF29" s="1215"/>
      <c r="AG29" s="1215"/>
      <c r="AH29" s="1215"/>
      <c r="AI29" s="1215"/>
      <c r="AJ29" s="1216"/>
      <c r="AK29" s="1216"/>
      <c r="AL29" s="1216"/>
      <c r="AM29" s="1216"/>
      <c r="AN29" s="1216"/>
      <c r="AO29" s="1216"/>
      <c r="AP29" s="1216"/>
      <c r="AQ29" s="1216"/>
      <c r="AR29" s="1216"/>
      <c r="AS29" s="1216"/>
      <c r="AT29" s="1216"/>
      <c r="AU29" s="1120" cm="1">
        <f t="array" ref="AU29">IF(H29="","",Slookup(MID(X29,1,3)*1,UomConversion!$D$8:$J$500,2,UomConversion!$I$8:$I$500,1,UomConversion!$J$8:$J$500,1))</f>
        <v>0</v>
      </c>
      <c r="AV29" s="401" t="str">
        <f t="shared" si="6"/>
        <v/>
      </c>
      <c r="AW29" s="757">
        <f t="shared" si="7"/>
        <v>2</v>
      </c>
      <c r="AX29" s="757" t="str">
        <f t="shared" si="7"/>
        <v/>
      </c>
      <c r="AY29" s="757" t="str">
        <f t="shared" si="7"/>
        <v/>
      </c>
      <c r="AZ29" s="1209" cm="1">
        <f t="array" ref="AZ29">IF(Y29="",1,Slookup(MID(X29,1,3)*1,UomConversion!$D$8:$J$500,5,UomConversion!$E$8:$E$500,MID(Y29,1,3)*1,UomConversion!$I$8:$I$500,1))</f>
        <v>1</v>
      </c>
      <c r="BA29" s="1209" cm="1">
        <f t="array" ref="BA29">IF(Z29="",1,Slookup(MID(X29,1,3)*1,UomConversion!$D$8:$J$500,5,UomConversion!$E$8:$E$500,MID(Z29,1,3)*1,UomConversion!$I$8:$I$500,1))</f>
        <v>1</v>
      </c>
      <c r="BB29" s="1217">
        <f t="shared" si="10"/>
        <v>15.5</v>
      </c>
      <c r="BC29" s="1217">
        <f t="shared" si="11"/>
        <v>0.65000000000000036</v>
      </c>
      <c r="BD29" s="1217"/>
      <c r="BE29" s="629"/>
      <c r="BG29" s="1121"/>
    </row>
    <row r="30" spans="2:59" s="445" customFormat="1" ht="24.95" customHeight="1">
      <c r="C30" s="843">
        <v>11</v>
      </c>
      <c r="D30" s="843"/>
      <c r="E30" s="843"/>
      <c r="F30" s="1116" t="s">
        <v>2327</v>
      </c>
      <c r="G30" s="1117" t="s">
        <v>2327</v>
      </c>
      <c r="H30" s="868" t="s">
        <v>2987</v>
      </c>
      <c r="I30" s="1118" t="s">
        <v>2987</v>
      </c>
      <c r="J30" s="1138" t="s">
        <v>2953</v>
      </c>
      <c r="K30" s="1138" t="s">
        <v>2973</v>
      </c>
      <c r="L30" s="870" t="s">
        <v>2311</v>
      </c>
      <c r="M30" s="868" t="s">
        <v>2309</v>
      </c>
      <c r="N30" s="1118"/>
      <c r="O30" s="1119">
        <v>9.52</v>
      </c>
      <c r="P30" s="884">
        <v>10.199999999999999</v>
      </c>
      <c r="Q30" s="885"/>
      <c r="R30" s="843">
        <v>1</v>
      </c>
      <c r="S30" s="843">
        <v>0</v>
      </c>
      <c r="T30" s="843">
        <v>1</v>
      </c>
      <c r="U30" s="843">
        <v>0</v>
      </c>
      <c r="V30" s="843">
        <v>0</v>
      </c>
      <c r="W30" s="843">
        <v>1</v>
      </c>
      <c r="X30" s="870" t="s">
        <v>2939</v>
      </c>
      <c r="Y30" s="843" t="str">
        <f>IF(OR(ISNA(MATCH(MID(X30,1,3)*1,UomConversion!$D$8:$D$500,0)),H30=""),"",IF(AV30="","",AV30))</f>
        <v/>
      </c>
      <c r="Z30" s="843" t="str">
        <f>IF(AND(AU30&gt;0,COUNTIFS(UomConversion!$D$8:$D$500,MID(X30,1,3)*1,UomConversion!$J$8:$J$500,1)&gt;1),TEXT(AU30,"000")&amp;"."&amp;VLOOKUP(AU30,uom_list,5,FALSE),"")</f>
        <v/>
      </c>
      <c r="AA30" s="843">
        <f t="shared" si="4"/>
        <v>1</v>
      </c>
      <c r="AB30" s="843" t="str">
        <f t="shared" si="8"/>
        <v>2</v>
      </c>
      <c r="AC30" s="843">
        <f t="shared" ref="AC30" si="20">import_pro_number_of_price_type</f>
        <v>2</v>
      </c>
      <c r="AD30" s="1214">
        <v>9.8000000000000007</v>
      </c>
      <c r="AE30" s="1214">
        <v>10.199999999999999</v>
      </c>
      <c r="AF30" s="1215"/>
      <c r="AG30" s="1215"/>
      <c r="AH30" s="1215"/>
      <c r="AI30" s="1215"/>
      <c r="AJ30" s="1216"/>
      <c r="AK30" s="1216"/>
      <c r="AL30" s="1216"/>
      <c r="AM30" s="1216"/>
      <c r="AN30" s="1216"/>
      <c r="AO30" s="1216"/>
      <c r="AP30" s="1216"/>
      <c r="AQ30" s="1216"/>
      <c r="AR30" s="1216"/>
      <c r="AS30" s="1216"/>
      <c r="AT30" s="1216"/>
      <c r="AU30" s="1120" cm="1">
        <f t="array" ref="AU30">IF(H30="","",Slookup(MID(X30,1,3)*1,UomConversion!$D$8:$J$500,2,UomConversion!$I$8:$I$500,1,UomConversion!$J$8:$J$500,1))</f>
        <v>0</v>
      </c>
      <c r="AV30" s="401" t="str">
        <f t="shared" si="6"/>
        <v/>
      </c>
      <c r="AW30" s="757">
        <f t="shared" si="7"/>
        <v>2</v>
      </c>
      <c r="AX30" s="757" t="str">
        <f t="shared" si="7"/>
        <v/>
      </c>
      <c r="AY30" s="757" t="str">
        <f t="shared" si="7"/>
        <v/>
      </c>
      <c r="AZ30" s="1209" cm="1">
        <f t="array" ref="AZ30">IF(Y30="",1,Slookup(MID(X30,1,3)*1,UomConversion!$D$8:$J$500,5,UomConversion!$E$8:$E$500,MID(Y30,1,3)*1,UomConversion!$I$8:$I$500,1))</f>
        <v>1</v>
      </c>
      <c r="BA30" s="1209" cm="1">
        <f t="array" ref="BA30">IF(Z30="",1,Slookup(MID(X30,1,3)*1,UomConversion!$D$8:$J$500,5,UomConversion!$E$8:$E$500,MID(Z30,1,3)*1,UomConversion!$I$8:$I$500,1))</f>
        <v>1</v>
      </c>
      <c r="BB30" s="1217">
        <f t="shared" si="10"/>
        <v>10.199999999999999</v>
      </c>
      <c r="BC30" s="1217">
        <f t="shared" si="11"/>
        <v>0.67999999999999972</v>
      </c>
      <c r="BD30" s="1217"/>
      <c r="BE30" s="629"/>
      <c r="BG30" s="1121"/>
    </row>
    <row r="31" spans="2:59" s="445" customFormat="1" ht="24.95" customHeight="1">
      <c r="C31" s="843">
        <v>12</v>
      </c>
      <c r="D31" s="843"/>
      <c r="E31" s="843"/>
      <c r="F31" s="1116" t="s">
        <v>2329</v>
      </c>
      <c r="G31" s="1117" t="s">
        <v>2329</v>
      </c>
      <c r="H31" s="868" t="s">
        <v>2988</v>
      </c>
      <c r="I31" s="1118" t="s">
        <v>2988</v>
      </c>
      <c r="J31" s="1138" t="s">
        <v>2953</v>
      </c>
      <c r="K31" s="1138" t="s">
        <v>2973</v>
      </c>
      <c r="L31" s="870" t="s">
        <v>2313</v>
      </c>
      <c r="M31" s="868" t="s">
        <v>2309</v>
      </c>
      <c r="N31" s="1118"/>
      <c r="O31" s="1119">
        <v>7.6</v>
      </c>
      <c r="P31" s="884">
        <v>8.5</v>
      </c>
      <c r="Q31" s="885"/>
      <c r="R31" s="843">
        <v>1</v>
      </c>
      <c r="S31" s="843">
        <v>0</v>
      </c>
      <c r="T31" s="843">
        <v>1</v>
      </c>
      <c r="U31" s="843">
        <v>0</v>
      </c>
      <c r="V31" s="843">
        <v>0</v>
      </c>
      <c r="W31" s="843">
        <v>1</v>
      </c>
      <c r="X31" s="870" t="s">
        <v>2939</v>
      </c>
      <c r="Y31" s="843" t="str">
        <f>IF(OR(ISNA(MATCH(MID(X31,1,3)*1,UomConversion!$D$8:$D$500,0)),H31=""),"",IF(AV31="","",AV31))</f>
        <v/>
      </c>
      <c r="Z31" s="843" t="str">
        <f>IF(AND(AU31&gt;0,COUNTIFS(UomConversion!$D$8:$D$500,MID(X31,1,3)*1,UomConversion!$J$8:$J$500,1)&gt;1),TEXT(AU31,"000")&amp;"."&amp;VLOOKUP(AU31,uom_list,5,FALSE),"")</f>
        <v/>
      </c>
      <c r="AA31" s="843">
        <f t="shared" si="4"/>
        <v>1</v>
      </c>
      <c r="AB31" s="843" t="str">
        <f t="shared" si="8"/>
        <v>2</v>
      </c>
      <c r="AC31" s="843">
        <f t="shared" ref="AC31" si="21">import_pro_number_of_price_type</f>
        <v>2</v>
      </c>
      <c r="AD31" s="1214">
        <v>8</v>
      </c>
      <c r="AE31" s="1214">
        <v>8.5</v>
      </c>
      <c r="AF31" s="1215"/>
      <c r="AG31" s="1215"/>
      <c r="AH31" s="1215"/>
      <c r="AI31" s="1215"/>
      <c r="AJ31" s="1216"/>
      <c r="AK31" s="1216"/>
      <c r="AL31" s="1216"/>
      <c r="AM31" s="1216"/>
      <c r="AN31" s="1216"/>
      <c r="AO31" s="1216"/>
      <c r="AP31" s="1216"/>
      <c r="AQ31" s="1216"/>
      <c r="AR31" s="1216"/>
      <c r="AS31" s="1216"/>
      <c r="AT31" s="1216"/>
      <c r="AU31" s="1120" cm="1">
        <f t="array" ref="AU31">IF(H31="","",Slookup(MID(X31,1,3)*1,UomConversion!$D$8:$J$500,2,UomConversion!$I$8:$I$500,1,UomConversion!$J$8:$J$500,1))</f>
        <v>0</v>
      </c>
      <c r="AV31" s="401" t="str">
        <f t="shared" si="6"/>
        <v/>
      </c>
      <c r="AW31" s="757">
        <f t="shared" si="7"/>
        <v>2</v>
      </c>
      <c r="AX31" s="757" t="str">
        <f t="shared" si="7"/>
        <v/>
      </c>
      <c r="AY31" s="757" t="str">
        <f t="shared" si="7"/>
        <v/>
      </c>
      <c r="AZ31" s="1209" cm="1">
        <f t="array" ref="AZ31">IF(Y31="",1,Slookup(MID(X31,1,3)*1,UomConversion!$D$8:$J$500,5,UomConversion!$E$8:$E$500,MID(Y31,1,3)*1,UomConversion!$I$8:$I$500,1))</f>
        <v>1</v>
      </c>
      <c r="BA31" s="1209" cm="1">
        <f t="array" ref="BA31">IF(Z31="",1,Slookup(MID(X31,1,3)*1,UomConversion!$D$8:$J$500,5,UomConversion!$E$8:$E$500,MID(Z31,1,3)*1,UomConversion!$I$8:$I$500,1))</f>
        <v>1</v>
      </c>
      <c r="BB31" s="1217">
        <f t="shared" si="10"/>
        <v>8.5</v>
      </c>
      <c r="BC31" s="1217">
        <f t="shared" si="11"/>
        <v>0.90000000000000036</v>
      </c>
      <c r="BD31" s="1217"/>
      <c r="BE31" s="629"/>
      <c r="BG31" s="1121"/>
    </row>
    <row r="32" spans="2:59" s="445" customFormat="1" ht="24.95" customHeight="1">
      <c r="C32" s="843">
        <v>13</v>
      </c>
      <c r="D32" s="843"/>
      <c r="E32" s="843"/>
      <c r="F32" s="1116" t="s">
        <v>2330</v>
      </c>
      <c r="G32" s="1117" t="s">
        <v>2330</v>
      </c>
      <c r="H32" s="868" t="s">
        <v>2989</v>
      </c>
      <c r="I32" s="1118" t="s">
        <v>2989</v>
      </c>
      <c r="J32" s="1138" t="s">
        <v>2953</v>
      </c>
      <c r="K32" s="1138" t="s">
        <v>2973</v>
      </c>
      <c r="L32" s="870" t="s">
        <v>2315</v>
      </c>
      <c r="M32" s="868" t="s">
        <v>2309</v>
      </c>
      <c r="N32" s="1118"/>
      <c r="O32" s="1119">
        <v>5.3</v>
      </c>
      <c r="P32" s="884">
        <v>5.75</v>
      </c>
      <c r="Q32" s="885"/>
      <c r="R32" s="843">
        <v>1</v>
      </c>
      <c r="S32" s="843">
        <v>0</v>
      </c>
      <c r="T32" s="843">
        <v>1</v>
      </c>
      <c r="U32" s="843">
        <v>0</v>
      </c>
      <c r="V32" s="843">
        <v>0</v>
      </c>
      <c r="W32" s="843">
        <v>1</v>
      </c>
      <c r="X32" s="870" t="s">
        <v>2939</v>
      </c>
      <c r="Y32" s="843" t="str">
        <f>IF(OR(ISNA(MATCH(MID(X32,1,3)*1,UomConversion!$D$8:$D$500,0)),H32=""),"",IF(AV32="","",AV32))</f>
        <v/>
      </c>
      <c r="Z32" s="843" t="str">
        <f>IF(AND(AU32&gt;0,COUNTIFS(UomConversion!$D$8:$D$500,MID(X32,1,3)*1,UomConversion!$J$8:$J$500,1)&gt;1),TEXT(AU32,"000")&amp;"."&amp;VLOOKUP(AU32,uom_list,5,FALSE),"")</f>
        <v/>
      </c>
      <c r="AA32" s="843">
        <f t="shared" si="4"/>
        <v>1</v>
      </c>
      <c r="AB32" s="843" t="str">
        <f t="shared" si="8"/>
        <v>2</v>
      </c>
      <c r="AC32" s="843">
        <f t="shared" ref="AC32" si="22">import_pro_number_of_price_type</f>
        <v>2</v>
      </c>
      <c r="AD32" s="1214">
        <v>5.5</v>
      </c>
      <c r="AE32" s="1214">
        <v>5.75</v>
      </c>
      <c r="AF32" s="1215"/>
      <c r="AG32" s="1215"/>
      <c r="AH32" s="1215"/>
      <c r="AI32" s="1215"/>
      <c r="AJ32" s="1216"/>
      <c r="AK32" s="1216"/>
      <c r="AL32" s="1216"/>
      <c r="AM32" s="1216"/>
      <c r="AN32" s="1216"/>
      <c r="AO32" s="1216"/>
      <c r="AP32" s="1216"/>
      <c r="AQ32" s="1216"/>
      <c r="AR32" s="1216"/>
      <c r="AS32" s="1216"/>
      <c r="AT32" s="1216"/>
      <c r="AU32" s="1120" cm="1">
        <f t="array" ref="AU32">IF(H32="","",Slookup(MID(X32,1,3)*1,UomConversion!$D$8:$J$500,2,UomConversion!$I$8:$I$500,1,UomConversion!$J$8:$J$500,1))</f>
        <v>0</v>
      </c>
      <c r="AV32" s="401" t="str">
        <f t="shared" si="6"/>
        <v/>
      </c>
      <c r="AW32" s="757">
        <f t="shared" si="7"/>
        <v>2</v>
      </c>
      <c r="AX32" s="757" t="str">
        <f t="shared" si="7"/>
        <v/>
      </c>
      <c r="AY32" s="757" t="str">
        <f t="shared" si="7"/>
        <v/>
      </c>
      <c r="AZ32" s="1209" cm="1">
        <f t="array" ref="AZ32">IF(Y32="",1,Slookup(MID(X32,1,3)*1,UomConversion!$D$8:$J$500,5,UomConversion!$E$8:$E$500,MID(Y32,1,3)*1,UomConversion!$I$8:$I$500,1))</f>
        <v>1</v>
      </c>
      <c r="BA32" s="1209" cm="1">
        <f t="array" ref="BA32">IF(Z32="",1,Slookup(MID(X32,1,3)*1,UomConversion!$D$8:$J$500,5,UomConversion!$E$8:$E$500,MID(Z32,1,3)*1,UomConversion!$I$8:$I$500,1))</f>
        <v>1</v>
      </c>
      <c r="BB32" s="1217">
        <f t="shared" si="10"/>
        <v>5.75</v>
      </c>
      <c r="BC32" s="1217">
        <f t="shared" si="11"/>
        <v>0.45000000000000018</v>
      </c>
      <c r="BD32" s="1217"/>
      <c r="BE32" s="629"/>
      <c r="BG32" s="1121"/>
    </row>
    <row r="33" spans="2:59" s="445" customFormat="1" ht="24.95" customHeight="1">
      <c r="C33" s="843">
        <v>14</v>
      </c>
      <c r="D33" s="843"/>
      <c r="E33" s="843"/>
      <c r="F33" s="1116" t="s">
        <v>2331</v>
      </c>
      <c r="G33" s="1117" t="s">
        <v>2331</v>
      </c>
      <c r="H33" s="868" t="s">
        <v>2990</v>
      </c>
      <c r="I33" s="1118" t="s">
        <v>2990</v>
      </c>
      <c r="J33" s="1138" t="s">
        <v>2953</v>
      </c>
      <c r="K33" s="1138" t="s">
        <v>2973</v>
      </c>
      <c r="L33" s="870" t="s">
        <v>2317</v>
      </c>
      <c r="M33" s="868" t="s">
        <v>2309</v>
      </c>
      <c r="N33" s="1118"/>
      <c r="O33" s="1119">
        <v>3.3</v>
      </c>
      <c r="P33" s="884">
        <v>3.75</v>
      </c>
      <c r="Q33" s="885"/>
      <c r="R33" s="843">
        <v>1</v>
      </c>
      <c r="S33" s="843">
        <v>0</v>
      </c>
      <c r="T33" s="843">
        <v>1</v>
      </c>
      <c r="U33" s="843">
        <v>0</v>
      </c>
      <c r="V33" s="843">
        <v>0</v>
      </c>
      <c r="W33" s="843">
        <v>1</v>
      </c>
      <c r="X33" s="870" t="s">
        <v>2939</v>
      </c>
      <c r="Y33" s="843" t="str">
        <f>IF(OR(ISNA(MATCH(MID(X33,1,3)*1,UomConversion!$D$8:$D$500,0)),H33=""),"",IF(AV33="","",AV33))</f>
        <v/>
      </c>
      <c r="Z33" s="843" t="str">
        <f>IF(AND(AU33&gt;0,COUNTIFS(UomConversion!$D$8:$D$500,MID(X33,1,3)*1,UomConversion!$J$8:$J$500,1)&gt;1),TEXT(AU33,"000")&amp;"."&amp;VLOOKUP(AU33,uom_list,5,FALSE),"")</f>
        <v/>
      </c>
      <c r="AA33" s="843">
        <f t="shared" si="4"/>
        <v>1</v>
      </c>
      <c r="AB33" s="843" t="str">
        <f t="shared" si="8"/>
        <v>2</v>
      </c>
      <c r="AC33" s="843">
        <f t="shared" ref="AC33" si="23">import_pro_number_of_price_type</f>
        <v>2</v>
      </c>
      <c r="AD33" s="1214">
        <v>3.5</v>
      </c>
      <c r="AE33" s="1214">
        <v>3.75</v>
      </c>
      <c r="AF33" s="1215"/>
      <c r="AG33" s="1215"/>
      <c r="AH33" s="1215"/>
      <c r="AI33" s="1215"/>
      <c r="AJ33" s="1216"/>
      <c r="AK33" s="1216"/>
      <c r="AL33" s="1216"/>
      <c r="AM33" s="1216"/>
      <c r="AN33" s="1216"/>
      <c r="AO33" s="1216"/>
      <c r="AP33" s="1216"/>
      <c r="AQ33" s="1216"/>
      <c r="AR33" s="1216"/>
      <c r="AS33" s="1216"/>
      <c r="AT33" s="1216"/>
      <c r="AU33" s="1120" cm="1">
        <f t="array" ref="AU33">IF(H33="","",Slookup(MID(X33,1,3)*1,UomConversion!$D$8:$J$500,2,UomConversion!$I$8:$I$500,1,UomConversion!$J$8:$J$500,1))</f>
        <v>0</v>
      </c>
      <c r="AV33" s="401" t="str">
        <f t="shared" si="6"/>
        <v/>
      </c>
      <c r="AW33" s="757">
        <f t="shared" si="7"/>
        <v>2</v>
      </c>
      <c r="AX33" s="757" t="str">
        <f t="shared" si="7"/>
        <v/>
      </c>
      <c r="AY33" s="757" t="str">
        <f t="shared" si="7"/>
        <v/>
      </c>
      <c r="AZ33" s="1209" cm="1">
        <f t="array" ref="AZ33">IF(Y33="",1,Slookup(MID(X33,1,3)*1,UomConversion!$D$8:$J$500,5,UomConversion!$E$8:$E$500,MID(Y33,1,3)*1,UomConversion!$I$8:$I$500,1))</f>
        <v>1</v>
      </c>
      <c r="BA33" s="1209" cm="1">
        <f t="array" ref="BA33">IF(Z33="",1,Slookup(MID(X33,1,3)*1,UomConversion!$D$8:$J$500,5,UomConversion!$E$8:$E$500,MID(Z33,1,3)*1,UomConversion!$I$8:$I$500,1))</f>
        <v>1</v>
      </c>
      <c r="BB33" s="1217">
        <f t="shared" si="10"/>
        <v>3.75</v>
      </c>
      <c r="BC33" s="1217">
        <f t="shared" si="11"/>
        <v>0.45000000000000018</v>
      </c>
      <c r="BD33" s="1217"/>
      <c r="BE33" s="629"/>
      <c r="BG33" s="1121"/>
    </row>
    <row r="34" spans="2:59" s="445" customFormat="1" ht="24.95" customHeight="1">
      <c r="C34" s="843">
        <v>15</v>
      </c>
      <c r="D34" s="843"/>
      <c r="E34" s="843"/>
      <c r="F34" s="1116" t="s">
        <v>2332</v>
      </c>
      <c r="G34" s="1117" t="s">
        <v>2332</v>
      </c>
      <c r="H34" s="868" t="s">
        <v>2991</v>
      </c>
      <c r="I34" s="1118" t="s">
        <v>2991</v>
      </c>
      <c r="J34" s="1138" t="s">
        <v>2953</v>
      </c>
      <c r="K34" s="1138" t="s">
        <v>2973</v>
      </c>
      <c r="L34" s="870" t="s">
        <v>2319</v>
      </c>
      <c r="M34" s="868" t="s">
        <v>2309</v>
      </c>
      <c r="N34" s="1118"/>
      <c r="O34" s="1119">
        <v>2.7</v>
      </c>
      <c r="P34" s="884">
        <v>3.5</v>
      </c>
      <c r="Q34" s="885"/>
      <c r="R34" s="843">
        <v>1</v>
      </c>
      <c r="S34" s="843">
        <v>0</v>
      </c>
      <c r="T34" s="843">
        <v>1</v>
      </c>
      <c r="U34" s="843">
        <v>0</v>
      </c>
      <c r="V34" s="843">
        <v>0</v>
      </c>
      <c r="W34" s="843">
        <v>1</v>
      </c>
      <c r="X34" s="870" t="s">
        <v>2939</v>
      </c>
      <c r="Y34" s="843" t="str">
        <f>IF(OR(ISNA(MATCH(MID(X34,1,3)*1,UomConversion!$D$8:$D$500,0)),H34=""),"",IF(AV34="","",AV34))</f>
        <v/>
      </c>
      <c r="Z34" s="843" t="str">
        <f>IF(AND(AU34&gt;0,COUNTIFS(UomConversion!$D$8:$D$500,MID(X34,1,3)*1,UomConversion!$J$8:$J$500,1)&gt;1),TEXT(AU34,"000")&amp;"."&amp;VLOOKUP(AU34,uom_list,5,FALSE),"")</f>
        <v/>
      </c>
      <c r="AA34" s="843">
        <f t="shared" si="4"/>
        <v>1</v>
      </c>
      <c r="AB34" s="843" t="str">
        <f t="shared" si="8"/>
        <v>2</v>
      </c>
      <c r="AC34" s="843">
        <f t="shared" ref="AC34" si="24">import_pro_number_of_price_type</f>
        <v>2</v>
      </c>
      <c r="AD34" s="1214">
        <v>3</v>
      </c>
      <c r="AE34" s="1214">
        <v>3.5</v>
      </c>
      <c r="AF34" s="1215"/>
      <c r="AG34" s="1215"/>
      <c r="AH34" s="1215"/>
      <c r="AI34" s="1215"/>
      <c r="AJ34" s="1216"/>
      <c r="AK34" s="1216"/>
      <c r="AL34" s="1216"/>
      <c r="AM34" s="1216"/>
      <c r="AN34" s="1216"/>
      <c r="AO34" s="1216"/>
      <c r="AP34" s="1216"/>
      <c r="AQ34" s="1216"/>
      <c r="AR34" s="1216"/>
      <c r="AS34" s="1216"/>
      <c r="AT34" s="1216"/>
      <c r="AU34" s="1120" cm="1">
        <f t="array" ref="AU34">IF(H34="","",Slookup(MID(X34,1,3)*1,UomConversion!$D$8:$J$500,2,UomConversion!$I$8:$I$500,1,UomConversion!$J$8:$J$500,1))</f>
        <v>0</v>
      </c>
      <c r="AV34" s="401" t="str">
        <f t="shared" si="6"/>
        <v/>
      </c>
      <c r="AW34" s="757">
        <f t="shared" si="7"/>
        <v>2</v>
      </c>
      <c r="AX34" s="757" t="str">
        <f t="shared" si="7"/>
        <v/>
      </c>
      <c r="AY34" s="757" t="str">
        <f t="shared" si="7"/>
        <v/>
      </c>
      <c r="AZ34" s="1209" cm="1">
        <f t="array" ref="AZ34">IF(Y34="",1,Slookup(MID(X34,1,3)*1,UomConversion!$D$8:$J$500,5,UomConversion!$E$8:$E$500,MID(Y34,1,3)*1,UomConversion!$I$8:$I$500,1))</f>
        <v>1</v>
      </c>
      <c r="BA34" s="1209" cm="1">
        <f t="array" ref="BA34">IF(Z34="",1,Slookup(MID(X34,1,3)*1,UomConversion!$D$8:$J$500,5,UomConversion!$E$8:$E$500,MID(Z34,1,3)*1,UomConversion!$I$8:$I$500,1))</f>
        <v>1</v>
      </c>
      <c r="BB34" s="1217">
        <f t="shared" si="10"/>
        <v>3.5</v>
      </c>
      <c r="BC34" s="1217">
        <f t="shared" si="11"/>
        <v>0.79999999999999982</v>
      </c>
      <c r="BD34" s="1217"/>
      <c r="BE34" s="629"/>
      <c r="BG34" s="1121"/>
    </row>
    <row r="35" spans="2:59" s="445" customFormat="1" ht="24.95" customHeight="1">
      <c r="C35" s="843">
        <v>16</v>
      </c>
      <c r="D35" s="843"/>
      <c r="E35" s="843"/>
      <c r="F35" s="1116" t="s">
        <v>2333</v>
      </c>
      <c r="G35" s="1117" t="s">
        <v>2333</v>
      </c>
      <c r="H35" s="868" t="s">
        <v>2992</v>
      </c>
      <c r="I35" s="1118" t="s">
        <v>2992</v>
      </c>
      <c r="J35" s="1138" t="s">
        <v>2953</v>
      </c>
      <c r="K35" s="1138" t="s">
        <v>2973</v>
      </c>
      <c r="L35" s="870" t="s">
        <v>2321</v>
      </c>
      <c r="M35" s="868" t="s">
        <v>2309</v>
      </c>
      <c r="N35" s="1118"/>
      <c r="O35" s="1119">
        <v>2.1</v>
      </c>
      <c r="P35" s="884">
        <v>2.75</v>
      </c>
      <c r="Q35" s="885"/>
      <c r="R35" s="843">
        <v>1</v>
      </c>
      <c r="S35" s="843">
        <v>0</v>
      </c>
      <c r="T35" s="843">
        <v>1</v>
      </c>
      <c r="U35" s="843">
        <v>0</v>
      </c>
      <c r="V35" s="843">
        <v>0</v>
      </c>
      <c r="W35" s="843">
        <v>1</v>
      </c>
      <c r="X35" s="870" t="s">
        <v>2939</v>
      </c>
      <c r="Y35" s="843" t="str">
        <f>IF(OR(ISNA(MATCH(MID(X35,1,3)*1,UomConversion!$D$8:$D$500,0)),H35=""),"",IF(AV35="","",AV35))</f>
        <v/>
      </c>
      <c r="Z35" s="843" t="str">
        <f>IF(AND(AU35&gt;0,COUNTIFS(UomConversion!$D$8:$D$500,MID(X35,1,3)*1,UomConversion!$J$8:$J$500,1)&gt;1),TEXT(AU35,"000")&amp;"."&amp;VLOOKUP(AU35,uom_list,5,FALSE),"")</f>
        <v/>
      </c>
      <c r="AA35" s="843">
        <f t="shared" si="4"/>
        <v>1</v>
      </c>
      <c r="AB35" s="843" t="str">
        <f t="shared" si="8"/>
        <v>2</v>
      </c>
      <c r="AC35" s="843">
        <f t="shared" ref="AC35" si="25">import_pro_number_of_price_type</f>
        <v>2</v>
      </c>
      <c r="AD35" s="1214">
        <v>2.5</v>
      </c>
      <c r="AE35" s="1214">
        <v>2.75</v>
      </c>
      <c r="AF35" s="1215"/>
      <c r="AG35" s="1215"/>
      <c r="AH35" s="1215"/>
      <c r="AI35" s="1215"/>
      <c r="AJ35" s="1216"/>
      <c r="AK35" s="1216"/>
      <c r="AL35" s="1216"/>
      <c r="AM35" s="1216"/>
      <c r="AN35" s="1216"/>
      <c r="AO35" s="1216"/>
      <c r="AP35" s="1216"/>
      <c r="AQ35" s="1216"/>
      <c r="AR35" s="1216"/>
      <c r="AS35" s="1216"/>
      <c r="AT35" s="1216"/>
      <c r="AU35" s="1120" cm="1">
        <f t="array" ref="AU35">IF(H35="","",Slookup(MID(X35,1,3)*1,UomConversion!$D$8:$J$500,2,UomConversion!$I$8:$I$500,1,UomConversion!$J$8:$J$500,1))</f>
        <v>0</v>
      </c>
      <c r="AV35" s="401" t="str">
        <f t="shared" si="6"/>
        <v/>
      </c>
      <c r="AW35" s="757">
        <f t="shared" si="7"/>
        <v>2</v>
      </c>
      <c r="AX35" s="757" t="str">
        <f t="shared" si="7"/>
        <v/>
      </c>
      <c r="AY35" s="757" t="str">
        <f t="shared" si="7"/>
        <v/>
      </c>
      <c r="AZ35" s="1209" cm="1">
        <f t="array" ref="AZ35">IF(Y35="",1,Slookup(MID(X35,1,3)*1,UomConversion!$D$8:$J$500,5,UomConversion!$E$8:$E$500,MID(Y35,1,3)*1,UomConversion!$I$8:$I$500,1))</f>
        <v>1</v>
      </c>
      <c r="BA35" s="1209" cm="1">
        <f t="array" ref="BA35">IF(Z35="",1,Slookup(MID(X35,1,3)*1,UomConversion!$D$8:$J$500,5,UomConversion!$E$8:$E$500,MID(Z35,1,3)*1,UomConversion!$I$8:$I$500,1))</f>
        <v>1</v>
      </c>
      <c r="BB35" s="1217">
        <f t="shared" si="10"/>
        <v>2.75</v>
      </c>
      <c r="BC35" s="1217">
        <f t="shared" si="11"/>
        <v>0.64999999999999991</v>
      </c>
      <c r="BD35" s="1217"/>
      <c r="BE35" s="629"/>
      <c r="BG35" s="1121"/>
    </row>
    <row r="36" spans="2:59" s="445" customFormat="1" ht="24.95" customHeight="1">
      <c r="C36" s="843">
        <v>17</v>
      </c>
      <c r="D36" s="843"/>
      <c r="E36" s="843"/>
      <c r="F36" s="1116" t="s">
        <v>2334</v>
      </c>
      <c r="G36" s="1117" t="s">
        <v>2334</v>
      </c>
      <c r="H36" s="868" t="s">
        <v>2993</v>
      </c>
      <c r="I36" s="1118" t="s">
        <v>2993</v>
      </c>
      <c r="J36" s="1138" t="s">
        <v>2953</v>
      </c>
      <c r="K36" s="1138" t="s">
        <v>2973</v>
      </c>
      <c r="L36" s="870" t="s">
        <v>2323</v>
      </c>
      <c r="M36" s="868" t="s">
        <v>2309</v>
      </c>
      <c r="N36" s="1118"/>
      <c r="O36" s="1119">
        <v>1.63</v>
      </c>
      <c r="P36" s="884">
        <v>2.25</v>
      </c>
      <c r="Q36" s="885"/>
      <c r="R36" s="843">
        <v>1</v>
      </c>
      <c r="S36" s="843">
        <v>0</v>
      </c>
      <c r="T36" s="843">
        <v>1</v>
      </c>
      <c r="U36" s="843">
        <v>0</v>
      </c>
      <c r="V36" s="843">
        <v>0</v>
      </c>
      <c r="W36" s="843">
        <v>1</v>
      </c>
      <c r="X36" s="870" t="s">
        <v>2939</v>
      </c>
      <c r="Y36" s="843" t="str">
        <f>IF(OR(ISNA(MATCH(MID(X36,1,3)*1,UomConversion!$D$8:$D$500,0)),H36=""),"",IF(AV36="","",AV36))</f>
        <v/>
      </c>
      <c r="Z36" s="843" t="str">
        <f>IF(AND(AU36&gt;0,COUNTIFS(UomConversion!$D$8:$D$500,MID(X36,1,3)*1,UomConversion!$J$8:$J$500,1)&gt;1),TEXT(AU36,"000")&amp;"."&amp;VLOOKUP(AU36,uom_list,5,FALSE),"")</f>
        <v/>
      </c>
      <c r="AA36" s="843">
        <f t="shared" si="4"/>
        <v>1</v>
      </c>
      <c r="AB36" s="843" t="str">
        <f t="shared" si="8"/>
        <v>2</v>
      </c>
      <c r="AC36" s="843">
        <f t="shared" ref="AC36" si="26">import_pro_number_of_price_type</f>
        <v>2</v>
      </c>
      <c r="AD36" s="1214">
        <v>1.85</v>
      </c>
      <c r="AE36" s="1214">
        <v>2.25</v>
      </c>
      <c r="AF36" s="1215"/>
      <c r="AG36" s="1215"/>
      <c r="AH36" s="1215"/>
      <c r="AI36" s="1215"/>
      <c r="AJ36" s="1216"/>
      <c r="AK36" s="1216"/>
      <c r="AL36" s="1216"/>
      <c r="AM36" s="1216"/>
      <c r="AN36" s="1216"/>
      <c r="AO36" s="1216"/>
      <c r="AP36" s="1216"/>
      <c r="AQ36" s="1216"/>
      <c r="AR36" s="1216"/>
      <c r="AS36" s="1216"/>
      <c r="AT36" s="1216"/>
      <c r="AU36" s="1120" cm="1">
        <f t="array" ref="AU36">IF(H36="","",Slookup(MID(X36,1,3)*1,UomConversion!$D$8:$J$500,2,UomConversion!$I$8:$I$500,1,UomConversion!$J$8:$J$500,1))</f>
        <v>0</v>
      </c>
      <c r="AV36" s="401" t="str">
        <f t="shared" si="6"/>
        <v/>
      </c>
      <c r="AW36" s="757">
        <f t="shared" si="7"/>
        <v>2</v>
      </c>
      <c r="AX36" s="757" t="str">
        <f t="shared" si="7"/>
        <v/>
      </c>
      <c r="AY36" s="757" t="str">
        <f t="shared" si="7"/>
        <v/>
      </c>
      <c r="AZ36" s="1209" cm="1">
        <f t="array" ref="AZ36">IF(Y36="",1,Slookup(MID(X36,1,3)*1,UomConversion!$D$8:$J$500,5,UomConversion!$E$8:$E$500,MID(Y36,1,3)*1,UomConversion!$I$8:$I$500,1))</f>
        <v>1</v>
      </c>
      <c r="BA36" s="1209" cm="1">
        <f t="array" ref="BA36">IF(Z36="",1,Slookup(MID(X36,1,3)*1,UomConversion!$D$8:$J$500,5,UomConversion!$E$8:$E$500,MID(Z36,1,3)*1,UomConversion!$I$8:$I$500,1))</f>
        <v>1</v>
      </c>
      <c r="BB36" s="1217">
        <f t="shared" si="10"/>
        <v>2.25</v>
      </c>
      <c r="BC36" s="1217">
        <f t="shared" si="11"/>
        <v>0.62000000000000011</v>
      </c>
      <c r="BD36" s="1217"/>
      <c r="BE36" s="629"/>
      <c r="BG36" s="1121"/>
    </row>
    <row r="37" spans="2:59" s="445" customFormat="1" ht="24.95" customHeight="1">
      <c r="C37" s="843">
        <v>18</v>
      </c>
      <c r="D37" s="843"/>
      <c r="E37" s="843"/>
      <c r="F37" s="1116" t="s">
        <v>2335</v>
      </c>
      <c r="G37" s="1117" t="s">
        <v>2335</v>
      </c>
      <c r="H37" s="868" t="s">
        <v>2994</v>
      </c>
      <c r="I37" s="1118" t="s">
        <v>2994</v>
      </c>
      <c r="J37" s="1138" t="s">
        <v>2953</v>
      </c>
      <c r="K37" s="1138" t="s">
        <v>2973</v>
      </c>
      <c r="L37" s="870" t="s">
        <v>2336</v>
      </c>
      <c r="M37" s="868" t="s">
        <v>2309</v>
      </c>
      <c r="N37" s="1118"/>
      <c r="O37" s="1119">
        <v>1.35</v>
      </c>
      <c r="P37" s="884">
        <v>2</v>
      </c>
      <c r="Q37" s="885"/>
      <c r="R37" s="843">
        <v>1</v>
      </c>
      <c r="S37" s="843">
        <v>0</v>
      </c>
      <c r="T37" s="843">
        <v>1</v>
      </c>
      <c r="U37" s="843">
        <v>0</v>
      </c>
      <c r="V37" s="843">
        <v>0</v>
      </c>
      <c r="W37" s="843">
        <v>1</v>
      </c>
      <c r="X37" s="870" t="s">
        <v>2939</v>
      </c>
      <c r="Y37" s="843" t="str">
        <f>IF(OR(ISNA(MATCH(MID(X37,1,3)*1,UomConversion!$D$8:$D$500,0)),H37=""),"",IF(AV37="","",AV37))</f>
        <v/>
      </c>
      <c r="Z37" s="843" t="str">
        <f>IF(AND(AU37&gt;0,COUNTIFS(UomConversion!$D$8:$D$500,MID(X37,1,3)*1,UomConversion!$J$8:$J$500,1)&gt;1),TEXT(AU37,"000")&amp;"."&amp;VLOOKUP(AU37,uom_list,5,FALSE),"")</f>
        <v/>
      </c>
      <c r="AA37" s="843">
        <f t="shared" si="4"/>
        <v>1</v>
      </c>
      <c r="AB37" s="843" t="str">
        <f t="shared" si="8"/>
        <v>2</v>
      </c>
      <c r="AC37" s="843">
        <f t="shared" ref="AC37" si="27">import_pro_number_of_price_type</f>
        <v>2</v>
      </c>
      <c r="AD37" s="1214">
        <v>1.75</v>
      </c>
      <c r="AE37" s="1214">
        <v>2</v>
      </c>
      <c r="AF37" s="1215"/>
      <c r="AG37" s="1215"/>
      <c r="AH37" s="1215"/>
      <c r="AI37" s="1215"/>
      <c r="AJ37" s="1216"/>
      <c r="AK37" s="1216"/>
      <c r="AL37" s="1216"/>
      <c r="AM37" s="1216"/>
      <c r="AN37" s="1216"/>
      <c r="AO37" s="1216"/>
      <c r="AP37" s="1216"/>
      <c r="AQ37" s="1216"/>
      <c r="AR37" s="1216"/>
      <c r="AS37" s="1216"/>
      <c r="AT37" s="1216"/>
      <c r="AU37" s="1120" cm="1">
        <f t="array" ref="AU37">IF(H37="","",Slookup(MID(X37,1,3)*1,UomConversion!$D$8:$J$500,2,UomConversion!$I$8:$I$500,1,UomConversion!$J$8:$J$500,1))</f>
        <v>0</v>
      </c>
      <c r="AV37" s="401" t="str">
        <f t="shared" si="6"/>
        <v/>
      </c>
      <c r="AW37" s="757">
        <f t="shared" si="7"/>
        <v>2</v>
      </c>
      <c r="AX37" s="757" t="str">
        <f t="shared" si="7"/>
        <v/>
      </c>
      <c r="AY37" s="757" t="str">
        <f t="shared" si="7"/>
        <v/>
      </c>
      <c r="AZ37" s="1209" cm="1">
        <f t="array" ref="AZ37">IF(Y37="",1,Slookup(MID(X37,1,3)*1,UomConversion!$D$8:$J$500,5,UomConversion!$E$8:$E$500,MID(Y37,1,3)*1,UomConversion!$I$8:$I$500,1))</f>
        <v>1</v>
      </c>
      <c r="BA37" s="1209" cm="1">
        <f t="array" ref="BA37">IF(Z37="",1,Slookup(MID(X37,1,3)*1,UomConversion!$D$8:$J$500,5,UomConversion!$E$8:$E$500,MID(Z37,1,3)*1,UomConversion!$I$8:$I$500,1))</f>
        <v>1</v>
      </c>
      <c r="BB37" s="1217">
        <f t="shared" si="10"/>
        <v>2</v>
      </c>
      <c r="BC37" s="1217">
        <f t="shared" si="11"/>
        <v>0.64999999999999991</v>
      </c>
      <c r="BD37" s="1217"/>
      <c r="BE37" s="629"/>
      <c r="BG37" s="1121"/>
    </row>
    <row r="38" spans="2:59" s="445" customFormat="1" ht="24.95" customHeight="1">
      <c r="C38" s="843">
        <v>19</v>
      </c>
      <c r="D38" s="843"/>
      <c r="E38" s="843"/>
      <c r="F38" s="1116" t="s">
        <v>2337</v>
      </c>
      <c r="G38" s="1117" t="s">
        <v>2337</v>
      </c>
      <c r="H38" s="868" t="s">
        <v>2995</v>
      </c>
      <c r="I38" s="1118" t="s">
        <v>2995</v>
      </c>
      <c r="J38" s="1138" t="s">
        <v>2953</v>
      </c>
      <c r="K38" s="1138" t="s">
        <v>2973</v>
      </c>
      <c r="L38" s="870" t="s">
        <v>2308</v>
      </c>
      <c r="M38" s="868" t="s">
        <v>2309</v>
      </c>
      <c r="N38" s="1118"/>
      <c r="O38" s="1119">
        <v>7.49</v>
      </c>
      <c r="P38" s="884">
        <v>8</v>
      </c>
      <c r="Q38" s="885"/>
      <c r="R38" s="843">
        <v>1</v>
      </c>
      <c r="S38" s="843">
        <v>0</v>
      </c>
      <c r="T38" s="843">
        <v>1</v>
      </c>
      <c r="U38" s="843">
        <v>0</v>
      </c>
      <c r="V38" s="843">
        <v>0</v>
      </c>
      <c r="W38" s="843">
        <v>1</v>
      </c>
      <c r="X38" s="870" t="s">
        <v>2939</v>
      </c>
      <c r="Y38" s="843" t="str">
        <f>IF(OR(ISNA(MATCH(MID(X38,1,3)*1,UomConversion!$D$8:$D$500,0)),H38=""),"",IF(AV38="","",AV38))</f>
        <v/>
      </c>
      <c r="Z38" s="843" t="str">
        <f>IF(AND(AU38&gt;0,COUNTIFS(UomConversion!$D$8:$D$500,MID(X38,1,3)*1,UomConversion!$J$8:$J$500,1)&gt;1),TEXT(AU38,"000")&amp;"."&amp;VLOOKUP(AU38,uom_list,5,FALSE),"")</f>
        <v/>
      </c>
      <c r="AA38" s="843">
        <f t="shared" si="4"/>
        <v>1</v>
      </c>
      <c r="AB38" s="843" t="str">
        <f t="shared" si="8"/>
        <v>2</v>
      </c>
      <c r="AC38" s="843">
        <f t="shared" ref="AC38" si="28">import_pro_number_of_price_type</f>
        <v>2</v>
      </c>
      <c r="AD38" s="1214">
        <v>7.75</v>
      </c>
      <c r="AE38" s="1214">
        <v>8</v>
      </c>
      <c r="AF38" s="1215"/>
      <c r="AG38" s="1215"/>
      <c r="AH38" s="1215"/>
      <c r="AI38" s="1215"/>
      <c r="AJ38" s="1216"/>
      <c r="AK38" s="1216"/>
      <c r="AL38" s="1216"/>
      <c r="AM38" s="1216"/>
      <c r="AN38" s="1216"/>
      <c r="AO38" s="1216"/>
      <c r="AP38" s="1216"/>
      <c r="AQ38" s="1216"/>
      <c r="AR38" s="1216"/>
      <c r="AS38" s="1216"/>
      <c r="AT38" s="1216"/>
      <c r="AU38" s="1120" cm="1">
        <f t="array" ref="AU38">IF(H38="","",Slookup(MID(X38,1,3)*1,UomConversion!$D$8:$J$500,2,UomConversion!$I$8:$I$500,1,UomConversion!$J$8:$J$500,1))</f>
        <v>0</v>
      </c>
      <c r="AV38" s="401" t="str">
        <f t="shared" si="6"/>
        <v/>
      </c>
      <c r="AW38" s="757">
        <f t="shared" si="7"/>
        <v>2</v>
      </c>
      <c r="AX38" s="757" t="str">
        <f t="shared" si="7"/>
        <v/>
      </c>
      <c r="AY38" s="757" t="str">
        <f t="shared" si="7"/>
        <v/>
      </c>
      <c r="AZ38" s="1209" cm="1">
        <f t="array" ref="AZ38">IF(Y38="",1,Slookup(MID(X38,1,3)*1,UomConversion!$D$8:$J$500,5,UomConversion!$E$8:$E$500,MID(Y38,1,3)*1,UomConversion!$I$8:$I$500,1))</f>
        <v>1</v>
      </c>
      <c r="BA38" s="1209" cm="1">
        <f t="array" ref="BA38">IF(Z38="",1,Slookup(MID(X38,1,3)*1,UomConversion!$D$8:$J$500,5,UomConversion!$E$8:$E$500,MID(Z38,1,3)*1,UomConversion!$I$8:$I$500,1))</f>
        <v>1</v>
      </c>
      <c r="BB38" s="1217">
        <f t="shared" si="10"/>
        <v>8</v>
      </c>
      <c r="BC38" s="1217">
        <f t="shared" si="11"/>
        <v>0.50999999999999979</v>
      </c>
      <c r="BD38" s="1217"/>
      <c r="BE38" s="629"/>
      <c r="BG38" s="1121"/>
    </row>
    <row r="39" spans="2:59" s="445" customFormat="1" ht="24.95" customHeight="1">
      <c r="C39" s="843">
        <v>20</v>
      </c>
      <c r="D39" s="843"/>
      <c r="E39" s="843"/>
      <c r="F39" s="1116" t="s">
        <v>2339</v>
      </c>
      <c r="G39" s="1117" t="s">
        <v>2339</v>
      </c>
      <c r="H39" s="868" t="s">
        <v>2996</v>
      </c>
      <c r="I39" s="1118" t="s">
        <v>2996</v>
      </c>
      <c r="J39" s="1138" t="s">
        <v>2953</v>
      </c>
      <c r="K39" s="1138" t="s">
        <v>2973</v>
      </c>
      <c r="L39" s="870" t="s">
        <v>2311</v>
      </c>
      <c r="M39" s="868" t="s">
        <v>2309</v>
      </c>
      <c r="N39" s="1118"/>
      <c r="O39" s="1119">
        <v>5.03</v>
      </c>
      <c r="P39" s="884">
        <v>5.25</v>
      </c>
      <c r="Q39" s="885"/>
      <c r="R39" s="843">
        <v>1</v>
      </c>
      <c r="S39" s="843">
        <v>0</v>
      </c>
      <c r="T39" s="843">
        <v>1</v>
      </c>
      <c r="U39" s="843">
        <v>0</v>
      </c>
      <c r="V39" s="843">
        <v>0</v>
      </c>
      <c r="W39" s="843">
        <v>1</v>
      </c>
      <c r="X39" s="870" t="s">
        <v>2939</v>
      </c>
      <c r="Y39" s="843" t="str">
        <f>IF(OR(ISNA(MATCH(MID(X39,1,3)*1,UomConversion!$D$8:$D$500,0)),H39=""),"",IF(AV39="","",AV39))</f>
        <v/>
      </c>
      <c r="Z39" s="843" t="str">
        <f>IF(AND(AU39&gt;0,COUNTIFS(UomConversion!$D$8:$D$500,MID(X39,1,3)*1,UomConversion!$J$8:$J$500,1)&gt;1),TEXT(AU39,"000")&amp;"."&amp;VLOOKUP(AU39,uom_list,5,FALSE),"")</f>
        <v/>
      </c>
      <c r="AA39" s="843">
        <f t="shared" si="4"/>
        <v>1</v>
      </c>
      <c r="AB39" s="843" t="str">
        <f t="shared" si="8"/>
        <v>2</v>
      </c>
      <c r="AC39" s="843">
        <f t="shared" ref="AC39" si="29">import_pro_number_of_price_type</f>
        <v>2</v>
      </c>
      <c r="AD39" s="1214">
        <v>5.45</v>
      </c>
      <c r="AE39" s="1214">
        <v>5.25</v>
      </c>
      <c r="AF39" s="1215"/>
      <c r="AG39" s="1215"/>
      <c r="AH39" s="1215"/>
      <c r="AI39" s="1215"/>
      <c r="AJ39" s="1216"/>
      <c r="AK39" s="1216"/>
      <c r="AL39" s="1216"/>
      <c r="AM39" s="1216"/>
      <c r="AN39" s="1216"/>
      <c r="AO39" s="1216"/>
      <c r="AP39" s="1216"/>
      <c r="AQ39" s="1216"/>
      <c r="AR39" s="1216"/>
      <c r="AS39" s="1216"/>
      <c r="AT39" s="1216"/>
      <c r="AU39" s="1120" cm="1">
        <f t="array" ref="AU39">IF(H39="","",Slookup(MID(X39,1,3)*1,UomConversion!$D$8:$J$500,2,UomConversion!$I$8:$I$500,1,UomConversion!$J$8:$J$500,1))</f>
        <v>0</v>
      </c>
      <c r="AV39" s="401" t="str">
        <f t="shared" si="6"/>
        <v/>
      </c>
      <c r="AW39" s="757">
        <f t="shared" si="7"/>
        <v>2</v>
      </c>
      <c r="AX39" s="757" t="str">
        <f t="shared" si="7"/>
        <v/>
      </c>
      <c r="AY39" s="757" t="str">
        <f t="shared" si="7"/>
        <v/>
      </c>
      <c r="AZ39" s="1209" cm="1">
        <f t="array" ref="AZ39">IF(Y39="",1,Slookup(MID(X39,1,3)*1,UomConversion!$D$8:$J$500,5,UomConversion!$E$8:$E$500,MID(Y39,1,3)*1,UomConversion!$I$8:$I$500,1))</f>
        <v>1</v>
      </c>
      <c r="BA39" s="1209" cm="1">
        <f t="array" ref="BA39">IF(Z39="",1,Slookup(MID(X39,1,3)*1,UomConversion!$D$8:$J$500,5,UomConversion!$E$8:$E$500,MID(Z39,1,3)*1,UomConversion!$I$8:$I$500,1))</f>
        <v>1</v>
      </c>
      <c r="BB39" s="1217">
        <f t="shared" si="10"/>
        <v>5.25</v>
      </c>
      <c r="BC39" s="1217">
        <f t="shared" si="11"/>
        <v>0.21999999999999975</v>
      </c>
      <c r="BD39" s="1217"/>
      <c r="BE39" s="629"/>
      <c r="BG39" s="1121"/>
    </row>
    <row r="40" spans="2:59" s="445" customFormat="1" ht="24.95" customHeight="1">
      <c r="C40" s="843">
        <v>21</v>
      </c>
      <c r="D40" s="843"/>
      <c r="E40" s="843"/>
      <c r="F40" s="1116" t="s">
        <v>2341</v>
      </c>
      <c r="G40" s="1117" t="s">
        <v>2341</v>
      </c>
      <c r="H40" s="868" t="s">
        <v>2997</v>
      </c>
      <c r="I40" s="1118" t="s">
        <v>2997</v>
      </c>
      <c r="J40" s="1138" t="s">
        <v>2953</v>
      </c>
      <c r="K40" s="1138" t="s">
        <v>2973</v>
      </c>
      <c r="L40" s="870" t="s">
        <v>2313</v>
      </c>
      <c r="M40" s="868" t="s">
        <v>2309</v>
      </c>
      <c r="N40" s="1118"/>
      <c r="O40" s="1119">
        <v>4.3099999999999996</v>
      </c>
      <c r="P40" s="884">
        <v>4.75</v>
      </c>
      <c r="Q40" s="885"/>
      <c r="R40" s="843">
        <v>1</v>
      </c>
      <c r="S40" s="843">
        <v>0</v>
      </c>
      <c r="T40" s="843">
        <v>1</v>
      </c>
      <c r="U40" s="843">
        <v>0</v>
      </c>
      <c r="V40" s="843">
        <v>0</v>
      </c>
      <c r="W40" s="843">
        <v>1</v>
      </c>
      <c r="X40" s="870" t="s">
        <v>2939</v>
      </c>
      <c r="Y40" s="843" t="str">
        <f>IF(OR(ISNA(MATCH(MID(X40,1,3)*1,UomConversion!$D$8:$D$500,0)),H40=""),"",IF(AV40="","",AV40))</f>
        <v/>
      </c>
      <c r="Z40" s="843" t="str">
        <f>IF(AND(AU40&gt;0,COUNTIFS(UomConversion!$D$8:$D$500,MID(X40,1,3)*1,UomConversion!$J$8:$J$500,1)&gt;1),TEXT(AU40,"000")&amp;"."&amp;VLOOKUP(AU40,uom_list,5,FALSE),"")</f>
        <v/>
      </c>
      <c r="AA40" s="843">
        <f t="shared" si="4"/>
        <v>1</v>
      </c>
      <c r="AB40" s="843" t="str">
        <f t="shared" si="8"/>
        <v>2</v>
      </c>
      <c r="AC40" s="843">
        <f t="shared" ref="AC40" si="30">import_pro_number_of_price_type</f>
        <v>2</v>
      </c>
      <c r="AD40" s="1214">
        <v>4.55</v>
      </c>
      <c r="AE40" s="1214">
        <v>4.75</v>
      </c>
      <c r="AF40" s="1215"/>
      <c r="AG40" s="1215"/>
      <c r="AH40" s="1215"/>
      <c r="AI40" s="1215"/>
      <c r="AJ40" s="1216"/>
      <c r="AK40" s="1216"/>
      <c r="AL40" s="1216"/>
      <c r="AM40" s="1216"/>
      <c r="AN40" s="1216"/>
      <c r="AO40" s="1216"/>
      <c r="AP40" s="1216"/>
      <c r="AQ40" s="1216"/>
      <c r="AR40" s="1216"/>
      <c r="AS40" s="1216"/>
      <c r="AT40" s="1216"/>
      <c r="AU40" s="1120" cm="1">
        <f t="array" ref="AU40">IF(H40="","",Slookup(MID(X40,1,3)*1,UomConversion!$D$8:$J$500,2,UomConversion!$I$8:$I$500,1,UomConversion!$J$8:$J$500,1))</f>
        <v>0</v>
      </c>
      <c r="AV40" s="401" t="str">
        <f t="shared" si="6"/>
        <v/>
      </c>
      <c r="AW40" s="757">
        <f t="shared" si="7"/>
        <v>2</v>
      </c>
      <c r="AX40" s="757" t="str">
        <f t="shared" si="7"/>
        <v/>
      </c>
      <c r="AY40" s="757" t="str">
        <f t="shared" si="7"/>
        <v/>
      </c>
      <c r="AZ40" s="1209" cm="1">
        <f t="array" ref="AZ40">IF(Y40="",1,Slookup(MID(X40,1,3)*1,UomConversion!$D$8:$J$500,5,UomConversion!$E$8:$E$500,MID(Y40,1,3)*1,UomConversion!$I$8:$I$500,1))</f>
        <v>1</v>
      </c>
      <c r="BA40" s="1209" cm="1">
        <f t="array" ref="BA40">IF(Z40="",1,Slookup(MID(X40,1,3)*1,UomConversion!$D$8:$J$500,5,UomConversion!$E$8:$E$500,MID(Z40,1,3)*1,UomConversion!$I$8:$I$500,1))</f>
        <v>1</v>
      </c>
      <c r="BB40" s="1217">
        <f t="shared" si="10"/>
        <v>4.75</v>
      </c>
      <c r="BC40" s="1217">
        <f t="shared" si="11"/>
        <v>0.44000000000000039</v>
      </c>
      <c r="BD40" s="1217"/>
      <c r="BE40" s="629"/>
      <c r="BG40" s="1121"/>
    </row>
    <row r="41" spans="2:59" s="445" customFormat="1" ht="24.95" customHeight="1">
      <c r="C41" s="843">
        <v>22</v>
      </c>
      <c r="D41" s="843"/>
      <c r="E41" s="843"/>
      <c r="F41" s="1116" t="s">
        <v>2343</v>
      </c>
      <c r="G41" s="1117" t="s">
        <v>2343</v>
      </c>
      <c r="H41" s="868" t="s">
        <v>2998</v>
      </c>
      <c r="I41" s="1118" t="s">
        <v>2998</v>
      </c>
      <c r="J41" s="1138" t="s">
        <v>2953</v>
      </c>
      <c r="K41" s="1138" t="s">
        <v>2973</v>
      </c>
      <c r="L41" s="870" t="s">
        <v>2315</v>
      </c>
      <c r="M41" s="868" t="s">
        <v>2309</v>
      </c>
      <c r="N41" s="1118"/>
      <c r="O41" s="1119">
        <v>2.9</v>
      </c>
      <c r="P41" s="884">
        <v>3.25</v>
      </c>
      <c r="Q41" s="885"/>
      <c r="R41" s="843">
        <v>1</v>
      </c>
      <c r="S41" s="843">
        <v>0</v>
      </c>
      <c r="T41" s="843">
        <v>1</v>
      </c>
      <c r="U41" s="843">
        <v>0</v>
      </c>
      <c r="V41" s="843">
        <v>0</v>
      </c>
      <c r="W41" s="843">
        <v>1</v>
      </c>
      <c r="X41" s="870" t="s">
        <v>2939</v>
      </c>
      <c r="Y41" s="843" t="str">
        <f>IF(OR(ISNA(MATCH(MID(X41,1,3)*1,UomConversion!$D$8:$D$500,0)),H41=""),"",IF(AV41="","",AV41))</f>
        <v/>
      </c>
      <c r="Z41" s="843" t="str">
        <f>IF(AND(AU41&gt;0,COUNTIFS(UomConversion!$D$8:$D$500,MID(X41,1,3)*1,UomConversion!$J$8:$J$500,1)&gt;1),TEXT(AU41,"000")&amp;"."&amp;VLOOKUP(AU41,uom_list,5,FALSE),"")</f>
        <v/>
      </c>
      <c r="AA41" s="843">
        <f t="shared" si="4"/>
        <v>1</v>
      </c>
      <c r="AB41" s="843" t="str">
        <f t="shared" si="8"/>
        <v>2</v>
      </c>
      <c r="AC41" s="843">
        <f t="shared" ref="AC41" si="31">import_pro_number_of_price_type</f>
        <v>2</v>
      </c>
      <c r="AD41" s="1214">
        <v>3.1</v>
      </c>
      <c r="AE41" s="1214">
        <v>3.25</v>
      </c>
      <c r="AF41" s="1215"/>
      <c r="AG41" s="1215"/>
      <c r="AH41" s="1215"/>
      <c r="AI41" s="1215"/>
      <c r="AJ41" s="1216"/>
      <c r="AK41" s="1216"/>
      <c r="AL41" s="1216"/>
      <c r="AM41" s="1216"/>
      <c r="AN41" s="1216"/>
      <c r="AO41" s="1216"/>
      <c r="AP41" s="1216"/>
      <c r="AQ41" s="1216"/>
      <c r="AR41" s="1216"/>
      <c r="AS41" s="1216"/>
      <c r="AT41" s="1216"/>
      <c r="AU41" s="1120" cm="1">
        <f t="array" ref="AU41">IF(H41="","",Slookup(MID(X41,1,3)*1,UomConversion!$D$8:$J$500,2,UomConversion!$I$8:$I$500,1,UomConversion!$J$8:$J$500,1))</f>
        <v>0</v>
      </c>
      <c r="AV41" s="401" t="str">
        <f t="shared" si="6"/>
        <v/>
      </c>
      <c r="AW41" s="757">
        <f t="shared" si="7"/>
        <v>2</v>
      </c>
      <c r="AX41" s="757" t="str">
        <f t="shared" si="7"/>
        <v/>
      </c>
      <c r="AY41" s="757" t="str">
        <f t="shared" si="7"/>
        <v/>
      </c>
      <c r="AZ41" s="1209" cm="1">
        <f t="array" ref="AZ41">IF(Y41="",1,Slookup(MID(X41,1,3)*1,UomConversion!$D$8:$J$500,5,UomConversion!$E$8:$E$500,MID(Y41,1,3)*1,UomConversion!$I$8:$I$500,1))</f>
        <v>1</v>
      </c>
      <c r="BA41" s="1209" cm="1">
        <f t="array" ref="BA41">IF(Z41="",1,Slookup(MID(X41,1,3)*1,UomConversion!$D$8:$J$500,5,UomConversion!$E$8:$E$500,MID(Z41,1,3)*1,UomConversion!$I$8:$I$500,1))</f>
        <v>1</v>
      </c>
      <c r="BB41" s="1217">
        <f t="shared" si="10"/>
        <v>3.25</v>
      </c>
      <c r="BC41" s="1217">
        <f t="shared" si="11"/>
        <v>0.35000000000000009</v>
      </c>
      <c r="BD41" s="1217"/>
      <c r="BE41" s="629"/>
      <c r="BG41" s="1121"/>
    </row>
    <row r="42" spans="2:59" s="445" customFormat="1" ht="24.95" customHeight="1">
      <c r="C42" s="843">
        <v>23</v>
      </c>
      <c r="D42" s="843"/>
      <c r="E42" s="843"/>
      <c r="F42" s="1116" t="s">
        <v>2345</v>
      </c>
      <c r="G42" s="1117" t="s">
        <v>2345</v>
      </c>
      <c r="H42" s="868" t="s">
        <v>2999</v>
      </c>
      <c r="I42" s="1118" t="s">
        <v>2999</v>
      </c>
      <c r="J42" s="1138" t="s">
        <v>2953</v>
      </c>
      <c r="K42" s="1138" t="s">
        <v>2973</v>
      </c>
      <c r="L42" s="870" t="s">
        <v>2317</v>
      </c>
      <c r="M42" s="868" t="s">
        <v>2309</v>
      </c>
      <c r="N42" s="1118"/>
      <c r="O42" s="1119">
        <v>2.12</v>
      </c>
      <c r="P42" s="884">
        <v>2.75</v>
      </c>
      <c r="Q42" s="885"/>
      <c r="R42" s="843">
        <v>1</v>
      </c>
      <c r="S42" s="843">
        <v>0</v>
      </c>
      <c r="T42" s="843">
        <v>1</v>
      </c>
      <c r="U42" s="843">
        <v>0</v>
      </c>
      <c r="V42" s="843">
        <v>0</v>
      </c>
      <c r="W42" s="843">
        <v>1</v>
      </c>
      <c r="X42" s="870" t="s">
        <v>2939</v>
      </c>
      <c r="Y42" s="843" t="str">
        <f>IF(OR(ISNA(MATCH(MID(X42,1,3)*1,UomConversion!$D$8:$D$500,0)),H42=""),"",IF(AV42="","",AV42))</f>
        <v/>
      </c>
      <c r="Z42" s="843" t="str">
        <f>IF(AND(AU42&gt;0,COUNTIFS(UomConversion!$D$8:$D$500,MID(X42,1,3)*1,UomConversion!$J$8:$J$500,1)&gt;1),TEXT(AU42,"000")&amp;"."&amp;VLOOKUP(AU42,uom_list,5,FALSE),"")</f>
        <v/>
      </c>
      <c r="AA42" s="843">
        <f t="shared" si="4"/>
        <v>1</v>
      </c>
      <c r="AB42" s="843" t="str">
        <f t="shared" si="8"/>
        <v>2</v>
      </c>
      <c r="AC42" s="843">
        <f t="shared" ref="AC42" si="32">import_pro_number_of_price_type</f>
        <v>2</v>
      </c>
      <c r="AD42" s="1214">
        <v>2.5</v>
      </c>
      <c r="AE42" s="1214">
        <v>2.75</v>
      </c>
      <c r="AF42" s="1215"/>
      <c r="AG42" s="1215"/>
      <c r="AH42" s="1215"/>
      <c r="AI42" s="1215"/>
      <c r="AJ42" s="1216"/>
      <c r="AK42" s="1216"/>
      <c r="AL42" s="1216"/>
      <c r="AM42" s="1216"/>
      <c r="AN42" s="1216"/>
      <c r="AO42" s="1216"/>
      <c r="AP42" s="1216"/>
      <c r="AQ42" s="1216"/>
      <c r="AR42" s="1216"/>
      <c r="AS42" s="1216"/>
      <c r="AT42" s="1216"/>
      <c r="AU42" s="1120" cm="1">
        <f t="array" ref="AU42">IF(H42="","",Slookup(MID(X42,1,3)*1,UomConversion!$D$8:$J$500,2,UomConversion!$I$8:$I$500,1,UomConversion!$J$8:$J$500,1))</f>
        <v>0</v>
      </c>
      <c r="AV42" s="401" t="str">
        <f t="shared" si="6"/>
        <v/>
      </c>
      <c r="AW42" s="757">
        <f t="shared" si="7"/>
        <v>2</v>
      </c>
      <c r="AX42" s="757" t="str">
        <f t="shared" si="7"/>
        <v/>
      </c>
      <c r="AY42" s="757" t="str">
        <f t="shared" si="7"/>
        <v/>
      </c>
      <c r="AZ42" s="1209" cm="1">
        <f t="array" ref="AZ42">IF(Y42="",1,Slookup(MID(X42,1,3)*1,UomConversion!$D$8:$J$500,5,UomConversion!$E$8:$E$500,MID(Y42,1,3)*1,UomConversion!$I$8:$I$500,1))</f>
        <v>1</v>
      </c>
      <c r="BA42" s="1209" cm="1">
        <f t="array" ref="BA42">IF(Z42="",1,Slookup(MID(X42,1,3)*1,UomConversion!$D$8:$J$500,5,UomConversion!$E$8:$E$500,MID(Z42,1,3)*1,UomConversion!$I$8:$I$500,1))</f>
        <v>1</v>
      </c>
      <c r="BB42" s="1217">
        <f t="shared" si="10"/>
        <v>2.75</v>
      </c>
      <c r="BC42" s="1217">
        <f t="shared" si="11"/>
        <v>0.62999999999999989</v>
      </c>
      <c r="BD42" s="1217"/>
      <c r="BE42" s="629"/>
      <c r="BG42" s="1121"/>
    </row>
    <row r="43" spans="2:59" s="445" customFormat="1" ht="24.95" customHeight="1">
      <c r="C43" s="843">
        <v>24</v>
      </c>
      <c r="D43" s="843"/>
      <c r="E43" s="843"/>
      <c r="F43" s="1116" t="s">
        <v>2347</v>
      </c>
      <c r="G43" s="1117" t="s">
        <v>2347</v>
      </c>
      <c r="H43" s="868" t="s">
        <v>3000</v>
      </c>
      <c r="I43" s="1118" t="s">
        <v>3000</v>
      </c>
      <c r="J43" s="1138" t="s">
        <v>2953</v>
      </c>
      <c r="K43" s="1138" t="s">
        <v>2973</v>
      </c>
      <c r="L43" s="870" t="s">
        <v>2319</v>
      </c>
      <c r="M43" s="868" t="s">
        <v>2309</v>
      </c>
      <c r="N43" s="1118"/>
      <c r="O43" s="1119">
        <v>1.73</v>
      </c>
      <c r="P43" s="884">
        <v>2.25</v>
      </c>
      <c r="Q43" s="885"/>
      <c r="R43" s="843">
        <v>1</v>
      </c>
      <c r="S43" s="843">
        <v>0</v>
      </c>
      <c r="T43" s="843">
        <v>1</v>
      </c>
      <c r="U43" s="843">
        <v>0</v>
      </c>
      <c r="V43" s="843">
        <v>0</v>
      </c>
      <c r="W43" s="843">
        <v>1</v>
      </c>
      <c r="X43" s="870" t="s">
        <v>2939</v>
      </c>
      <c r="Y43" s="843" t="str">
        <f>IF(OR(ISNA(MATCH(MID(X43,1,3)*1,UomConversion!$D$8:$D$500,0)),H43=""),"",IF(AV43="","",AV43))</f>
        <v/>
      </c>
      <c r="Z43" s="843" t="str">
        <f>IF(AND(AU43&gt;0,COUNTIFS(UomConversion!$D$8:$D$500,MID(X43,1,3)*1,UomConversion!$J$8:$J$500,1)&gt;1),TEXT(AU43,"000")&amp;"."&amp;VLOOKUP(AU43,uom_list,5,FALSE),"")</f>
        <v/>
      </c>
      <c r="AA43" s="843">
        <f t="shared" si="4"/>
        <v>1</v>
      </c>
      <c r="AB43" s="843" t="str">
        <f t="shared" si="8"/>
        <v>2</v>
      </c>
      <c r="AC43" s="843">
        <f t="shared" ref="AC43" si="33">import_pro_number_of_price_type</f>
        <v>2</v>
      </c>
      <c r="AD43" s="1214">
        <v>2</v>
      </c>
      <c r="AE43" s="1214">
        <v>2.25</v>
      </c>
      <c r="AF43" s="1215"/>
      <c r="AG43" s="1215"/>
      <c r="AH43" s="1215"/>
      <c r="AI43" s="1215"/>
      <c r="AJ43" s="1216"/>
      <c r="AK43" s="1216"/>
      <c r="AL43" s="1216"/>
      <c r="AM43" s="1216"/>
      <c r="AN43" s="1216"/>
      <c r="AO43" s="1216"/>
      <c r="AP43" s="1216"/>
      <c r="AQ43" s="1216"/>
      <c r="AR43" s="1216"/>
      <c r="AS43" s="1216"/>
      <c r="AT43" s="1216"/>
      <c r="AU43" s="1120" cm="1">
        <f t="array" ref="AU43">IF(H43="","",Slookup(MID(X43,1,3)*1,UomConversion!$D$8:$J$500,2,UomConversion!$I$8:$I$500,1,UomConversion!$J$8:$J$500,1))</f>
        <v>0</v>
      </c>
      <c r="AV43" s="401" t="str">
        <f t="shared" si="6"/>
        <v/>
      </c>
      <c r="AW43" s="757">
        <f t="shared" si="7"/>
        <v>2</v>
      </c>
      <c r="AX43" s="757" t="str">
        <f t="shared" si="7"/>
        <v/>
      </c>
      <c r="AY43" s="757" t="str">
        <f t="shared" si="7"/>
        <v/>
      </c>
      <c r="AZ43" s="1209" cm="1">
        <f t="array" ref="AZ43">IF(Y43="",1,Slookup(MID(X43,1,3)*1,UomConversion!$D$8:$J$500,5,UomConversion!$E$8:$E$500,MID(Y43,1,3)*1,UomConversion!$I$8:$I$500,1))</f>
        <v>1</v>
      </c>
      <c r="BA43" s="1209" cm="1">
        <f t="array" ref="BA43">IF(Z43="",1,Slookup(MID(X43,1,3)*1,UomConversion!$D$8:$J$500,5,UomConversion!$E$8:$E$500,MID(Z43,1,3)*1,UomConversion!$I$8:$I$500,1))</f>
        <v>1</v>
      </c>
      <c r="BB43" s="1217">
        <f t="shared" si="10"/>
        <v>2.25</v>
      </c>
      <c r="BC43" s="1217">
        <f t="shared" si="11"/>
        <v>0.52</v>
      </c>
      <c r="BD43" s="1217"/>
      <c r="BE43" s="629"/>
      <c r="BG43" s="1121"/>
    </row>
    <row r="44" spans="2:59" s="445" customFormat="1" ht="24.95" customHeight="1">
      <c r="C44" s="843">
        <v>25</v>
      </c>
      <c r="D44" s="843"/>
      <c r="E44" s="843"/>
      <c r="F44" s="1116" t="s">
        <v>2349</v>
      </c>
      <c r="G44" s="1117" t="s">
        <v>2349</v>
      </c>
      <c r="H44" s="868" t="s">
        <v>3001</v>
      </c>
      <c r="I44" s="1118" t="s">
        <v>3001</v>
      </c>
      <c r="J44" s="1138" t="s">
        <v>2953</v>
      </c>
      <c r="K44" s="1138" t="s">
        <v>2973</v>
      </c>
      <c r="L44" s="870" t="s">
        <v>2321</v>
      </c>
      <c r="M44" s="868" t="s">
        <v>2309</v>
      </c>
      <c r="N44" s="1118"/>
      <c r="O44" s="1119">
        <v>1.51</v>
      </c>
      <c r="P44" s="884">
        <v>2</v>
      </c>
      <c r="Q44" s="885"/>
      <c r="R44" s="843">
        <v>1</v>
      </c>
      <c r="S44" s="843">
        <v>0</v>
      </c>
      <c r="T44" s="843">
        <v>1</v>
      </c>
      <c r="U44" s="843">
        <v>0</v>
      </c>
      <c r="V44" s="843">
        <v>0</v>
      </c>
      <c r="W44" s="843">
        <v>1</v>
      </c>
      <c r="X44" s="870" t="s">
        <v>2939</v>
      </c>
      <c r="Y44" s="843" t="str">
        <f>IF(OR(ISNA(MATCH(MID(X44,1,3)*1,UomConversion!$D$8:$D$500,0)),H44=""),"",IF(AV44="","",AV44))</f>
        <v/>
      </c>
      <c r="Z44" s="843" t="str">
        <f>IF(AND(AU44&gt;0,COUNTIFS(UomConversion!$D$8:$D$500,MID(X44,1,3)*1,UomConversion!$J$8:$J$500,1)&gt;1),TEXT(AU44,"000")&amp;"."&amp;VLOOKUP(AU44,uom_list,5,FALSE),"")</f>
        <v/>
      </c>
      <c r="AA44" s="843">
        <f t="shared" si="4"/>
        <v>1</v>
      </c>
      <c r="AB44" s="843" t="str">
        <f t="shared" si="8"/>
        <v>2</v>
      </c>
      <c r="AC44" s="843">
        <f t="shared" ref="AC44" si="34">import_pro_number_of_price_type</f>
        <v>2</v>
      </c>
      <c r="AD44" s="1214">
        <v>1.75</v>
      </c>
      <c r="AE44" s="1214">
        <v>2</v>
      </c>
      <c r="AF44" s="1215"/>
      <c r="AG44" s="1215"/>
      <c r="AH44" s="1215"/>
      <c r="AI44" s="1215"/>
      <c r="AJ44" s="1216"/>
      <c r="AK44" s="1216"/>
      <c r="AL44" s="1216"/>
      <c r="AM44" s="1216"/>
      <c r="AN44" s="1216"/>
      <c r="AO44" s="1216"/>
      <c r="AP44" s="1216"/>
      <c r="AQ44" s="1216"/>
      <c r="AR44" s="1216"/>
      <c r="AS44" s="1216"/>
      <c r="AT44" s="1216"/>
      <c r="AU44" s="1120" cm="1">
        <f t="array" ref="AU44">IF(H44="","",Slookup(MID(X44,1,3)*1,UomConversion!$D$8:$J$500,2,UomConversion!$I$8:$I$500,1,UomConversion!$J$8:$J$500,1))</f>
        <v>0</v>
      </c>
      <c r="AV44" s="401" t="str">
        <f t="shared" si="6"/>
        <v/>
      </c>
      <c r="AW44" s="757">
        <f t="shared" si="7"/>
        <v>2</v>
      </c>
      <c r="AX44" s="757" t="str">
        <f t="shared" si="7"/>
        <v/>
      </c>
      <c r="AY44" s="757" t="str">
        <f t="shared" si="7"/>
        <v/>
      </c>
      <c r="AZ44" s="1209" cm="1">
        <f t="array" ref="AZ44">IF(Y44="",1,Slookup(MID(X44,1,3)*1,UomConversion!$D$8:$J$500,5,UomConversion!$E$8:$E$500,MID(Y44,1,3)*1,UomConversion!$I$8:$I$500,1))</f>
        <v>1</v>
      </c>
      <c r="BA44" s="1209" cm="1">
        <f t="array" ref="BA44">IF(Z44="",1,Slookup(MID(X44,1,3)*1,UomConversion!$D$8:$J$500,5,UomConversion!$E$8:$E$500,MID(Z44,1,3)*1,UomConversion!$I$8:$I$500,1))</f>
        <v>1</v>
      </c>
      <c r="BB44" s="1217">
        <f t="shared" si="10"/>
        <v>2</v>
      </c>
      <c r="BC44" s="1217">
        <f t="shared" si="11"/>
        <v>0.49</v>
      </c>
      <c r="BD44" s="1217"/>
      <c r="BE44" s="629"/>
      <c r="BG44" s="1121"/>
    </row>
    <row r="45" spans="2:59" s="1120" customFormat="1" ht="24.95" customHeight="1">
      <c r="B45" s="445"/>
      <c r="C45" s="843">
        <v>26</v>
      </c>
      <c r="D45" s="843"/>
      <c r="E45" s="843"/>
      <c r="F45" s="1116" t="s">
        <v>2355</v>
      </c>
      <c r="G45" s="1117" t="s">
        <v>2355</v>
      </c>
      <c r="H45" s="868" t="s">
        <v>3002</v>
      </c>
      <c r="I45" s="1118" t="s">
        <v>3002</v>
      </c>
      <c r="J45" s="1138" t="s">
        <v>2954</v>
      </c>
      <c r="K45" s="1138" t="s">
        <v>2972</v>
      </c>
      <c r="L45" s="870" t="s">
        <v>2353</v>
      </c>
      <c r="M45" s="868" t="s">
        <v>2309</v>
      </c>
      <c r="N45" s="1118"/>
      <c r="O45" s="1119">
        <v>3.0129999999999999</v>
      </c>
      <c r="P45" s="884">
        <v>3.5</v>
      </c>
      <c r="Q45" s="885"/>
      <c r="R45" s="843">
        <v>1</v>
      </c>
      <c r="S45" s="843">
        <v>0</v>
      </c>
      <c r="T45" s="843">
        <v>1</v>
      </c>
      <c r="U45" s="843">
        <v>0</v>
      </c>
      <c r="V45" s="843">
        <v>0</v>
      </c>
      <c r="W45" s="843">
        <v>1</v>
      </c>
      <c r="X45" s="870" t="s">
        <v>2939</v>
      </c>
      <c r="Y45" s="843" t="str">
        <f>IF(OR(ISNA(MATCH(MID(X45,1,3)*1,UomConversion!$D$8:$D$500,0)),H45=""),"",IF(AV45="","",AV45))</f>
        <v/>
      </c>
      <c r="Z45" s="843" t="str">
        <f>IF(AND(AU45&gt;0,COUNTIFS(UomConversion!$D$8:$D$500,MID(X45,1,3)*1,UomConversion!$J$8:$J$500,1)&gt;1),TEXT(AU45,"000")&amp;"."&amp;VLOOKUP(AU45,uom_list,5,FALSE),"")</f>
        <v/>
      </c>
      <c r="AA45" s="843">
        <f t="shared" si="4"/>
        <v>1</v>
      </c>
      <c r="AB45" s="843" t="str">
        <f t="shared" si="8"/>
        <v>2</v>
      </c>
      <c r="AC45" s="843">
        <f t="shared" ref="AC45" si="35">import_pro_number_of_price_type</f>
        <v>2</v>
      </c>
      <c r="AD45" s="1214">
        <v>0</v>
      </c>
      <c r="AE45" s="1214">
        <v>3.5</v>
      </c>
      <c r="AF45" s="1215"/>
      <c r="AG45" s="1215"/>
      <c r="AH45" s="1215"/>
      <c r="AI45" s="1215"/>
      <c r="AJ45" s="1216"/>
      <c r="AK45" s="1216"/>
      <c r="AL45" s="1216"/>
      <c r="AM45" s="1216"/>
      <c r="AN45" s="1216"/>
      <c r="AO45" s="1216"/>
      <c r="AP45" s="1216"/>
      <c r="AQ45" s="1216"/>
      <c r="AR45" s="1216"/>
      <c r="AS45" s="1216"/>
      <c r="AT45" s="1216"/>
      <c r="AU45" s="1120" cm="1">
        <f t="array" ref="AU45">IF(H45="","",Slookup(MID(X45,1,3)*1,UomConversion!$D$8:$J$500,2,UomConversion!$I$8:$I$500,1,UomConversion!$J$8:$J$500,1))</f>
        <v>0</v>
      </c>
      <c r="AV45" s="401" t="str">
        <f t="shared" si="6"/>
        <v/>
      </c>
      <c r="AW45" s="757">
        <f t="shared" si="7"/>
        <v>2</v>
      </c>
      <c r="AX45" s="757" t="str">
        <f t="shared" si="7"/>
        <v/>
      </c>
      <c r="AY45" s="757" t="str">
        <f t="shared" si="7"/>
        <v/>
      </c>
      <c r="AZ45" s="1209" cm="1">
        <f t="array" ref="AZ45">IF(Y45="",1,Slookup(MID(X45,1,3)*1,UomConversion!$D$8:$J$500,5,UomConversion!$E$8:$E$500,MID(Y45,1,3)*1,UomConversion!$I$8:$I$500,1))</f>
        <v>1</v>
      </c>
      <c r="BA45" s="1209" cm="1">
        <f t="array" ref="BA45">IF(Z45="",1,Slookup(MID(X45,1,3)*1,UomConversion!$D$8:$J$500,5,UomConversion!$E$8:$E$500,MID(Z45,1,3)*1,UomConversion!$I$8:$I$500,1))</f>
        <v>1</v>
      </c>
      <c r="BB45" s="1217">
        <f t="shared" si="10"/>
        <v>3.5</v>
      </c>
      <c r="BC45" s="1217">
        <f t="shared" si="11"/>
        <v>0.4870000000000001</v>
      </c>
      <c r="BD45" s="1217"/>
      <c r="BE45" s="629"/>
      <c r="BG45" s="1121"/>
    </row>
    <row r="46" spans="2:59" s="1120" customFormat="1" ht="24.95" customHeight="1">
      <c r="B46" s="445"/>
      <c r="C46" s="843">
        <v>27</v>
      </c>
      <c r="D46" s="843"/>
      <c r="E46" s="843"/>
      <c r="F46" s="1116" t="s">
        <v>2357</v>
      </c>
      <c r="G46" s="1117" t="s">
        <v>2357</v>
      </c>
      <c r="H46" s="868" t="s">
        <v>3003</v>
      </c>
      <c r="I46" s="1118" t="s">
        <v>3003</v>
      </c>
      <c r="J46" s="1138" t="s">
        <v>2954</v>
      </c>
      <c r="K46" s="1138" t="s">
        <v>2972</v>
      </c>
      <c r="L46" s="870" t="s">
        <v>2353</v>
      </c>
      <c r="M46" s="868" t="s">
        <v>2309</v>
      </c>
      <c r="N46" s="1118"/>
      <c r="O46" s="1119">
        <v>3.0129999999999999</v>
      </c>
      <c r="P46" s="884">
        <v>3.5</v>
      </c>
      <c r="Q46" s="885"/>
      <c r="R46" s="843">
        <v>1</v>
      </c>
      <c r="S46" s="843">
        <v>0</v>
      </c>
      <c r="T46" s="843">
        <v>1</v>
      </c>
      <c r="U46" s="843">
        <v>0</v>
      </c>
      <c r="V46" s="843">
        <v>0</v>
      </c>
      <c r="W46" s="843">
        <v>1</v>
      </c>
      <c r="X46" s="870" t="s">
        <v>2939</v>
      </c>
      <c r="Y46" s="843" t="str">
        <f>IF(OR(ISNA(MATCH(MID(X46,1,3)*1,UomConversion!$D$8:$D$500,0)),H46=""),"",IF(AV46="","",AV46))</f>
        <v/>
      </c>
      <c r="Z46" s="843" t="str">
        <f>IF(AND(AU46&gt;0,COUNTIFS(UomConversion!$D$8:$D$500,MID(X46,1,3)*1,UomConversion!$J$8:$J$500,1)&gt;1),TEXT(AU46,"000")&amp;"."&amp;VLOOKUP(AU46,uom_list,5,FALSE),"")</f>
        <v/>
      </c>
      <c r="AA46" s="843">
        <f t="shared" si="4"/>
        <v>1</v>
      </c>
      <c r="AB46" s="843" t="str">
        <f t="shared" si="8"/>
        <v>2</v>
      </c>
      <c r="AC46" s="843">
        <f t="shared" ref="AC46" si="36">import_pro_number_of_price_type</f>
        <v>2</v>
      </c>
      <c r="AD46" s="1214">
        <v>0</v>
      </c>
      <c r="AE46" s="1214">
        <v>3.5</v>
      </c>
      <c r="AF46" s="1215"/>
      <c r="AG46" s="1215"/>
      <c r="AH46" s="1215"/>
      <c r="AI46" s="1215"/>
      <c r="AJ46" s="1216"/>
      <c r="AK46" s="1216"/>
      <c r="AL46" s="1216"/>
      <c r="AM46" s="1216"/>
      <c r="AN46" s="1216"/>
      <c r="AO46" s="1216"/>
      <c r="AP46" s="1216"/>
      <c r="AQ46" s="1216"/>
      <c r="AR46" s="1216"/>
      <c r="AS46" s="1216"/>
      <c r="AT46" s="1216"/>
      <c r="AU46" s="1120" cm="1">
        <f t="array" ref="AU46">IF(H46="","",Slookup(MID(X46,1,3)*1,UomConversion!$D$8:$J$500,2,UomConversion!$I$8:$I$500,1,UomConversion!$J$8:$J$500,1))</f>
        <v>0</v>
      </c>
      <c r="AV46" s="401" t="str">
        <f t="shared" si="6"/>
        <v/>
      </c>
      <c r="AW46" s="757">
        <f t="shared" si="7"/>
        <v>2</v>
      </c>
      <c r="AX46" s="757" t="str">
        <f t="shared" si="7"/>
        <v/>
      </c>
      <c r="AY46" s="757" t="str">
        <f t="shared" si="7"/>
        <v/>
      </c>
      <c r="AZ46" s="1209" cm="1">
        <f t="array" ref="AZ46">IF(Y46="",1,Slookup(MID(X46,1,3)*1,UomConversion!$D$8:$J$500,5,UomConversion!$E$8:$E$500,MID(Y46,1,3)*1,UomConversion!$I$8:$I$500,1))</f>
        <v>1</v>
      </c>
      <c r="BA46" s="1209" cm="1">
        <f t="array" ref="BA46">IF(Z46="",1,Slookup(MID(X46,1,3)*1,UomConversion!$D$8:$J$500,5,UomConversion!$E$8:$E$500,MID(Z46,1,3)*1,UomConversion!$I$8:$I$500,1))</f>
        <v>1</v>
      </c>
      <c r="BB46" s="1217">
        <f t="shared" si="10"/>
        <v>3.5</v>
      </c>
      <c r="BC46" s="1217">
        <f t="shared" si="11"/>
        <v>0.4870000000000001</v>
      </c>
      <c r="BD46" s="1217"/>
      <c r="BG46" s="1121"/>
    </row>
    <row r="47" spans="2:59" s="1120" customFormat="1" ht="24.95" customHeight="1">
      <c r="B47" s="445"/>
      <c r="C47" s="843">
        <v>28</v>
      </c>
      <c r="D47" s="843"/>
      <c r="E47" s="843"/>
      <c r="F47" s="1116" t="s">
        <v>2359</v>
      </c>
      <c r="G47" s="1117" t="s">
        <v>2359</v>
      </c>
      <c r="H47" s="868" t="s">
        <v>3004</v>
      </c>
      <c r="I47" s="1118" t="s">
        <v>3004</v>
      </c>
      <c r="J47" s="1138" t="s">
        <v>2954</v>
      </c>
      <c r="K47" s="1138" t="s">
        <v>2972</v>
      </c>
      <c r="L47" s="870" t="s">
        <v>2353</v>
      </c>
      <c r="M47" s="868" t="s">
        <v>2309</v>
      </c>
      <c r="N47" s="1118"/>
      <c r="O47" s="1119">
        <v>1.49</v>
      </c>
      <c r="P47" s="884">
        <v>2</v>
      </c>
      <c r="Q47" s="885"/>
      <c r="R47" s="843">
        <v>1</v>
      </c>
      <c r="S47" s="843">
        <v>0</v>
      </c>
      <c r="T47" s="843">
        <v>1</v>
      </c>
      <c r="U47" s="843">
        <v>0</v>
      </c>
      <c r="V47" s="843">
        <v>0</v>
      </c>
      <c r="W47" s="843">
        <v>1</v>
      </c>
      <c r="X47" s="870" t="s">
        <v>2939</v>
      </c>
      <c r="Y47" s="843" t="str">
        <f>IF(OR(ISNA(MATCH(MID(X47,1,3)*1,UomConversion!$D$8:$D$500,0)),H47=""),"",IF(AV47="","",AV47))</f>
        <v/>
      </c>
      <c r="Z47" s="843" t="str">
        <f>IF(AND(AU47&gt;0,COUNTIFS(UomConversion!$D$8:$D$500,MID(X47,1,3)*1,UomConversion!$J$8:$J$500,1)&gt;1),TEXT(AU47,"000")&amp;"."&amp;VLOOKUP(AU47,uom_list,5,FALSE),"")</f>
        <v/>
      </c>
      <c r="AA47" s="843">
        <f t="shared" si="4"/>
        <v>1</v>
      </c>
      <c r="AB47" s="843" t="str">
        <f t="shared" si="8"/>
        <v>2</v>
      </c>
      <c r="AC47" s="843">
        <f t="shared" ref="AC47" si="37">import_pro_number_of_price_type</f>
        <v>2</v>
      </c>
      <c r="AD47" s="1214">
        <v>0</v>
      </c>
      <c r="AE47" s="1214">
        <v>2</v>
      </c>
      <c r="AF47" s="1215"/>
      <c r="AG47" s="1215"/>
      <c r="AH47" s="1215"/>
      <c r="AI47" s="1215"/>
      <c r="AJ47" s="1216"/>
      <c r="AK47" s="1216"/>
      <c r="AL47" s="1216"/>
      <c r="AM47" s="1216"/>
      <c r="AN47" s="1216"/>
      <c r="AO47" s="1216"/>
      <c r="AP47" s="1216"/>
      <c r="AQ47" s="1216"/>
      <c r="AR47" s="1216"/>
      <c r="AS47" s="1216"/>
      <c r="AT47" s="1216"/>
      <c r="AU47" s="1120" cm="1">
        <f t="array" ref="AU47">IF(H47="","",Slookup(MID(X47,1,3)*1,UomConversion!$D$8:$J$500,2,UomConversion!$I$8:$I$500,1,UomConversion!$J$8:$J$500,1))</f>
        <v>0</v>
      </c>
      <c r="AV47" s="401" t="str">
        <f t="shared" si="6"/>
        <v/>
      </c>
      <c r="AW47" s="757">
        <f t="shared" si="7"/>
        <v>2</v>
      </c>
      <c r="AX47" s="757" t="str">
        <f t="shared" si="7"/>
        <v/>
      </c>
      <c r="AY47" s="757" t="str">
        <f t="shared" si="7"/>
        <v/>
      </c>
      <c r="AZ47" s="1209" cm="1">
        <f t="array" ref="AZ47">IF(Y47="",1,Slookup(MID(X47,1,3)*1,UomConversion!$D$8:$J$500,5,UomConversion!$E$8:$E$500,MID(Y47,1,3)*1,UomConversion!$I$8:$I$500,1))</f>
        <v>1</v>
      </c>
      <c r="BA47" s="1209" cm="1">
        <f t="array" ref="BA47">IF(Z47="",1,Slookup(MID(X47,1,3)*1,UomConversion!$D$8:$J$500,5,UomConversion!$E$8:$E$500,MID(Z47,1,3)*1,UomConversion!$I$8:$I$500,1))</f>
        <v>1</v>
      </c>
      <c r="BB47" s="1217">
        <f t="shared" si="10"/>
        <v>2</v>
      </c>
      <c r="BC47" s="1217">
        <f t="shared" si="11"/>
        <v>0.51</v>
      </c>
      <c r="BD47" s="1217"/>
      <c r="BE47" s="629"/>
      <c r="BG47" s="1121"/>
    </row>
    <row r="48" spans="2:59" s="1120" customFormat="1" ht="24.95" customHeight="1">
      <c r="B48" s="445"/>
      <c r="C48" s="843">
        <v>29</v>
      </c>
      <c r="D48" s="843"/>
      <c r="E48" s="843"/>
      <c r="F48" s="1116" t="s">
        <v>2362</v>
      </c>
      <c r="G48" s="1117" t="s">
        <v>2362</v>
      </c>
      <c r="H48" s="868" t="s">
        <v>3005</v>
      </c>
      <c r="I48" s="1118" t="s">
        <v>3005</v>
      </c>
      <c r="J48" s="1138" t="s">
        <v>2954</v>
      </c>
      <c r="K48" s="1138" t="s">
        <v>2972</v>
      </c>
      <c r="L48" s="870" t="s">
        <v>2353</v>
      </c>
      <c r="M48" s="868" t="s">
        <v>2309</v>
      </c>
      <c r="N48" s="1118"/>
      <c r="O48" s="1119">
        <v>4.2300000000000004</v>
      </c>
      <c r="P48" s="884">
        <v>5</v>
      </c>
      <c r="Q48" s="885"/>
      <c r="R48" s="843">
        <v>1</v>
      </c>
      <c r="S48" s="843">
        <v>0</v>
      </c>
      <c r="T48" s="843">
        <v>1</v>
      </c>
      <c r="U48" s="843">
        <v>0</v>
      </c>
      <c r="V48" s="843">
        <v>0</v>
      </c>
      <c r="W48" s="843">
        <v>1</v>
      </c>
      <c r="X48" s="870" t="s">
        <v>2939</v>
      </c>
      <c r="Y48" s="843" t="str">
        <f>IF(OR(ISNA(MATCH(MID(X48,1,3)*1,UomConversion!$D$8:$D$500,0)),H48=""),"",IF(AV48="","",AV48))</f>
        <v/>
      </c>
      <c r="Z48" s="843" t="str">
        <f>IF(AND(AU48&gt;0,COUNTIFS(UomConversion!$D$8:$D$500,MID(X48,1,3)*1,UomConversion!$J$8:$J$500,1)&gt;1),TEXT(AU48,"000")&amp;"."&amp;VLOOKUP(AU48,uom_list,5,FALSE),"")</f>
        <v/>
      </c>
      <c r="AA48" s="843">
        <f t="shared" si="4"/>
        <v>1</v>
      </c>
      <c r="AB48" s="843" t="str">
        <f t="shared" si="8"/>
        <v>2</v>
      </c>
      <c r="AC48" s="843">
        <f t="shared" ref="AC48" si="38">import_pro_number_of_price_type</f>
        <v>2</v>
      </c>
      <c r="AD48" s="1214">
        <v>0</v>
      </c>
      <c r="AE48" s="1214">
        <v>5</v>
      </c>
      <c r="AF48" s="1215"/>
      <c r="AG48" s="1215"/>
      <c r="AH48" s="1215"/>
      <c r="AI48" s="1215"/>
      <c r="AJ48" s="1216"/>
      <c r="AK48" s="1216"/>
      <c r="AL48" s="1216"/>
      <c r="AM48" s="1216"/>
      <c r="AN48" s="1216"/>
      <c r="AO48" s="1216"/>
      <c r="AP48" s="1216"/>
      <c r="AQ48" s="1216"/>
      <c r="AR48" s="1216"/>
      <c r="AS48" s="1216"/>
      <c r="AT48" s="1216"/>
      <c r="AU48" s="1120" cm="1">
        <f t="array" ref="AU48">IF(H48="","",Slookup(MID(X48,1,3)*1,UomConversion!$D$8:$J$500,2,UomConversion!$I$8:$I$500,1,UomConversion!$J$8:$J$500,1))</f>
        <v>0</v>
      </c>
      <c r="AV48" s="401" t="str">
        <f t="shared" si="6"/>
        <v/>
      </c>
      <c r="AW48" s="757">
        <f t="shared" si="7"/>
        <v>2</v>
      </c>
      <c r="AX48" s="757" t="str">
        <f t="shared" si="7"/>
        <v/>
      </c>
      <c r="AY48" s="757" t="str">
        <f t="shared" si="7"/>
        <v/>
      </c>
      <c r="AZ48" s="1209" cm="1">
        <f t="array" ref="AZ48">IF(Y48="",1,Slookup(MID(X48,1,3)*1,UomConversion!$D$8:$J$500,5,UomConversion!$E$8:$E$500,MID(Y48,1,3)*1,UomConversion!$I$8:$I$500,1))</f>
        <v>1</v>
      </c>
      <c r="BA48" s="1209" cm="1">
        <f t="array" ref="BA48">IF(Z48="",1,Slookup(MID(X48,1,3)*1,UomConversion!$D$8:$J$500,5,UomConversion!$E$8:$E$500,MID(Z48,1,3)*1,UomConversion!$I$8:$I$500,1))</f>
        <v>1</v>
      </c>
      <c r="BB48" s="1217">
        <f t="shared" si="10"/>
        <v>5</v>
      </c>
      <c r="BC48" s="1217">
        <f t="shared" si="11"/>
        <v>0.76999999999999957</v>
      </c>
      <c r="BD48" s="1217"/>
      <c r="BE48" s="1218"/>
      <c r="BG48" s="1121"/>
    </row>
    <row r="49" spans="2:59" s="1120" customFormat="1" ht="24.95" customHeight="1">
      <c r="B49" s="445"/>
      <c r="C49" s="843">
        <v>30</v>
      </c>
      <c r="D49" s="843"/>
      <c r="E49" s="843"/>
      <c r="F49" s="1116" t="s">
        <v>2364</v>
      </c>
      <c r="G49" s="1117" t="s">
        <v>2364</v>
      </c>
      <c r="H49" s="868" t="s">
        <v>3006</v>
      </c>
      <c r="I49" s="1118" t="s">
        <v>3006</v>
      </c>
      <c r="J49" s="1138" t="s">
        <v>2954</v>
      </c>
      <c r="K49" s="1138" t="s">
        <v>2972</v>
      </c>
      <c r="L49" s="870" t="s">
        <v>2361</v>
      </c>
      <c r="M49" s="868" t="s">
        <v>2309</v>
      </c>
      <c r="N49" s="1118"/>
      <c r="O49" s="1119">
        <v>1.4910000000000001</v>
      </c>
      <c r="P49" s="884">
        <v>2</v>
      </c>
      <c r="Q49" s="885"/>
      <c r="R49" s="843">
        <v>1</v>
      </c>
      <c r="S49" s="843">
        <v>0</v>
      </c>
      <c r="T49" s="843">
        <v>1</v>
      </c>
      <c r="U49" s="843">
        <v>0</v>
      </c>
      <c r="V49" s="843">
        <v>0</v>
      </c>
      <c r="W49" s="843">
        <v>1</v>
      </c>
      <c r="X49" s="870" t="s">
        <v>2939</v>
      </c>
      <c r="Y49" s="843" t="str">
        <f>IF(OR(ISNA(MATCH(MID(X49,1,3)*1,UomConversion!$D$8:$D$500,0)),H49=""),"",IF(AV49="","",AV49))</f>
        <v/>
      </c>
      <c r="Z49" s="843" t="str">
        <f>IF(AND(AU49&gt;0,COUNTIFS(UomConversion!$D$8:$D$500,MID(X49,1,3)*1,UomConversion!$J$8:$J$500,1)&gt;1),TEXT(AU49,"000")&amp;"."&amp;VLOOKUP(AU49,uom_list,5,FALSE),"")</f>
        <v/>
      </c>
      <c r="AA49" s="843">
        <f t="shared" si="4"/>
        <v>1</v>
      </c>
      <c r="AB49" s="843" t="str">
        <f t="shared" si="8"/>
        <v>2</v>
      </c>
      <c r="AC49" s="843">
        <f t="shared" ref="AC49" si="39">import_pro_number_of_price_type</f>
        <v>2</v>
      </c>
      <c r="AD49" s="1214">
        <v>0</v>
      </c>
      <c r="AE49" s="1214">
        <v>2</v>
      </c>
      <c r="AF49" s="1215"/>
      <c r="AG49" s="1215"/>
      <c r="AH49" s="1215"/>
      <c r="AI49" s="1215"/>
      <c r="AJ49" s="1216"/>
      <c r="AK49" s="1216"/>
      <c r="AL49" s="1216"/>
      <c r="AM49" s="1216"/>
      <c r="AN49" s="1216"/>
      <c r="AO49" s="1216"/>
      <c r="AP49" s="1216"/>
      <c r="AQ49" s="1216"/>
      <c r="AR49" s="1216"/>
      <c r="AS49" s="1216"/>
      <c r="AT49" s="1216"/>
      <c r="AU49" s="1120" cm="1">
        <f t="array" ref="AU49">IF(H49="","",Slookup(MID(X49,1,3)*1,UomConversion!$D$8:$J$500,2,UomConversion!$I$8:$I$500,1,UomConversion!$J$8:$J$500,1))</f>
        <v>0</v>
      </c>
      <c r="AV49" s="401" t="str">
        <f t="shared" si="6"/>
        <v/>
      </c>
      <c r="AW49" s="757">
        <f t="shared" si="7"/>
        <v>2</v>
      </c>
      <c r="AX49" s="757" t="str">
        <f t="shared" si="7"/>
        <v/>
      </c>
      <c r="AY49" s="757" t="str">
        <f t="shared" si="7"/>
        <v/>
      </c>
      <c r="AZ49" s="1209" cm="1">
        <f t="array" ref="AZ49">IF(Y49="",1,Slookup(MID(X49,1,3)*1,UomConversion!$D$8:$J$500,5,UomConversion!$E$8:$E$500,MID(Y49,1,3)*1,UomConversion!$I$8:$I$500,1))</f>
        <v>1</v>
      </c>
      <c r="BA49" s="1209" cm="1">
        <f t="array" ref="BA49">IF(Z49="",1,Slookup(MID(X49,1,3)*1,UomConversion!$D$8:$J$500,5,UomConversion!$E$8:$E$500,MID(Z49,1,3)*1,UomConversion!$I$8:$I$500,1))</f>
        <v>1</v>
      </c>
      <c r="BB49" s="1217">
        <f t="shared" si="10"/>
        <v>2</v>
      </c>
      <c r="BC49" s="1217">
        <f t="shared" si="11"/>
        <v>0.5089999999999999</v>
      </c>
      <c r="BD49" s="1217"/>
      <c r="BE49" s="1218"/>
      <c r="BG49" s="1121"/>
    </row>
    <row r="50" spans="2:59" s="1120" customFormat="1" ht="24.95" customHeight="1">
      <c r="B50" s="445"/>
      <c r="C50" s="843">
        <v>31</v>
      </c>
      <c r="D50" s="843"/>
      <c r="E50" s="843"/>
      <c r="F50" s="1116" t="s">
        <v>2366</v>
      </c>
      <c r="G50" s="1117" t="s">
        <v>2366</v>
      </c>
      <c r="H50" s="868" t="s">
        <v>3007</v>
      </c>
      <c r="I50" s="1118" t="s">
        <v>3007</v>
      </c>
      <c r="J50" s="1138" t="s">
        <v>2954</v>
      </c>
      <c r="K50" s="1138" t="s">
        <v>2972</v>
      </c>
      <c r="L50" s="870" t="s">
        <v>2361</v>
      </c>
      <c r="M50" s="868" t="s">
        <v>2309</v>
      </c>
      <c r="N50" s="1118"/>
      <c r="O50" s="1119">
        <v>1.21</v>
      </c>
      <c r="P50" s="884">
        <v>1.75</v>
      </c>
      <c r="Q50" s="885"/>
      <c r="R50" s="843">
        <v>1</v>
      </c>
      <c r="S50" s="843">
        <v>0</v>
      </c>
      <c r="T50" s="843">
        <v>1</v>
      </c>
      <c r="U50" s="843">
        <v>0</v>
      </c>
      <c r="V50" s="843">
        <v>0</v>
      </c>
      <c r="W50" s="843">
        <v>1</v>
      </c>
      <c r="X50" s="870" t="s">
        <v>2939</v>
      </c>
      <c r="Y50" s="843" t="str">
        <f>IF(OR(ISNA(MATCH(MID(X50,1,3)*1,UomConversion!$D$8:$D$500,0)),H50=""),"",IF(AV50="","",AV50))</f>
        <v/>
      </c>
      <c r="Z50" s="843" t="str">
        <f>IF(AND(AU50&gt;0,COUNTIFS(UomConversion!$D$8:$D$500,MID(X50,1,3)*1,UomConversion!$J$8:$J$500,1)&gt;1),TEXT(AU50,"000")&amp;"."&amp;VLOOKUP(AU50,uom_list,5,FALSE),"")</f>
        <v/>
      </c>
      <c r="AA50" s="843">
        <f t="shared" si="4"/>
        <v>1</v>
      </c>
      <c r="AB50" s="843" t="str">
        <f t="shared" si="8"/>
        <v>2</v>
      </c>
      <c r="AC50" s="843">
        <f t="shared" ref="AC50" si="40">import_pro_number_of_price_type</f>
        <v>2</v>
      </c>
      <c r="AD50" s="1214">
        <v>0</v>
      </c>
      <c r="AE50" s="1214">
        <v>1.75</v>
      </c>
      <c r="AF50" s="1215"/>
      <c r="AG50" s="1215"/>
      <c r="AH50" s="1215"/>
      <c r="AI50" s="1215"/>
      <c r="AJ50" s="1216"/>
      <c r="AK50" s="1216"/>
      <c r="AL50" s="1216"/>
      <c r="AM50" s="1216"/>
      <c r="AN50" s="1216"/>
      <c r="AO50" s="1216"/>
      <c r="AP50" s="1216"/>
      <c r="AQ50" s="1216"/>
      <c r="AR50" s="1216"/>
      <c r="AS50" s="1216"/>
      <c r="AT50" s="1216"/>
      <c r="AU50" s="1120" cm="1">
        <f t="array" ref="AU50">IF(H50="","",Slookup(MID(X50,1,3)*1,UomConversion!$D$8:$J$500,2,UomConversion!$I$8:$I$500,1,UomConversion!$J$8:$J$500,1))</f>
        <v>0</v>
      </c>
      <c r="AV50" s="401" t="str">
        <f t="shared" si="6"/>
        <v/>
      </c>
      <c r="AW50" s="757">
        <f t="shared" si="7"/>
        <v>2</v>
      </c>
      <c r="AX50" s="757" t="str">
        <f t="shared" si="7"/>
        <v/>
      </c>
      <c r="AY50" s="757" t="str">
        <f t="shared" si="7"/>
        <v/>
      </c>
      <c r="AZ50" s="1209" cm="1">
        <f t="array" ref="AZ50">IF(Y50="",1,Slookup(MID(X50,1,3)*1,UomConversion!$D$8:$J$500,5,UomConversion!$E$8:$E$500,MID(Y50,1,3)*1,UomConversion!$I$8:$I$500,1))</f>
        <v>1</v>
      </c>
      <c r="BA50" s="1209" cm="1">
        <f t="array" ref="BA50">IF(Z50="",1,Slookup(MID(X50,1,3)*1,UomConversion!$D$8:$J$500,5,UomConversion!$E$8:$E$500,MID(Z50,1,3)*1,UomConversion!$I$8:$I$500,1))</f>
        <v>1</v>
      </c>
      <c r="BB50" s="1217">
        <f t="shared" si="10"/>
        <v>1.75</v>
      </c>
      <c r="BC50" s="1217">
        <f t="shared" si="11"/>
        <v>0.54</v>
      </c>
      <c r="BD50" s="1217"/>
      <c r="BG50" s="1121"/>
    </row>
    <row r="51" spans="2:59" s="1120" customFormat="1" ht="24.95" customHeight="1">
      <c r="B51" s="445"/>
      <c r="C51" s="843">
        <v>32</v>
      </c>
      <c r="D51" s="843"/>
      <c r="E51" s="843"/>
      <c r="F51" s="1116" t="s">
        <v>2368</v>
      </c>
      <c r="G51" s="1117" t="s">
        <v>2368</v>
      </c>
      <c r="H51" s="868" t="s">
        <v>3008</v>
      </c>
      <c r="I51" s="1118" t="s">
        <v>3008</v>
      </c>
      <c r="J51" s="1138" t="s">
        <v>2954</v>
      </c>
      <c r="K51" s="1138" t="s">
        <v>2972</v>
      </c>
      <c r="L51" s="870" t="s">
        <v>2361</v>
      </c>
      <c r="M51" s="868" t="s">
        <v>2309</v>
      </c>
      <c r="N51" s="1118"/>
      <c r="O51" s="1119">
        <v>1.04</v>
      </c>
      <c r="P51" s="884">
        <v>1.5</v>
      </c>
      <c r="Q51" s="885"/>
      <c r="R51" s="843">
        <v>1</v>
      </c>
      <c r="S51" s="843">
        <v>0</v>
      </c>
      <c r="T51" s="843">
        <v>1</v>
      </c>
      <c r="U51" s="843">
        <v>0</v>
      </c>
      <c r="V51" s="843">
        <v>0</v>
      </c>
      <c r="W51" s="843">
        <v>1</v>
      </c>
      <c r="X51" s="870" t="s">
        <v>2939</v>
      </c>
      <c r="Y51" s="843" t="str">
        <f>IF(OR(ISNA(MATCH(MID(X51,1,3)*1,UomConversion!$D$8:$D$500,0)),H51=""),"",IF(AV51="","",AV51))</f>
        <v/>
      </c>
      <c r="Z51" s="843" t="str">
        <f>IF(AND(AU51&gt;0,COUNTIFS(UomConversion!$D$8:$D$500,MID(X51,1,3)*1,UomConversion!$J$8:$J$500,1)&gt;1),TEXT(AU51,"000")&amp;"."&amp;VLOOKUP(AU51,uom_list,5,FALSE),"")</f>
        <v/>
      </c>
      <c r="AA51" s="843">
        <f t="shared" si="4"/>
        <v>1</v>
      </c>
      <c r="AB51" s="843" t="str">
        <f t="shared" si="8"/>
        <v>2</v>
      </c>
      <c r="AC51" s="843">
        <f t="shared" ref="AC51" si="41">import_pro_number_of_price_type</f>
        <v>2</v>
      </c>
      <c r="AD51" s="1214">
        <v>0</v>
      </c>
      <c r="AE51" s="1214">
        <v>1.5</v>
      </c>
      <c r="AF51" s="1215"/>
      <c r="AG51" s="1215"/>
      <c r="AH51" s="1215"/>
      <c r="AI51" s="1215"/>
      <c r="AJ51" s="1216"/>
      <c r="AK51" s="1216"/>
      <c r="AL51" s="1216"/>
      <c r="AM51" s="1216"/>
      <c r="AN51" s="1216"/>
      <c r="AO51" s="1216"/>
      <c r="AP51" s="1216"/>
      <c r="AQ51" s="1216"/>
      <c r="AR51" s="1216"/>
      <c r="AS51" s="1216"/>
      <c r="AT51" s="1216"/>
      <c r="AU51" s="1120" cm="1">
        <f t="array" ref="AU51">IF(H51="","",Slookup(MID(X51,1,3)*1,UomConversion!$D$8:$J$500,2,UomConversion!$I$8:$I$500,1,UomConversion!$J$8:$J$500,1))</f>
        <v>0</v>
      </c>
      <c r="AV51" s="401" t="str">
        <f t="shared" si="6"/>
        <v/>
      </c>
      <c r="AW51" s="757">
        <f t="shared" si="7"/>
        <v>2</v>
      </c>
      <c r="AX51" s="757" t="str">
        <f t="shared" si="7"/>
        <v/>
      </c>
      <c r="AY51" s="757" t="str">
        <f t="shared" si="7"/>
        <v/>
      </c>
      <c r="AZ51" s="1209" cm="1">
        <f t="array" ref="AZ51">IF(Y51="",1,Slookup(MID(X51,1,3)*1,UomConversion!$D$8:$J$500,5,UomConversion!$E$8:$E$500,MID(Y51,1,3)*1,UomConversion!$I$8:$I$500,1))</f>
        <v>1</v>
      </c>
      <c r="BA51" s="1209" cm="1">
        <f t="array" ref="BA51">IF(Z51="",1,Slookup(MID(X51,1,3)*1,UomConversion!$D$8:$J$500,5,UomConversion!$E$8:$E$500,MID(Z51,1,3)*1,UomConversion!$I$8:$I$500,1))</f>
        <v>1</v>
      </c>
      <c r="BB51" s="1217">
        <f t="shared" si="10"/>
        <v>1.5</v>
      </c>
      <c r="BC51" s="1217">
        <f t="shared" si="11"/>
        <v>0.45999999999999996</v>
      </c>
      <c r="BD51" s="1217"/>
      <c r="BG51" s="1121"/>
    </row>
    <row r="52" spans="2:59" s="1120" customFormat="1" ht="24.95" customHeight="1">
      <c r="B52" s="445"/>
      <c r="C52" s="843">
        <v>33</v>
      </c>
      <c r="D52" s="843"/>
      <c r="E52" s="843"/>
      <c r="F52" s="1116" t="s">
        <v>2371</v>
      </c>
      <c r="G52" s="1117" t="s">
        <v>2371</v>
      </c>
      <c r="H52" s="868" t="s">
        <v>3009</v>
      </c>
      <c r="I52" s="1118" t="s">
        <v>3009</v>
      </c>
      <c r="J52" s="1138" t="s">
        <v>2954</v>
      </c>
      <c r="K52" s="1138" t="s">
        <v>2972</v>
      </c>
      <c r="L52" s="870" t="s">
        <v>2361</v>
      </c>
      <c r="M52" s="868" t="s">
        <v>2309</v>
      </c>
      <c r="N52" s="1118"/>
      <c r="O52" s="1119">
        <v>1.748</v>
      </c>
      <c r="P52" s="884">
        <v>2.25</v>
      </c>
      <c r="Q52" s="885"/>
      <c r="R52" s="843">
        <v>1</v>
      </c>
      <c r="S52" s="843">
        <v>0</v>
      </c>
      <c r="T52" s="843">
        <v>1</v>
      </c>
      <c r="U52" s="843">
        <v>0</v>
      </c>
      <c r="V52" s="843">
        <v>0</v>
      </c>
      <c r="W52" s="843">
        <v>1</v>
      </c>
      <c r="X52" s="870" t="s">
        <v>2939</v>
      </c>
      <c r="Y52" s="843" t="str">
        <f>IF(OR(ISNA(MATCH(MID(X52,1,3)*1,UomConversion!$D$8:$D$500,0)),H52=""),"",IF(AV52="","",AV52))</f>
        <v/>
      </c>
      <c r="Z52" s="843" t="str">
        <f>IF(AND(AU52&gt;0,COUNTIFS(UomConversion!$D$8:$D$500,MID(X52,1,3)*1,UomConversion!$J$8:$J$500,1)&gt;1),TEXT(AU52,"000")&amp;"."&amp;VLOOKUP(AU52,uom_list,5,FALSE),"")</f>
        <v/>
      </c>
      <c r="AA52" s="843">
        <f t="shared" si="4"/>
        <v>1</v>
      </c>
      <c r="AB52" s="843" t="str">
        <f t="shared" si="8"/>
        <v>2</v>
      </c>
      <c r="AC52" s="843">
        <f t="shared" ref="AC52" si="42">import_pro_number_of_price_type</f>
        <v>2</v>
      </c>
      <c r="AD52" s="1214">
        <v>0</v>
      </c>
      <c r="AE52" s="1214">
        <v>2.25</v>
      </c>
      <c r="AF52" s="1215"/>
      <c r="AG52" s="1215"/>
      <c r="AH52" s="1215"/>
      <c r="AI52" s="1215"/>
      <c r="AJ52" s="1216"/>
      <c r="AK52" s="1216"/>
      <c r="AL52" s="1216"/>
      <c r="AM52" s="1216"/>
      <c r="AN52" s="1216"/>
      <c r="AO52" s="1216"/>
      <c r="AP52" s="1216"/>
      <c r="AQ52" s="1216"/>
      <c r="AR52" s="1216"/>
      <c r="AS52" s="1216"/>
      <c r="AT52" s="1216"/>
      <c r="AU52" s="1120" cm="1">
        <f t="array" ref="AU52">IF(H52="","",Slookup(MID(X52,1,3)*1,UomConversion!$D$8:$J$500,2,UomConversion!$I$8:$I$500,1,UomConversion!$J$8:$J$500,1))</f>
        <v>0</v>
      </c>
      <c r="AV52" s="401" t="str">
        <f t="shared" si="6"/>
        <v/>
      </c>
      <c r="AW52" s="757">
        <f t="shared" ref="AW52:AY83" si="43">IF(X52="","",MID(X52,1,3)*1)</f>
        <v>2</v>
      </c>
      <c r="AX52" s="757" t="str">
        <f t="shared" si="43"/>
        <v/>
      </c>
      <c r="AY52" s="757" t="str">
        <f t="shared" si="43"/>
        <v/>
      </c>
      <c r="AZ52" s="1209" cm="1">
        <f t="array" ref="AZ52">IF(Y52="",1,Slookup(MID(X52,1,3)*1,UomConversion!$D$8:$J$500,5,UomConversion!$E$8:$E$500,MID(Y52,1,3)*1,UomConversion!$I$8:$I$500,1))</f>
        <v>1</v>
      </c>
      <c r="BA52" s="1209" cm="1">
        <f t="array" ref="BA52">IF(Z52="",1,Slookup(MID(X52,1,3)*1,UomConversion!$D$8:$J$500,5,UomConversion!$E$8:$E$500,MID(Z52,1,3)*1,UomConversion!$I$8:$I$500,1))</f>
        <v>1</v>
      </c>
      <c r="BB52" s="1217">
        <f t="shared" si="10"/>
        <v>2.25</v>
      </c>
      <c r="BC52" s="1217">
        <f t="shared" si="11"/>
        <v>0.502</v>
      </c>
      <c r="BD52" s="1217"/>
    </row>
    <row r="53" spans="2:59" s="1120" customFormat="1" ht="24.95" customHeight="1">
      <c r="B53" s="445"/>
      <c r="C53" s="843">
        <v>34</v>
      </c>
      <c r="D53" s="843"/>
      <c r="E53" s="843"/>
      <c r="F53" s="1116" t="s">
        <v>2373</v>
      </c>
      <c r="G53" s="1117" t="s">
        <v>2373</v>
      </c>
      <c r="H53" s="868" t="s">
        <v>3010</v>
      </c>
      <c r="I53" s="1118" t="s">
        <v>3010</v>
      </c>
      <c r="J53" s="1138" t="s">
        <v>2954</v>
      </c>
      <c r="K53" s="1138" t="s">
        <v>2972</v>
      </c>
      <c r="L53" s="870" t="s">
        <v>2370</v>
      </c>
      <c r="M53" s="868" t="s">
        <v>2309</v>
      </c>
      <c r="N53" s="1118"/>
      <c r="O53" s="1119">
        <v>0.496</v>
      </c>
      <c r="P53" s="884">
        <v>0.75</v>
      </c>
      <c r="Q53" s="885"/>
      <c r="R53" s="843">
        <v>1</v>
      </c>
      <c r="S53" s="843">
        <v>0</v>
      </c>
      <c r="T53" s="843">
        <v>1</v>
      </c>
      <c r="U53" s="843">
        <v>0</v>
      </c>
      <c r="V53" s="843">
        <v>0</v>
      </c>
      <c r="W53" s="843">
        <v>1</v>
      </c>
      <c r="X53" s="870" t="s">
        <v>2939</v>
      </c>
      <c r="Y53" s="843" t="str">
        <f>IF(OR(ISNA(MATCH(MID(X53,1,3)*1,UomConversion!$D$8:$D$500,0)),H53=""),"",IF(AV53="","",AV53))</f>
        <v/>
      </c>
      <c r="Z53" s="843" t="str">
        <f>IF(AND(AU53&gt;0,COUNTIFS(UomConversion!$D$8:$D$500,MID(X53,1,3)*1,UomConversion!$J$8:$J$500,1)&gt;1),TEXT(AU53,"000")&amp;"."&amp;VLOOKUP(AU53,uom_list,5,FALSE),"")</f>
        <v/>
      </c>
      <c r="AA53" s="843">
        <f t="shared" si="4"/>
        <v>1</v>
      </c>
      <c r="AB53" s="843" t="str">
        <f t="shared" si="8"/>
        <v>2</v>
      </c>
      <c r="AC53" s="843">
        <f t="shared" ref="AC53" si="44">import_pro_number_of_price_type</f>
        <v>2</v>
      </c>
      <c r="AD53" s="1214">
        <v>0</v>
      </c>
      <c r="AE53" s="1214">
        <v>0.75</v>
      </c>
      <c r="AF53" s="1215"/>
      <c r="AG53" s="1215"/>
      <c r="AH53" s="1215"/>
      <c r="AI53" s="1215"/>
      <c r="AJ53" s="1216"/>
      <c r="AK53" s="1216"/>
      <c r="AL53" s="1216"/>
      <c r="AM53" s="1216"/>
      <c r="AN53" s="1216"/>
      <c r="AO53" s="1216"/>
      <c r="AP53" s="1216"/>
      <c r="AQ53" s="1216"/>
      <c r="AR53" s="1216"/>
      <c r="AS53" s="1216"/>
      <c r="AT53" s="1216"/>
      <c r="AU53" s="1120" cm="1">
        <f t="array" ref="AU53">IF(H53="","",Slookup(MID(X53,1,3)*1,UomConversion!$D$8:$J$500,2,UomConversion!$I$8:$I$500,1,UomConversion!$J$8:$J$500,1))</f>
        <v>0</v>
      </c>
      <c r="AV53" s="401" t="str">
        <f t="shared" si="6"/>
        <v/>
      </c>
      <c r="AW53" s="757">
        <f t="shared" si="43"/>
        <v>2</v>
      </c>
      <c r="AX53" s="757" t="str">
        <f t="shared" si="43"/>
        <v/>
      </c>
      <c r="AY53" s="757" t="str">
        <f t="shared" si="43"/>
        <v/>
      </c>
      <c r="AZ53" s="1209" cm="1">
        <f t="array" ref="AZ53">IF(Y53="",1,Slookup(MID(X53,1,3)*1,UomConversion!$D$8:$J$500,5,UomConversion!$E$8:$E$500,MID(Y53,1,3)*1,UomConversion!$I$8:$I$500,1))</f>
        <v>1</v>
      </c>
      <c r="BA53" s="1209" cm="1">
        <f t="array" ref="BA53">IF(Z53="",1,Slookup(MID(X53,1,3)*1,UomConversion!$D$8:$J$500,5,UomConversion!$E$8:$E$500,MID(Z53,1,3)*1,UomConversion!$I$8:$I$500,1))</f>
        <v>1</v>
      </c>
      <c r="BB53" s="1217">
        <f t="shared" si="10"/>
        <v>0.75</v>
      </c>
      <c r="BC53" s="1217">
        <f t="shared" si="11"/>
        <v>0.254</v>
      </c>
      <c r="BD53" s="1217"/>
    </row>
    <row r="54" spans="2:59" s="1120" customFormat="1" ht="24.95" customHeight="1">
      <c r="B54" s="445"/>
      <c r="C54" s="843">
        <v>35</v>
      </c>
      <c r="D54" s="843"/>
      <c r="E54" s="843"/>
      <c r="F54" s="1116" t="s">
        <v>2375</v>
      </c>
      <c r="G54" s="1117" t="s">
        <v>2375</v>
      </c>
      <c r="H54" s="868" t="s">
        <v>3011</v>
      </c>
      <c r="I54" s="1118" t="s">
        <v>3011</v>
      </c>
      <c r="J54" s="1138" t="s">
        <v>2954</v>
      </c>
      <c r="K54" s="1138" t="s">
        <v>2972</v>
      </c>
      <c r="L54" s="870" t="s">
        <v>2370</v>
      </c>
      <c r="M54" s="868" t="s">
        <v>2309</v>
      </c>
      <c r="N54" s="1118"/>
      <c r="O54" s="1119">
        <v>0.5</v>
      </c>
      <c r="P54" s="884">
        <v>0.75</v>
      </c>
      <c r="Q54" s="885"/>
      <c r="R54" s="843">
        <v>1</v>
      </c>
      <c r="S54" s="843">
        <v>0</v>
      </c>
      <c r="T54" s="843">
        <v>1</v>
      </c>
      <c r="U54" s="843">
        <v>0</v>
      </c>
      <c r="V54" s="843">
        <v>0</v>
      </c>
      <c r="W54" s="843">
        <v>1</v>
      </c>
      <c r="X54" s="870" t="s">
        <v>2939</v>
      </c>
      <c r="Y54" s="843" t="str">
        <f>IF(OR(ISNA(MATCH(MID(X54,1,3)*1,UomConversion!$D$8:$D$500,0)),H54=""),"",IF(AV54="","",AV54))</f>
        <v/>
      </c>
      <c r="Z54" s="843" t="str">
        <f>IF(AND(AU54&gt;0,COUNTIFS(UomConversion!$D$8:$D$500,MID(X54,1,3)*1,UomConversion!$J$8:$J$500,1)&gt;1),TEXT(AU54,"000")&amp;"."&amp;VLOOKUP(AU54,uom_list,5,FALSE),"")</f>
        <v/>
      </c>
      <c r="AA54" s="843">
        <f t="shared" si="4"/>
        <v>1</v>
      </c>
      <c r="AB54" s="843" t="str">
        <f t="shared" si="8"/>
        <v>2</v>
      </c>
      <c r="AC54" s="843">
        <f t="shared" ref="AC54" si="45">import_pro_number_of_price_type</f>
        <v>2</v>
      </c>
      <c r="AD54" s="1214">
        <v>0</v>
      </c>
      <c r="AE54" s="1214">
        <v>0.75</v>
      </c>
      <c r="AF54" s="1215"/>
      <c r="AG54" s="1215"/>
      <c r="AH54" s="1215"/>
      <c r="AI54" s="1215"/>
      <c r="AJ54" s="1216"/>
      <c r="AK54" s="1216"/>
      <c r="AL54" s="1216"/>
      <c r="AM54" s="1216"/>
      <c r="AN54" s="1216"/>
      <c r="AO54" s="1216"/>
      <c r="AP54" s="1216"/>
      <c r="AQ54" s="1216"/>
      <c r="AR54" s="1216"/>
      <c r="AS54" s="1216"/>
      <c r="AT54" s="1216"/>
      <c r="AU54" s="1120" cm="1">
        <f t="array" ref="AU54">IF(H54="","",Slookup(MID(X54,1,3)*1,UomConversion!$D$8:$J$500,2,UomConversion!$I$8:$I$500,1,UomConversion!$J$8:$J$500,1))</f>
        <v>0</v>
      </c>
      <c r="AV54" s="401" t="str">
        <f t="shared" si="6"/>
        <v/>
      </c>
      <c r="AW54" s="757">
        <f t="shared" si="43"/>
        <v>2</v>
      </c>
      <c r="AX54" s="757" t="str">
        <f t="shared" si="43"/>
        <v/>
      </c>
      <c r="AY54" s="757" t="str">
        <f t="shared" si="43"/>
        <v/>
      </c>
      <c r="AZ54" s="1209" cm="1">
        <f t="array" ref="AZ54">IF(Y54="",1,Slookup(MID(X54,1,3)*1,UomConversion!$D$8:$J$500,5,UomConversion!$E$8:$E$500,MID(Y54,1,3)*1,UomConversion!$I$8:$I$500,1))</f>
        <v>1</v>
      </c>
      <c r="BA54" s="1209" cm="1">
        <f t="array" ref="BA54">IF(Z54="",1,Slookup(MID(X54,1,3)*1,UomConversion!$D$8:$J$500,5,UomConversion!$E$8:$E$500,MID(Z54,1,3)*1,UomConversion!$I$8:$I$500,1))</f>
        <v>1</v>
      </c>
      <c r="BB54" s="1217">
        <f t="shared" si="10"/>
        <v>0.75</v>
      </c>
      <c r="BC54" s="1217">
        <f t="shared" si="11"/>
        <v>0.25</v>
      </c>
      <c r="BD54" s="1217"/>
    </row>
    <row r="55" spans="2:59" s="1120" customFormat="1" ht="24.95" customHeight="1">
      <c r="B55" s="445"/>
      <c r="C55" s="843">
        <v>36</v>
      </c>
      <c r="D55" s="843"/>
      <c r="E55" s="843"/>
      <c r="F55" s="1116" t="s">
        <v>2377</v>
      </c>
      <c r="G55" s="1117" t="s">
        <v>2377</v>
      </c>
      <c r="H55" s="868" t="s">
        <v>3012</v>
      </c>
      <c r="I55" s="1118" t="s">
        <v>3012</v>
      </c>
      <c r="J55" s="1138" t="s">
        <v>2954</v>
      </c>
      <c r="K55" s="1138" t="s">
        <v>2972</v>
      </c>
      <c r="L55" s="870" t="s">
        <v>2370</v>
      </c>
      <c r="M55" s="868" t="s">
        <v>2309</v>
      </c>
      <c r="N55" s="1118"/>
      <c r="O55" s="1119">
        <v>0.32</v>
      </c>
      <c r="P55" s="884">
        <v>0.5</v>
      </c>
      <c r="Q55" s="885"/>
      <c r="R55" s="843">
        <v>1</v>
      </c>
      <c r="S55" s="843">
        <v>0</v>
      </c>
      <c r="T55" s="843">
        <v>1</v>
      </c>
      <c r="U55" s="843">
        <v>0</v>
      </c>
      <c r="V55" s="843">
        <v>0</v>
      </c>
      <c r="W55" s="843">
        <v>1</v>
      </c>
      <c r="X55" s="870" t="s">
        <v>2939</v>
      </c>
      <c r="Y55" s="843" t="str">
        <f>IF(OR(ISNA(MATCH(MID(X55,1,3)*1,UomConversion!$D$8:$D$500,0)),H55=""),"",IF(AV55="","",AV55))</f>
        <v/>
      </c>
      <c r="Z55" s="843" t="str">
        <f>IF(AND(AU55&gt;0,COUNTIFS(UomConversion!$D$8:$D$500,MID(X55,1,3)*1,UomConversion!$J$8:$J$500,1)&gt;1),TEXT(AU55,"000")&amp;"."&amp;VLOOKUP(AU55,uom_list,5,FALSE),"")</f>
        <v/>
      </c>
      <c r="AA55" s="843">
        <f t="shared" si="4"/>
        <v>1</v>
      </c>
      <c r="AB55" s="843" t="str">
        <f t="shared" si="8"/>
        <v>2</v>
      </c>
      <c r="AC55" s="843">
        <f t="shared" ref="AC55" si="46">import_pro_number_of_price_type</f>
        <v>2</v>
      </c>
      <c r="AD55" s="1214">
        <v>0</v>
      </c>
      <c r="AE55" s="1214">
        <v>0.5</v>
      </c>
      <c r="AF55" s="1215"/>
      <c r="AG55" s="1215"/>
      <c r="AH55" s="1215"/>
      <c r="AI55" s="1215"/>
      <c r="AJ55" s="1216"/>
      <c r="AK55" s="1216"/>
      <c r="AL55" s="1216"/>
      <c r="AM55" s="1216"/>
      <c r="AN55" s="1216"/>
      <c r="AO55" s="1216"/>
      <c r="AP55" s="1216"/>
      <c r="AQ55" s="1216"/>
      <c r="AR55" s="1216"/>
      <c r="AS55" s="1216"/>
      <c r="AT55" s="1216"/>
      <c r="AU55" s="1120" cm="1">
        <f t="array" ref="AU55">IF(H55="","",Slookup(MID(X55,1,3)*1,UomConversion!$D$8:$J$500,2,UomConversion!$I$8:$I$500,1,UomConversion!$J$8:$J$500,1))</f>
        <v>0</v>
      </c>
      <c r="AV55" s="401" t="str">
        <f t="shared" si="6"/>
        <v/>
      </c>
      <c r="AW55" s="757">
        <f t="shared" si="43"/>
        <v>2</v>
      </c>
      <c r="AX55" s="757" t="str">
        <f t="shared" si="43"/>
        <v/>
      </c>
      <c r="AY55" s="757" t="str">
        <f t="shared" si="43"/>
        <v/>
      </c>
      <c r="AZ55" s="1209" cm="1">
        <f t="array" ref="AZ55">IF(Y55="",1,Slookup(MID(X55,1,3)*1,UomConversion!$D$8:$J$500,5,UomConversion!$E$8:$E$500,MID(Y55,1,3)*1,UomConversion!$I$8:$I$500,1))</f>
        <v>1</v>
      </c>
      <c r="BA55" s="1209" cm="1">
        <f t="array" ref="BA55">IF(Z55="",1,Slookup(MID(X55,1,3)*1,UomConversion!$D$8:$J$500,5,UomConversion!$E$8:$E$500,MID(Z55,1,3)*1,UomConversion!$I$8:$I$500,1))</f>
        <v>1</v>
      </c>
      <c r="BB55" s="1217">
        <f t="shared" si="10"/>
        <v>0.5</v>
      </c>
      <c r="BC55" s="1217">
        <f t="shared" si="11"/>
        <v>0.18</v>
      </c>
      <c r="BD55" s="1217"/>
    </row>
    <row r="56" spans="2:59" s="1120" customFormat="1" ht="24.95" customHeight="1">
      <c r="B56" s="445"/>
      <c r="C56" s="843">
        <v>37</v>
      </c>
      <c r="D56" s="843"/>
      <c r="E56" s="843"/>
      <c r="F56" s="1116" t="s">
        <v>2380</v>
      </c>
      <c r="G56" s="1117" t="s">
        <v>2380</v>
      </c>
      <c r="H56" s="868" t="s">
        <v>3013</v>
      </c>
      <c r="I56" s="1118" t="s">
        <v>3013</v>
      </c>
      <c r="J56" s="1138" t="s">
        <v>2954</v>
      </c>
      <c r="K56" s="1138" t="s">
        <v>2972</v>
      </c>
      <c r="L56" s="870" t="s">
        <v>2370</v>
      </c>
      <c r="M56" s="868" t="s">
        <v>2309</v>
      </c>
      <c r="N56" s="1118"/>
      <c r="O56" s="1119">
        <v>0.66</v>
      </c>
      <c r="P56" s="884">
        <v>1</v>
      </c>
      <c r="Q56" s="885"/>
      <c r="R56" s="843">
        <v>1</v>
      </c>
      <c r="S56" s="843">
        <v>0</v>
      </c>
      <c r="T56" s="843">
        <v>1</v>
      </c>
      <c r="U56" s="843">
        <v>0</v>
      </c>
      <c r="V56" s="843">
        <v>0</v>
      </c>
      <c r="W56" s="843">
        <v>1</v>
      </c>
      <c r="X56" s="870" t="s">
        <v>2939</v>
      </c>
      <c r="Y56" s="843" t="str">
        <f>IF(OR(ISNA(MATCH(MID(X56,1,3)*1,UomConversion!$D$8:$D$500,0)),H56=""),"",IF(AV56="","",AV56))</f>
        <v/>
      </c>
      <c r="Z56" s="843" t="str">
        <f>IF(AND(AU56&gt;0,COUNTIFS(UomConversion!$D$8:$D$500,MID(X56,1,3)*1,UomConversion!$J$8:$J$500,1)&gt;1),TEXT(AU56,"000")&amp;"."&amp;VLOOKUP(AU56,uom_list,5,FALSE),"")</f>
        <v/>
      </c>
      <c r="AA56" s="843">
        <f t="shared" si="4"/>
        <v>1</v>
      </c>
      <c r="AB56" s="843" t="str">
        <f t="shared" si="8"/>
        <v>2</v>
      </c>
      <c r="AC56" s="843">
        <f t="shared" ref="AC56" si="47">import_pro_number_of_price_type</f>
        <v>2</v>
      </c>
      <c r="AD56" s="1214">
        <v>0</v>
      </c>
      <c r="AE56" s="1214">
        <v>1</v>
      </c>
      <c r="AF56" s="1215"/>
      <c r="AG56" s="1215"/>
      <c r="AH56" s="1215"/>
      <c r="AI56" s="1215"/>
      <c r="AJ56" s="1216"/>
      <c r="AK56" s="1216"/>
      <c r="AL56" s="1216"/>
      <c r="AM56" s="1216"/>
      <c r="AN56" s="1216"/>
      <c r="AO56" s="1216"/>
      <c r="AP56" s="1216"/>
      <c r="AQ56" s="1216"/>
      <c r="AR56" s="1216"/>
      <c r="AS56" s="1216"/>
      <c r="AT56" s="1216"/>
      <c r="AU56" s="1120" cm="1">
        <f t="array" ref="AU56">IF(H56="","",Slookup(MID(X56,1,3)*1,UomConversion!$D$8:$J$500,2,UomConversion!$I$8:$I$500,1,UomConversion!$J$8:$J$500,1))</f>
        <v>0</v>
      </c>
      <c r="AV56" s="401" t="str">
        <f t="shared" si="6"/>
        <v/>
      </c>
      <c r="AW56" s="757">
        <f t="shared" si="43"/>
        <v>2</v>
      </c>
      <c r="AX56" s="757" t="str">
        <f t="shared" si="43"/>
        <v/>
      </c>
      <c r="AY56" s="757" t="str">
        <f t="shared" si="43"/>
        <v/>
      </c>
      <c r="AZ56" s="1209" cm="1">
        <f t="array" ref="AZ56">IF(Y56="",1,Slookup(MID(X56,1,3)*1,UomConversion!$D$8:$J$500,5,UomConversion!$E$8:$E$500,MID(Y56,1,3)*1,UomConversion!$I$8:$I$500,1))</f>
        <v>1</v>
      </c>
      <c r="BA56" s="1209" cm="1">
        <f t="array" ref="BA56">IF(Z56="",1,Slookup(MID(X56,1,3)*1,UomConversion!$D$8:$J$500,5,UomConversion!$E$8:$E$500,MID(Z56,1,3)*1,UomConversion!$I$8:$I$500,1))</f>
        <v>1</v>
      </c>
      <c r="BB56" s="1217">
        <f t="shared" si="10"/>
        <v>1</v>
      </c>
      <c r="BC56" s="1217">
        <f t="shared" si="11"/>
        <v>0.33999999999999997</v>
      </c>
      <c r="BD56" s="1217"/>
    </row>
    <row r="57" spans="2:59" s="1120" customFormat="1" ht="24.95" customHeight="1">
      <c r="B57" s="445"/>
      <c r="C57" s="843">
        <v>38</v>
      </c>
      <c r="D57" s="843"/>
      <c r="E57" s="843"/>
      <c r="F57" s="1116" t="s">
        <v>2382</v>
      </c>
      <c r="G57" s="1117" t="s">
        <v>2382</v>
      </c>
      <c r="H57" s="868" t="s">
        <v>3014</v>
      </c>
      <c r="I57" s="1118" t="s">
        <v>3014</v>
      </c>
      <c r="J57" s="1138" t="s">
        <v>2954</v>
      </c>
      <c r="K57" s="1138" t="s">
        <v>2972</v>
      </c>
      <c r="L57" s="870" t="s">
        <v>2379</v>
      </c>
      <c r="M57" s="868" t="s">
        <v>2309</v>
      </c>
      <c r="N57" s="1118"/>
      <c r="O57" s="1119">
        <v>0.28599999999999998</v>
      </c>
      <c r="P57" s="884">
        <v>0.5</v>
      </c>
      <c r="Q57" s="885"/>
      <c r="R57" s="843">
        <v>1</v>
      </c>
      <c r="S57" s="843">
        <v>0</v>
      </c>
      <c r="T57" s="843">
        <v>1</v>
      </c>
      <c r="U57" s="843">
        <v>0</v>
      </c>
      <c r="V57" s="843">
        <v>0</v>
      </c>
      <c r="W57" s="843">
        <v>1</v>
      </c>
      <c r="X57" s="870" t="s">
        <v>2939</v>
      </c>
      <c r="Y57" s="843" t="str">
        <f>IF(OR(ISNA(MATCH(MID(X57,1,3)*1,UomConversion!$D$8:$D$500,0)),H57=""),"",IF(AV57="","",AV57))</f>
        <v/>
      </c>
      <c r="Z57" s="843" t="str">
        <f>IF(AND(AU57&gt;0,COUNTIFS(UomConversion!$D$8:$D$500,MID(X57,1,3)*1,UomConversion!$J$8:$J$500,1)&gt;1),TEXT(AU57,"000")&amp;"."&amp;VLOOKUP(AU57,uom_list,5,FALSE),"")</f>
        <v/>
      </c>
      <c r="AA57" s="843">
        <f t="shared" si="4"/>
        <v>1</v>
      </c>
      <c r="AB57" s="843" t="str">
        <f t="shared" si="8"/>
        <v>2</v>
      </c>
      <c r="AC57" s="843">
        <f t="shared" ref="AC57" si="48">import_pro_number_of_price_type</f>
        <v>2</v>
      </c>
      <c r="AD57" s="1214">
        <v>0</v>
      </c>
      <c r="AE57" s="1214">
        <v>0.5</v>
      </c>
      <c r="AF57" s="1215"/>
      <c r="AG57" s="1215"/>
      <c r="AH57" s="1215"/>
      <c r="AI57" s="1215"/>
      <c r="AJ57" s="1216"/>
      <c r="AK57" s="1216"/>
      <c r="AL57" s="1216"/>
      <c r="AM57" s="1216"/>
      <c r="AN57" s="1216"/>
      <c r="AO57" s="1216"/>
      <c r="AP57" s="1216"/>
      <c r="AQ57" s="1216"/>
      <c r="AR57" s="1216"/>
      <c r="AS57" s="1216"/>
      <c r="AT57" s="1216"/>
      <c r="AU57" s="1120" cm="1">
        <f t="array" ref="AU57">IF(H57="","",Slookup(MID(X57,1,3)*1,UomConversion!$D$8:$J$500,2,UomConversion!$I$8:$I$500,1,UomConversion!$J$8:$J$500,1))</f>
        <v>0</v>
      </c>
      <c r="AV57" s="401" t="str">
        <f t="shared" si="6"/>
        <v/>
      </c>
      <c r="AW57" s="757">
        <f t="shared" si="43"/>
        <v>2</v>
      </c>
      <c r="AX57" s="757" t="str">
        <f t="shared" si="43"/>
        <v/>
      </c>
      <c r="AY57" s="757" t="str">
        <f t="shared" si="43"/>
        <v/>
      </c>
      <c r="AZ57" s="1209" cm="1">
        <f t="array" ref="AZ57">IF(Y57="",1,Slookup(MID(X57,1,3)*1,UomConversion!$D$8:$J$500,5,UomConversion!$E$8:$E$500,MID(Y57,1,3)*1,UomConversion!$I$8:$I$500,1))</f>
        <v>1</v>
      </c>
      <c r="BA57" s="1209" cm="1">
        <f t="array" ref="BA57">IF(Z57="",1,Slookup(MID(X57,1,3)*1,UomConversion!$D$8:$J$500,5,UomConversion!$E$8:$E$500,MID(Z57,1,3)*1,UomConversion!$I$8:$I$500,1))</f>
        <v>1</v>
      </c>
      <c r="BB57" s="1217">
        <f t="shared" si="10"/>
        <v>0.5</v>
      </c>
      <c r="BC57" s="1217">
        <f t="shared" si="11"/>
        <v>0.21400000000000002</v>
      </c>
      <c r="BD57" s="1217"/>
    </row>
    <row r="58" spans="2:59" s="1120" customFormat="1" ht="24.95" customHeight="1">
      <c r="B58" s="445"/>
      <c r="C58" s="843">
        <v>39</v>
      </c>
      <c r="D58" s="843"/>
      <c r="E58" s="843"/>
      <c r="F58" s="1116" t="s">
        <v>2384</v>
      </c>
      <c r="G58" s="1117" t="s">
        <v>2384</v>
      </c>
      <c r="H58" s="868" t="s">
        <v>3015</v>
      </c>
      <c r="I58" s="1118" t="s">
        <v>3015</v>
      </c>
      <c r="J58" s="1138" t="s">
        <v>2954</v>
      </c>
      <c r="K58" s="1138" t="s">
        <v>2972</v>
      </c>
      <c r="L58" s="870" t="s">
        <v>2379</v>
      </c>
      <c r="M58" s="868" t="s">
        <v>2309</v>
      </c>
      <c r="N58" s="1118"/>
      <c r="O58" s="1119">
        <v>0.28999999999999998</v>
      </c>
      <c r="P58" s="884">
        <v>0.5</v>
      </c>
      <c r="Q58" s="885"/>
      <c r="R58" s="843">
        <v>1</v>
      </c>
      <c r="S58" s="843">
        <v>0</v>
      </c>
      <c r="T58" s="843">
        <v>1</v>
      </c>
      <c r="U58" s="843">
        <v>0</v>
      </c>
      <c r="V58" s="843">
        <v>0</v>
      </c>
      <c r="W58" s="843">
        <v>1</v>
      </c>
      <c r="X58" s="870" t="s">
        <v>2939</v>
      </c>
      <c r="Y58" s="843" t="str">
        <f>IF(OR(ISNA(MATCH(MID(X58,1,3)*1,UomConversion!$D$8:$D$500,0)),H58=""),"",IF(AV58="","",AV58))</f>
        <v/>
      </c>
      <c r="Z58" s="843" t="str">
        <f>IF(AND(AU58&gt;0,COUNTIFS(UomConversion!$D$8:$D$500,MID(X58,1,3)*1,UomConversion!$J$8:$J$500,1)&gt;1),TEXT(AU58,"000")&amp;"."&amp;VLOOKUP(AU58,uom_list,5,FALSE),"")</f>
        <v/>
      </c>
      <c r="AA58" s="843">
        <f t="shared" si="4"/>
        <v>1</v>
      </c>
      <c r="AB58" s="843" t="str">
        <f t="shared" si="8"/>
        <v>2</v>
      </c>
      <c r="AC58" s="843">
        <f t="shared" ref="AC58" si="49">import_pro_number_of_price_type</f>
        <v>2</v>
      </c>
      <c r="AD58" s="1214">
        <v>0</v>
      </c>
      <c r="AE58" s="1214">
        <v>0.5</v>
      </c>
      <c r="AF58" s="1215"/>
      <c r="AG58" s="1215"/>
      <c r="AH58" s="1215"/>
      <c r="AI58" s="1215"/>
      <c r="AJ58" s="1216"/>
      <c r="AK58" s="1216"/>
      <c r="AL58" s="1216"/>
      <c r="AM58" s="1216"/>
      <c r="AN58" s="1216"/>
      <c r="AO58" s="1216"/>
      <c r="AP58" s="1216"/>
      <c r="AQ58" s="1216"/>
      <c r="AR58" s="1216"/>
      <c r="AS58" s="1216"/>
      <c r="AT58" s="1216"/>
      <c r="AU58" s="1120" cm="1">
        <f t="array" ref="AU58">IF(H58="","",Slookup(MID(X58,1,3)*1,UomConversion!$D$8:$J$500,2,UomConversion!$I$8:$I$500,1,UomConversion!$J$8:$J$500,1))</f>
        <v>0</v>
      </c>
      <c r="AV58" s="401" t="str">
        <f t="shared" si="6"/>
        <v/>
      </c>
      <c r="AW58" s="757">
        <f t="shared" si="43"/>
        <v>2</v>
      </c>
      <c r="AX58" s="757" t="str">
        <f t="shared" si="43"/>
        <v/>
      </c>
      <c r="AY58" s="757" t="str">
        <f t="shared" si="43"/>
        <v/>
      </c>
      <c r="AZ58" s="1209" cm="1">
        <f t="array" ref="AZ58">IF(Y58="",1,Slookup(MID(X58,1,3)*1,UomConversion!$D$8:$J$500,5,UomConversion!$E$8:$E$500,MID(Y58,1,3)*1,UomConversion!$I$8:$I$500,1))</f>
        <v>1</v>
      </c>
      <c r="BA58" s="1209" cm="1">
        <f t="array" ref="BA58">IF(Z58="",1,Slookup(MID(X58,1,3)*1,UomConversion!$D$8:$J$500,5,UomConversion!$E$8:$E$500,MID(Z58,1,3)*1,UomConversion!$I$8:$I$500,1))</f>
        <v>1</v>
      </c>
      <c r="BB58" s="1217">
        <f t="shared" si="10"/>
        <v>0.5</v>
      </c>
      <c r="BC58" s="1217">
        <f t="shared" si="11"/>
        <v>0.21000000000000002</v>
      </c>
      <c r="BD58" s="1217"/>
    </row>
    <row r="59" spans="2:59" s="1120" customFormat="1" ht="24.95" customHeight="1">
      <c r="B59" s="445"/>
      <c r="C59" s="843">
        <v>40</v>
      </c>
      <c r="D59" s="843"/>
      <c r="E59" s="843"/>
      <c r="F59" s="1116" t="s">
        <v>2386</v>
      </c>
      <c r="G59" s="1117" t="s">
        <v>2386</v>
      </c>
      <c r="H59" s="868" t="s">
        <v>3016</v>
      </c>
      <c r="I59" s="1118" t="s">
        <v>3016</v>
      </c>
      <c r="J59" s="1138" t="s">
        <v>2954</v>
      </c>
      <c r="K59" s="1138" t="s">
        <v>2972</v>
      </c>
      <c r="L59" s="870" t="s">
        <v>2379</v>
      </c>
      <c r="M59" s="868" t="s">
        <v>2309</v>
      </c>
      <c r="N59" s="1118"/>
      <c r="O59" s="1119">
        <v>0.23</v>
      </c>
      <c r="P59" s="884">
        <v>0.5</v>
      </c>
      <c r="Q59" s="885"/>
      <c r="R59" s="843">
        <v>1</v>
      </c>
      <c r="S59" s="843">
        <v>0</v>
      </c>
      <c r="T59" s="843">
        <v>1</v>
      </c>
      <c r="U59" s="843">
        <v>0</v>
      </c>
      <c r="V59" s="843">
        <v>0</v>
      </c>
      <c r="W59" s="843">
        <v>1</v>
      </c>
      <c r="X59" s="870" t="s">
        <v>2939</v>
      </c>
      <c r="Y59" s="843" t="str">
        <f>IF(OR(ISNA(MATCH(MID(X59,1,3)*1,UomConversion!$D$8:$D$500,0)),H59=""),"",IF(AV59="","",AV59))</f>
        <v/>
      </c>
      <c r="Z59" s="843" t="str">
        <f>IF(AND(AU59&gt;0,COUNTIFS(UomConversion!$D$8:$D$500,MID(X59,1,3)*1,UomConversion!$J$8:$J$500,1)&gt;1),TEXT(AU59,"000")&amp;"."&amp;VLOOKUP(AU59,uom_list,5,FALSE),"")</f>
        <v/>
      </c>
      <c r="AA59" s="843">
        <f t="shared" si="4"/>
        <v>1</v>
      </c>
      <c r="AB59" s="843" t="str">
        <f t="shared" si="8"/>
        <v>2</v>
      </c>
      <c r="AC59" s="843">
        <f t="shared" ref="AC59" si="50">import_pro_number_of_price_type</f>
        <v>2</v>
      </c>
      <c r="AD59" s="1214">
        <v>0</v>
      </c>
      <c r="AE59" s="1214">
        <v>0.5</v>
      </c>
      <c r="AF59" s="1215"/>
      <c r="AG59" s="1215"/>
      <c r="AH59" s="1215"/>
      <c r="AI59" s="1215"/>
      <c r="AJ59" s="1216"/>
      <c r="AK59" s="1216"/>
      <c r="AL59" s="1216"/>
      <c r="AM59" s="1216"/>
      <c r="AN59" s="1216"/>
      <c r="AO59" s="1216"/>
      <c r="AP59" s="1216"/>
      <c r="AQ59" s="1216"/>
      <c r="AR59" s="1216"/>
      <c r="AS59" s="1216"/>
      <c r="AT59" s="1216"/>
      <c r="AU59" s="1120" cm="1">
        <f t="array" ref="AU59">IF(H59="","",Slookup(MID(X59,1,3)*1,UomConversion!$D$8:$J$500,2,UomConversion!$I$8:$I$500,1,UomConversion!$J$8:$J$500,1))</f>
        <v>0</v>
      </c>
      <c r="AV59" s="401" t="str">
        <f t="shared" si="6"/>
        <v/>
      </c>
      <c r="AW59" s="757">
        <f t="shared" si="43"/>
        <v>2</v>
      </c>
      <c r="AX59" s="757" t="str">
        <f t="shared" si="43"/>
        <v/>
      </c>
      <c r="AY59" s="757" t="str">
        <f t="shared" si="43"/>
        <v/>
      </c>
      <c r="AZ59" s="1209" cm="1">
        <f t="array" ref="AZ59">IF(Y59="",1,Slookup(MID(X59,1,3)*1,UomConversion!$D$8:$J$500,5,UomConversion!$E$8:$E$500,MID(Y59,1,3)*1,UomConversion!$I$8:$I$500,1))</f>
        <v>1</v>
      </c>
      <c r="BA59" s="1209" cm="1">
        <f t="array" ref="BA59">IF(Z59="",1,Slookup(MID(X59,1,3)*1,UomConversion!$D$8:$J$500,5,UomConversion!$E$8:$E$500,MID(Z59,1,3)*1,UomConversion!$I$8:$I$500,1))</f>
        <v>1</v>
      </c>
      <c r="BB59" s="1217">
        <f t="shared" si="10"/>
        <v>0.5</v>
      </c>
      <c r="BC59" s="1217">
        <f t="shared" si="11"/>
        <v>0.27</v>
      </c>
      <c r="BD59" s="1217"/>
    </row>
    <row r="60" spans="2:59" s="1120" customFormat="1" ht="24.95" customHeight="1">
      <c r="B60" s="445"/>
      <c r="C60" s="843">
        <v>41</v>
      </c>
      <c r="D60" s="843"/>
      <c r="E60" s="843"/>
      <c r="F60" s="1116" t="s">
        <v>2389</v>
      </c>
      <c r="G60" s="1117" t="s">
        <v>2389</v>
      </c>
      <c r="H60" s="868" t="s">
        <v>3017</v>
      </c>
      <c r="I60" s="1118" t="s">
        <v>3017</v>
      </c>
      <c r="J60" s="1138" t="s">
        <v>2954</v>
      </c>
      <c r="K60" s="1138" t="s">
        <v>2972</v>
      </c>
      <c r="L60" s="870" t="s">
        <v>2379</v>
      </c>
      <c r="M60" s="868" t="s">
        <v>2309</v>
      </c>
      <c r="N60" s="1118"/>
      <c r="O60" s="1119">
        <v>0.53</v>
      </c>
      <c r="P60" s="884">
        <v>0.75</v>
      </c>
      <c r="Q60" s="885"/>
      <c r="R60" s="843">
        <v>1</v>
      </c>
      <c r="S60" s="843">
        <v>0</v>
      </c>
      <c r="T60" s="843">
        <v>1</v>
      </c>
      <c r="U60" s="843">
        <v>0</v>
      </c>
      <c r="V60" s="843">
        <v>0</v>
      </c>
      <c r="W60" s="843">
        <v>1</v>
      </c>
      <c r="X60" s="870" t="s">
        <v>2939</v>
      </c>
      <c r="Y60" s="843" t="str">
        <f>IF(OR(ISNA(MATCH(MID(X60,1,3)*1,UomConversion!$D$8:$D$500,0)),H60=""),"",IF(AV60="","",AV60))</f>
        <v/>
      </c>
      <c r="Z60" s="843" t="str">
        <f>IF(AND(AU60&gt;0,COUNTIFS(UomConversion!$D$8:$D$500,MID(X60,1,3)*1,UomConversion!$J$8:$J$500,1)&gt;1),TEXT(AU60,"000")&amp;"."&amp;VLOOKUP(AU60,uom_list,5,FALSE),"")</f>
        <v/>
      </c>
      <c r="AA60" s="843">
        <f t="shared" si="4"/>
        <v>1</v>
      </c>
      <c r="AB60" s="843" t="str">
        <f t="shared" si="8"/>
        <v>2</v>
      </c>
      <c r="AC60" s="843">
        <f t="shared" ref="AC60" si="51">import_pro_number_of_price_type</f>
        <v>2</v>
      </c>
      <c r="AD60" s="1214">
        <v>0</v>
      </c>
      <c r="AE60" s="1214">
        <v>0.75</v>
      </c>
      <c r="AF60" s="1215"/>
      <c r="AG60" s="1215"/>
      <c r="AH60" s="1215"/>
      <c r="AI60" s="1215"/>
      <c r="AJ60" s="1216"/>
      <c r="AK60" s="1216"/>
      <c r="AL60" s="1216"/>
      <c r="AM60" s="1216"/>
      <c r="AN60" s="1216"/>
      <c r="AO60" s="1216"/>
      <c r="AP60" s="1216"/>
      <c r="AQ60" s="1216"/>
      <c r="AR60" s="1216"/>
      <c r="AS60" s="1216"/>
      <c r="AT60" s="1216"/>
      <c r="AU60" s="1120" cm="1">
        <f t="array" ref="AU60">IF(H60="","",Slookup(MID(X60,1,3)*1,UomConversion!$D$8:$J$500,2,UomConversion!$I$8:$I$500,1,UomConversion!$J$8:$J$500,1))</f>
        <v>0</v>
      </c>
      <c r="AV60" s="401" t="str">
        <f t="shared" si="6"/>
        <v/>
      </c>
      <c r="AW60" s="757">
        <f t="shared" si="43"/>
        <v>2</v>
      </c>
      <c r="AX60" s="757" t="str">
        <f t="shared" si="43"/>
        <v/>
      </c>
      <c r="AY60" s="757" t="str">
        <f t="shared" si="43"/>
        <v/>
      </c>
      <c r="AZ60" s="1209" cm="1">
        <f t="array" ref="AZ60">IF(Y60="",1,Slookup(MID(X60,1,3)*1,UomConversion!$D$8:$J$500,5,UomConversion!$E$8:$E$500,MID(Y60,1,3)*1,UomConversion!$I$8:$I$500,1))</f>
        <v>1</v>
      </c>
      <c r="BA60" s="1209" cm="1">
        <f t="array" ref="BA60">IF(Z60="",1,Slookup(MID(X60,1,3)*1,UomConversion!$D$8:$J$500,5,UomConversion!$E$8:$E$500,MID(Z60,1,3)*1,UomConversion!$I$8:$I$500,1))</f>
        <v>1</v>
      </c>
      <c r="BB60" s="1217">
        <f t="shared" si="10"/>
        <v>0.75</v>
      </c>
      <c r="BC60" s="1217">
        <f t="shared" si="11"/>
        <v>0.21999999999999997</v>
      </c>
      <c r="BD60" s="1217"/>
    </row>
    <row r="61" spans="2:59" s="1120" customFormat="1" ht="24.95" customHeight="1">
      <c r="B61" s="445"/>
      <c r="C61" s="843">
        <v>42</v>
      </c>
      <c r="D61" s="843"/>
      <c r="E61" s="843"/>
      <c r="F61" s="1116" t="s">
        <v>2391</v>
      </c>
      <c r="G61" s="1117" t="s">
        <v>2391</v>
      </c>
      <c r="H61" s="868" t="s">
        <v>3018</v>
      </c>
      <c r="I61" s="1118" t="s">
        <v>3018</v>
      </c>
      <c r="J61" s="1138" t="s">
        <v>2954</v>
      </c>
      <c r="K61" s="1138" t="s">
        <v>2972</v>
      </c>
      <c r="L61" s="870" t="s">
        <v>2388</v>
      </c>
      <c r="M61" s="868" t="s">
        <v>2309</v>
      </c>
      <c r="N61" s="1118"/>
      <c r="O61" s="1119">
        <v>0.24299999999999999</v>
      </c>
      <c r="P61" s="884">
        <v>0.5</v>
      </c>
      <c r="Q61" s="885"/>
      <c r="R61" s="843">
        <v>1</v>
      </c>
      <c r="S61" s="843">
        <v>0</v>
      </c>
      <c r="T61" s="843">
        <v>1</v>
      </c>
      <c r="U61" s="843">
        <v>0</v>
      </c>
      <c r="V61" s="843">
        <v>0</v>
      </c>
      <c r="W61" s="843">
        <v>1</v>
      </c>
      <c r="X61" s="870" t="s">
        <v>2939</v>
      </c>
      <c r="Y61" s="843" t="str">
        <f>IF(OR(ISNA(MATCH(MID(X61,1,3)*1,UomConversion!$D$8:$D$500,0)),H61=""),"",IF(AV61="","",AV61))</f>
        <v/>
      </c>
      <c r="Z61" s="843" t="str">
        <f>IF(AND(AU61&gt;0,COUNTIFS(UomConversion!$D$8:$D$500,MID(X61,1,3)*1,UomConversion!$J$8:$J$500,1)&gt;1),TEXT(AU61,"000")&amp;"."&amp;VLOOKUP(AU61,uom_list,5,FALSE),"")</f>
        <v/>
      </c>
      <c r="AA61" s="843">
        <f t="shared" si="4"/>
        <v>1</v>
      </c>
      <c r="AB61" s="843" t="str">
        <f t="shared" si="8"/>
        <v>2</v>
      </c>
      <c r="AC61" s="843">
        <f t="shared" ref="AC61" si="52">import_pro_number_of_price_type</f>
        <v>2</v>
      </c>
      <c r="AD61" s="1214">
        <v>0</v>
      </c>
      <c r="AE61" s="1214">
        <v>0.5</v>
      </c>
      <c r="AF61" s="1215"/>
      <c r="AG61" s="1215"/>
      <c r="AH61" s="1215"/>
      <c r="AI61" s="1215"/>
      <c r="AJ61" s="1216"/>
      <c r="AK61" s="1216"/>
      <c r="AL61" s="1216"/>
      <c r="AM61" s="1216"/>
      <c r="AN61" s="1216"/>
      <c r="AO61" s="1216"/>
      <c r="AP61" s="1216"/>
      <c r="AQ61" s="1216"/>
      <c r="AR61" s="1216"/>
      <c r="AS61" s="1216"/>
      <c r="AT61" s="1216"/>
      <c r="AU61" s="1120" cm="1">
        <f t="array" ref="AU61">IF(H61="","",Slookup(MID(X61,1,3)*1,UomConversion!$D$8:$J$500,2,UomConversion!$I$8:$I$500,1,UomConversion!$J$8:$J$500,1))</f>
        <v>0</v>
      </c>
      <c r="AV61" s="401" t="str">
        <f t="shared" si="6"/>
        <v/>
      </c>
      <c r="AW61" s="757">
        <f t="shared" si="43"/>
        <v>2</v>
      </c>
      <c r="AX61" s="757" t="str">
        <f t="shared" si="43"/>
        <v/>
      </c>
      <c r="AY61" s="757" t="str">
        <f t="shared" si="43"/>
        <v/>
      </c>
      <c r="AZ61" s="1209" cm="1">
        <f t="array" ref="AZ61">IF(Y61="",1,Slookup(MID(X61,1,3)*1,UomConversion!$D$8:$J$500,5,UomConversion!$E$8:$E$500,MID(Y61,1,3)*1,UomConversion!$I$8:$I$500,1))</f>
        <v>1</v>
      </c>
      <c r="BA61" s="1209" cm="1">
        <f t="array" ref="BA61">IF(Z61="",1,Slookup(MID(X61,1,3)*1,UomConversion!$D$8:$J$500,5,UomConversion!$E$8:$E$500,MID(Z61,1,3)*1,UomConversion!$I$8:$I$500,1))</f>
        <v>1</v>
      </c>
      <c r="BB61" s="1217">
        <f t="shared" si="10"/>
        <v>0.5</v>
      </c>
      <c r="BC61" s="1217">
        <f t="shared" si="11"/>
        <v>0.25700000000000001</v>
      </c>
      <c r="BD61" s="1217"/>
    </row>
    <row r="62" spans="2:59" s="1120" customFormat="1" ht="24.95" customHeight="1">
      <c r="B62" s="445"/>
      <c r="C62" s="843">
        <v>43</v>
      </c>
      <c r="D62" s="843"/>
      <c r="E62" s="843"/>
      <c r="F62" s="1116" t="s">
        <v>2393</v>
      </c>
      <c r="G62" s="1117" t="s">
        <v>2393</v>
      </c>
      <c r="H62" s="868" t="s">
        <v>3019</v>
      </c>
      <c r="I62" s="1118" t="s">
        <v>3019</v>
      </c>
      <c r="J62" s="1138" t="s">
        <v>2954</v>
      </c>
      <c r="K62" s="1138" t="s">
        <v>2972</v>
      </c>
      <c r="L62" s="870" t="s">
        <v>2388</v>
      </c>
      <c r="M62" s="868" t="s">
        <v>2309</v>
      </c>
      <c r="N62" s="1118"/>
      <c r="O62" s="1119">
        <v>0.24</v>
      </c>
      <c r="P62" s="884">
        <v>0.5</v>
      </c>
      <c r="Q62" s="885"/>
      <c r="R62" s="843">
        <v>1</v>
      </c>
      <c r="S62" s="843">
        <v>0</v>
      </c>
      <c r="T62" s="843">
        <v>1</v>
      </c>
      <c r="U62" s="843">
        <v>0</v>
      </c>
      <c r="V62" s="843">
        <v>0</v>
      </c>
      <c r="W62" s="843">
        <v>1</v>
      </c>
      <c r="X62" s="870" t="s">
        <v>2939</v>
      </c>
      <c r="Y62" s="843" t="str">
        <f>IF(OR(ISNA(MATCH(MID(X62,1,3)*1,UomConversion!$D$8:$D$500,0)),H62=""),"",IF(AV62="","",AV62))</f>
        <v/>
      </c>
      <c r="Z62" s="843" t="str">
        <f>IF(AND(AU62&gt;0,COUNTIFS(UomConversion!$D$8:$D$500,MID(X62,1,3)*1,UomConversion!$J$8:$J$500,1)&gt;1),TEXT(AU62,"000")&amp;"."&amp;VLOOKUP(AU62,uom_list,5,FALSE),"")</f>
        <v/>
      </c>
      <c r="AA62" s="843">
        <f t="shared" si="4"/>
        <v>1</v>
      </c>
      <c r="AB62" s="843" t="str">
        <f t="shared" si="8"/>
        <v>2</v>
      </c>
      <c r="AC62" s="843">
        <f t="shared" ref="AC62" si="53">import_pro_number_of_price_type</f>
        <v>2</v>
      </c>
      <c r="AD62" s="1214">
        <v>0</v>
      </c>
      <c r="AE62" s="1214">
        <v>0.5</v>
      </c>
      <c r="AF62" s="1215"/>
      <c r="AG62" s="1215"/>
      <c r="AH62" s="1215"/>
      <c r="AI62" s="1215"/>
      <c r="AJ62" s="1216"/>
      <c r="AK62" s="1216"/>
      <c r="AL62" s="1216"/>
      <c r="AM62" s="1216"/>
      <c r="AN62" s="1216"/>
      <c r="AO62" s="1216"/>
      <c r="AP62" s="1216"/>
      <c r="AQ62" s="1216"/>
      <c r="AR62" s="1216"/>
      <c r="AS62" s="1216"/>
      <c r="AT62" s="1216"/>
      <c r="AU62" s="1120" cm="1">
        <f t="array" ref="AU62">IF(H62="","",Slookup(MID(X62,1,3)*1,UomConversion!$D$8:$J$500,2,UomConversion!$I$8:$I$500,1,UomConversion!$J$8:$J$500,1))</f>
        <v>0</v>
      </c>
      <c r="AV62" s="401" t="str">
        <f t="shared" si="6"/>
        <v/>
      </c>
      <c r="AW62" s="757">
        <f t="shared" si="43"/>
        <v>2</v>
      </c>
      <c r="AX62" s="757" t="str">
        <f t="shared" si="43"/>
        <v/>
      </c>
      <c r="AY62" s="757" t="str">
        <f t="shared" si="43"/>
        <v/>
      </c>
      <c r="AZ62" s="1209" cm="1">
        <f t="array" ref="AZ62">IF(Y62="",1,Slookup(MID(X62,1,3)*1,UomConversion!$D$8:$J$500,5,UomConversion!$E$8:$E$500,MID(Y62,1,3)*1,UomConversion!$I$8:$I$500,1))</f>
        <v>1</v>
      </c>
      <c r="BA62" s="1209" cm="1">
        <f t="array" ref="BA62">IF(Z62="",1,Slookup(MID(X62,1,3)*1,UomConversion!$D$8:$J$500,5,UomConversion!$E$8:$E$500,MID(Z62,1,3)*1,UomConversion!$I$8:$I$500,1))</f>
        <v>1</v>
      </c>
      <c r="BB62" s="1217">
        <f t="shared" si="10"/>
        <v>0.5</v>
      </c>
      <c r="BC62" s="1217">
        <f t="shared" si="11"/>
        <v>0.26</v>
      </c>
      <c r="BD62" s="1217"/>
    </row>
    <row r="63" spans="2:59" s="1120" customFormat="1" ht="24.95" customHeight="1">
      <c r="B63" s="445"/>
      <c r="C63" s="843">
        <v>44</v>
      </c>
      <c r="D63" s="843"/>
      <c r="E63" s="843"/>
      <c r="F63" s="1116" t="s">
        <v>2395</v>
      </c>
      <c r="G63" s="1117" t="s">
        <v>2395</v>
      </c>
      <c r="H63" s="868" t="s">
        <v>3020</v>
      </c>
      <c r="I63" s="1118" t="s">
        <v>3020</v>
      </c>
      <c r="J63" s="1138" t="s">
        <v>2954</v>
      </c>
      <c r="K63" s="1138" t="s">
        <v>2972</v>
      </c>
      <c r="L63" s="870" t="s">
        <v>2388</v>
      </c>
      <c r="M63" s="868" t="s">
        <v>2309</v>
      </c>
      <c r="N63" s="1118"/>
      <c r="O63" s="1119">
        <v>0.22</v>
      </c>
      <c r="P63" s="884">
        <v>0.38</v>
      </c>
      <c r="Q63" s="885"/>
      <c r="R63" s="843">
        <v>1</v>
      </c>
      <c r="S63" s="843">
        <v>0</v>
      </c>
      <c r="T63" s="843">
        <v>1</v>
      </c>
      <c r="U63" s="843">
        <v>0</v>
      </c>
      <c r="V63" s="843">
        <v>0</v>
      </c>
      <c r="W63" s="843">
        <v>1</v>
      </c>
      <c r="X63" s="870" t="s">
        <v>2939</v>
      </c>
      <c r="Y63" s="843" t="str">
        <f>IF(OR(ISNA(MATCH(MID(X63,1,3)*1,UomConversion!$D$8:$D$500,0)),H63=""),"",IF(AV63="","",AV63))</f>
        <v/>
      </c>
      <c r="Z63" s="843" t="str">
        <f>IF(AND(AU63&gt;0,COUNTIFS(UomConversion!$D$8:$D$500,MID(X63,1,3)*1,UomConversion!$J$8:$J$500,1)&gt;1),TEXT(AU63,"000")&amp;"."&amp;VLOOKUP(AU63,uom_list,5,FALSE),"")</f>
        <v/>
      </c>
      <c r="AA63" s="843">
        <f t="shared" si="4"/>
        <v>1</v>
      </c>
      <c r="AB63" s="843" t="str">
        <f t="shared" si="8"/>
        <v>2</v>
      </c>
      <c r="AC63" s="843">
        <f t="shared" ref="AC63" si="54">import_pro_number_of_price_type</f>
        <v>2</v>
      </c>
      <c r="AD63" s="1214">
        <v>0</v>
      </c>
      <c r="AE63" s="1214">
        <v>0.38</v>
      </c>
      <c r="AF63" s="1215"/>
      <c r="AG63" s="1215"/>
      <c r="AH63" s="1215"/>
      <c r="AI63" s="1215"/>
      <c r="AJ63" s="1216"/>
      <c r="AK63" s="1216"/>
      <c r="AL63" s="1216"/>
      <c r="AM63" s="1216"/>
      <c r="AN63" s="1216"/>
      <c r="AO63" s="1216"/>
      <c r="AP63" s="1216"/>
      <c r="AQ63" s="1216"/>
      <c r="AR63" s="1216"/>
      <c r="AS63" s="1216"/>
      <c r="AT63" s="1216"/>
      <c r="AU63" s="1120" cm="1">
        <f t="array" ref="AU63">IF(H63="","",Slookup(MID(X63,1,3)*1,UomConversion!$D$8:$J$500,2,UomConversion!$I$8:$I$500,1,UomConversion!$J$8:$J$500,1))</f>
        <v>0</v>
      </c>
      <c r="AV63" s="401" t="str">
        <f t="shared" si="6"/>
        <v/>
      </c>
      <c r="AW63" s="757">
        <f t="shared" si="43"/>
        <v>2</v>
      </c>
      <c r="AX63" s="757" t="str">
        <f t="shared" si="43"/>
        <v/>
      </c>
      <c r="AY63" s="757" t="str">
        <f t="shared" si="43"/>
        <v/>
      </c>
      <c r="AZ63" s="1209" cm="1">
        <f t="array" ref="AZ63">IF(Y63="",1,Slookup(MID(X63,1,3)*1,UomConversion!$D$8:$J$500,5,UomConversion!$E$8:$E$500,MID(Y63,1,3)*1,UomConversion!$I$8:$I$500,1))</f>
        <v>1</v>
      </c>
      <c r="BA63" s="1209" cm="1">
        <f t="array" ref="BA63">IF(Z63="",1,Slookup(MID(X63,1,3)*1,UomConversion!$D$8:$J$500,5,UomConversion!$E$8:$E$500,MID(Z63,1,3)*1,UomConversion!$I$8:$I$500,1))</f>
        <v>1</v>
      </c>
      <c r="BB63" s="1217">
        <f t="shared" si="10"/>
        <v>0.38</v>
      </c>
      <c r="BC63" s="1217">
        <f t="shared" si="11"/>
        <v>0.16</v>
      </c>
      <c r="BD63" s="1217"/>
    </row>
    <row r="64" spans="2:59" s="1120" customFormat="1" ht="24.95" customHeight="1">
      <c r="B64" s="445"/>
      <c r="C64" s="843">
        <v>45</v>
      </c>
      <c r="D64" s="843"/>
      <c r="E64" s="843"/>
      <c r="F64" s="1116" t="s">
        <v>2398</v>
      </c>
      <c r="G64" s="1117" t="s">
        <v>2398</v>
      </c>
      <c r="H64" s="868" t="s">
        <v>3021</v>
      </c>
      <c r="I64" s="1118" t="s">
        <v>3021</v>
      </c>
      <c r="J64" s="1138" t="s">
        <v>2954</v>
      </c>
      <c r="K64" s="1138" t="s">
        <v>2972</v>
      </c>
      <c r="L64" s="870" t="s">
        <v>2388</v>
      </c>
      <c r="M64" s="868" t="s">
        <v>2309</v>
      </c>
      <c r="N64" s="1118"/>
      <c r="O64" s="1119">
        <v>0.34</v>
      </c>
      <c r="P64" s="884">
        <v>0.5</v>
      </c>
      <c r="Q64" s="885"/>
      <c r="R64" s="843">
        <v>1</v>
      </c>
      <c r="S64" s="843">
        <v>0</v>
      </c>
      <c r="T64" s="843">
        <v>1</v>
      </c>
      <c r="U64" s="843">
        <v>0</v>
      </c>
      <c r="V64" s="843">
        <v>0</v>
      </c>
      <c r="W64" s="843">
        <v>1</v>
      </c>
      <c r="X64" s="870" t="s">
        <v>2939</v>
      </c>
      <c r="Y64" s="843" t="str">
        <f>IF(OR(ISNA(MATCH(MID(X64,1,3)*1,UomConversion!$D$8:$D$500,0)),H64=""),"",IF(AV64="","",AV64))</f>
        <v/>
      </c>
      <c r="Z64" s="843" t="str">
        <f>IF(AND(AU64&gt;0,COUNTIFS(UomConversion!$D$8:$D$500,MID(X64,1,3)*1,UomConversion!$J$8:$J$500,1)&gt;1),TEXT(AU64,"000")&amp;"."&amp;VLOOKUP(AU64,uom_list,5,FALSE),"")</f>
        <v/>
      </c>
      <c r="AA64" s="843">
        <f t="shared" si="4"/>
        <v>1</v>
      </c>
      <c r="AB64" s="843" t="str">
        <f t="shared" si="8"/>
        <v>2</v>
      </c>
      <c r="AC64" s="843">
        <f t="shared" ref="AC64" si="55">import_pro_number_of_price_type</f>
        <v>2</v>
      </c>
      <c r="AD64" s="1214">
        <v>0</v>
      </c>
      <c r="AE64" s="1214">
        <v>0.5</v>
      </c>
      <c r="AF64" s="1215"/>
      <c r="AG64" s="1215"/>
      <c r="AH64" s="1215"/>
      <c r="AI64" s="1215"/>
      <c r="AJ64" s="1216"/>
      <c r="AK64" s="1216"/>
      <c r="AL64" s="1216"/>
      <c r="AM64" s="1216"/>
      <c r="AN64" s="1216"/>
      <c r="AO64" s="1216"/>
      <c r="AP64" s="1216"/>
      <c r="AQ64" s="1216"/>
      <c r="AR64" s="1216"/>
      <c r="AS64" s="1216"/>
      <c r="AT64" s="1216"/>
      <c r="AU64" s="1120" cm="1">
        <f t="array" ref="AU64">IF(H64="","",Slookup(MID(X64,1,3)*1,UomConversion!$D$8:$J$500,2,UomConversion!$I$8:$I$500,1,UomConversion!$J$8:$J$500,1))</f>
        <v>0</v>
      </c>
      <c r="AV64" s="401" t="str">
        <f t="shared" si="6"/>
        <v/>
      </c>
      <c r="AW64" s="757">
        <f t="shared" si="43"/>
        <v>2</v>
      </c>
      <c r="AX64" s="757" t="str">
        <f t="shared" si="43"/>
        <v/>
      </c>
      <c r="AY64" s="757" t="str">
        <f t="shared" si="43"/>
        <v/>
      </c>
      <c r="AZ64" s="1209" cm="1">
        <f t="array" ref="AZ64">IF(Y64="",1,Slookup(MID(X64,1,3)*1,UomConversion!$D$8:$J$500,5,UomConversion!$E$8:$E$500,MID(Y64,1,3)*1,UomConversion!$I$8:$I$500,1))</f>
        <v>1</v>
      </c>
      <c r="BA64" s="1209" cm="1">
        <f t="array" ref="BA64">IF(Z64="",1,Slookup(MID(X64,1,3)*1,UomConversion!$D$8:$J$500,5,UomConversion!$E$8:$E$500,MID(Z64,1,3)*1,UomConversion!$I$8:$I$500,1))</f>
        <v>1</v>
      </c>
      <c r="BB64" s="1217">
        <f t="shared" si="10"/>
        <v>0.5</v>
      </c>
      <c r="BC64" s="1217">
        <f t="shared" si="11"/>
        <v>0.15999999999999998</v>
      </c>
      <c r="BD64" s="1217"/>
    </row>
    <row r="65" spans="2:56" s="1120" customFormat="1" ht="24.95" customHeight="1">
      <c r="B65" s="445"/>
      <c r="C65" s="843">
        <v>46</v>
      </c>
      <c r="D65" s="843"/>
      <c r="E65" s="843"/>
      <c r="F65" s="1116" t="s">
        <v>2400</v>
      </c>
      <c r="G65" s="1117" t="s">
        <v>2400</v>
      </c>
      <c r="H65" s="868" t="s">
        <v>3022</v>
      </c>
      <c r="I65" s="1118" t="s">
        <v>3022</v>
      </c>
      <c r="J65" s="1138" t="s">
        <v>2954</v>
      </c>
      <c r="K65" s="1138" t="s">
        <v>2972</v>
      </c>
      <c r="L65" s="870" t="s">
        <v>2397</v>
      </c>
      <c r="M65" s="868" t="s">
        <v>2309</v>
      </c>
      <c r="N65" s="1118"/>
      <c r="O65" s="1119">
        <v>0.15</v>
      </c>
      <c r="P65" s="884">
        <v>0.38</v>
      </c>
      <c r="Q65" s="885"/>
      <c r="R65" s="843">
        <v>1</v>
      </c>
      <c r="S65" s="843">
        <v>0</v>
      </c>
      <c r="T65" s="843">
        <v>1</v>
      </c>
      <c r="U65" s="843">
        <v>0</v>
      </c>
      <c r="V65" s="843">
        <v>0</v>
      </c>
      <c r="W65" s="843">
        <v>1</v>
      </c>
      <c r="X65" s="870" t="s">
        <v>2939</v>
      </c>
      <c r="Y65" s="843" t="str">
        <f>IF(OR(ISNA(MATCH(MID(X65,1,3)*1,UomConversion!$D$8:$D$500,0)),H65=""),"",IF(AV65="","",AV65))</f>
        <v/>
      </c>
      <c r="Z65" s="843" t="str">
        <f>IF(AND(AU65&gt;0,COUNTIFS(UomConversion!$D$8:$D$500,MID(X65,1,3)*1,UomConversion!$J$8:$J$500,1)&gt;1),TEXT(AU65,"000")&amp;"."&amp;VLOOKUP(AU65,uom_list,5,FALSE),"")</f>
        <v/>
      </c>
      <c r="AA65" s="843">
        <f t="shared" si="4"/>
        <v>1</v>
      </c>
      <c r="AB65" s="843" t="str">
        <f t="shared" si="8"/>
        <v>2</v>
      </c>
      <c r="AC65" s="843">
        <f t="shared" ref="AC65" si="56">import_pro_number_of_price_type</f>
        <v>2</v>
      </c>
      <c r="AD65" s="1214">
        <v>0</v>
      </c>
      <c r="AE65" s="1214">
        <v>0.38</v>
      </c>
      <c r="AF65" s="1215"/>
      <c r="AG65" s="1215"/>
      <c r="AH65" s="1215"/>
      <c r="AI65" s="1215"/>
      <c r="AJ65" s="1216"/>
      <c r="AK65" s="1216"/>
      <c r="AL65" s="1216"/>
      <c r="AM65" s="1216"/>
      <c r="AN65" s="1216"/>
      <c r="AO65" s="1216"/>
      <c r="AP65" s="1216"/>
      <c r="AQ65" s="1216"/>
      <c r="AR65" s="1216"/>
      <c r="AS65" s="1216"/>
      <c r="AT65" s="1216"/>
      <c r="AU65" s="1120" cm="1">
        <f t="array" ref="AU65">IF(H65="","",Slookup(MID(X65,1,3)*1,UomConversion!$D$8:$J$500,2,UomConversion!$I$8:$I$500,1,UomConversion!$J$8:$J$500,1))</f>
        <v>0</v>
      </c>
      <c r="AV65" s="401" t="str">
        <f t="shared" si="6"/>
        <v/>
      </c>
      <c r="AW65" s="757">
        <f t="shared" si="43"/>
        <v>2</v>
      </c>
      <c r="AX65" s="757" t="str">
        <f t="shared" si="43"/>
        <v/>
      </c>
      <c r="AY65" s="757" t="str">
        <f t="shared" si="43"/>
        <v/>
      </c>
      <c r="AZ65" s="1209" cm="1">
        <f t="array" ref="AZ65">IF(Y65="",1,Slookup(MID(X65,1,3)*1,UomConversion!$D$8:$J$500,5,UomConversion!$E$8:$E$500,MID(Y65,1,3)*1,UomConversion!$I$8:$I$500,1))</f>
        <v>1</v>
      </c>
      <c r="BA65" s="1209" cm="1">
        <f t="array" ref="BA65">IF(Z65="",1,Slookup(MID(X65,1,3)*1,UomConversion!$D$8:$J$500,5,UomConversion!$E$8:$E$500,MID(Z65,1,3)*1,UomConversion!$I$8:$I$500,1))</f>
        <v>1</v>
      </c>
      <c r="BB65" s="1217">
        <f t="shared" si="10"/>
        <v>0.38</v>
      </c>
      <c r="BC65" s="1217">
        <f t="shared" si="11"/>
        <v>0.23</v>
      </c>
      <c r="BD65" s="1217"/>
    </row>
    <row r="66" spans="2:56" s="1120" customFormat="1" ht="24.95" customHeight="1">
      <c r="B66" s="445"/>
      <c r="C66" s="843">
        <v>47</v>
      </c>
      <c r="D66" s="843"/>
      <c r="E66" s="843"/>
      <c r="F66" s="1116" t="s">
        <v>2402</v>
      </c>
      <c r="G66" s="1117" t="s">
        <v>2402</v>
      </c>
      <c r="H66" s="868" t="s">
        <v>3023</v>
      </c>
      <c r="I66" s="1118" t="s">
        <v>3023</v>
      </c>
      <c r="J66" s="1138" t="s">
        <v>2954</v>
      </c>
      <c r="K66" s="1138" t="s">
        <v>2972</v>
      </c>
      <c r="L66" s="870" t="s">
        <v>2397</v>
      </c>
      <c r="M66" s="868" t="s">
        <v>2309</v>
      </c>
      <c r="N66" s="1118"/>
      <c r="O66" s="1119">
        <v>0.15</v>
      </c>
      <c r="P66" s="884">
        <v>38</v>
      </c>
      <c r="Q66" s="885"/>
      <c r="R66" s="843">
        <v>1</v>
      </c>
      <c r="S66" s="843">
        <v>0</v>
      </c>
      <c r="T66" s="843">
        <v>1</v>
      </c>
      <c r="U66" s="843">
        <v>0</v>
      </c>
      <c r="V66" s="843">
        <v>0</v>
      </c>
      <c r="W66" s="843">
        <v>1</v>
      </c>
      <c r="X66" s="870" t="s">
        <v>2939</v>
      </c>
      <c r="Y66" s="843" t="str">
        <f>IF(OR(ISNA(MATCH(MID(X66,1,3)*1,UomConversion!$D$8:$D$500,0)),H66=""),"",IF(AV66="","",AV66))</f>
        <v/>
      </c>
      <c r="Z66" s="843" t="str">
        <f>IF(AND(AU66&gt;0,COUNTIFS(UomConversion!$D$8:$D$500,MID(X66,1,3)*1,UomConversion!$J$8:$J$500,1)&gt;1),TEXT(AU66,"000")&amp;"."&amp;VLOOKUP(AU66,uom_list,5,FALSE),"")</f>
        <v/>
      </c>
      <c r="AA66" s="843">
        <f t="shared" si="4"/>
        <v>1</v>
      </c>
      <c r="AB66" s="843" t="str">
        <f t="shared" si="8"/>
        <v>2</v>
      </c>
      <c r="AC66" s="843">
        <f t="shared" ref="AC66" si="57">import_pro_number_of_price_type</f>
        <v>2</v>
      </c>
      <c r="AD66" s="1214">
        <v>0</v>
      </c>
      <c r="AE66" s="1214">
        <v>38</v>
      </c>
      <c r="AF66" s="1215"/>
      <c r="AG66" s="1215"/>
      <c r="AH66" s="1215"/>
      <c r="AI66" s="1215"/>
      <c r="AJ66" s="1216"/>
      <c r="AK66" s="1216"/>
      <c r="AL66" s="1216"/>
      <c r="AM66" s="1216"/>
      <c r="AN66" s="1216"/>
      <c r="AO66" s="1216"/>
      <c r="AP66" s="1216"/>
      <c r="AQ66" s="1216"/>
      <c r="AR66" s="1216"/>
      <c r="AS66" s="1216"/>
      <c r="AT66" s="1216"/>
      <c r="AU66" s="1120" cm="1">
        <f t="array" ref="AU66">IF(H66="","",Slookup(MID(X66,1,3)*1,UomConversion!$D$8:$J$500,2,UomConversion!$I$8:$I$500,1,UomConversion!$J$8:$J$500,1))</f>
        <v>0</v>
      </c>
      <c r="AV66" s="401" t="str">
        <f t="shared" si="6"/>
        <v/>
      </c>
      <c r="AW66" s="757">
        <f t="shared" si="43"/>
        <v>2</v>
      </c>
      <c r="AX66" s="757" t="str">
        <f t="shared" si="43"/>
        <v/>
      </c>
      <c r="AY66" s="757" t="str">
        <f t="shared" si="43"/>
        <v/>
      </c>
      <c r="AZ66" s="1209" cm="1">
        <f t="array" ref="AZ66">IF(Y66="",1,Slookup(MID(X66,1,3)*1,UomConversion!$D$8:$J$500,5,UomConversion!$E$8:$E$500,MID(Y66,1,3)*1,UomConversion!$I$8:$I$500,1))</f>
        <v>1</v>
      </c>
      <c r="BA66" s="1209" cm="1">
        <f t="array" ref="BA66">IF(Z66="",1,Slookup(MID(X66,1,3)*1,UomConversion!$D$8:$J$500,5,UomConversion!$E$8:$E$500,MID(Z66,1,3)*1,UomConversion!$I$8:$I$500,1))</f>
        <v>1</v>
      </c>
      <c r="BB66" s="1217">
        <f t="shared" si="10"/>
        <v>38</v>
      </c>
      <c r="BC66" s="1217">
        <f t="shared" si="11"/>
        <v>37.85</v>
      </c>
      <c r="BD66" s="1217"/>
    </row>
    <row r="67" spans="2:56" s="1120" customFormat="1" ht="24.95" customHeight="1">
      <c r="B67" s="445"/>
      <c r="C67" s="843">
        <v>48</v>
      </c>
      <c r="D67" s="843"/>
      <c r="E67" s="843"/>
      <c r="F67" s="1116" t="s">
        <v>2404</v>
      </c>
      <c r="G67" s="1117" t="s">
        <v>2404</v>
      </c>
      <c r="H67" s="868" t="s">
        <v>3024</v>
      </c>
      <c r="I67" s="1118" t="s">
        <v>3024</v>
      </c>
      <c r="J67" s="1138" t="s">
        <v>2954</v>
      </c>
      <c r="K67" s="1138" t="s">
        <v>2972</v>
      </c>
      <c r="L67" s="870" t="s">
        <v>2397</v>
      </c>
      <c r="M67" s="868" t="s">
        <v>2309</v>
      </c>
      <c r="N67" s="1118"/>
      <c r="O67" s="1119">
        <v>0.12</v>
      </c>
      <c r="P67" s="884">
        <v>0.25</v>
      </c>
      <c r="Q67" s="885"/>
      <c r="R67" s="843">
        <v>1</v>
      </c>
      <c r="S67" s="843">
        <v>0</v>
      </c>
      <c r="T67" s="843">
        <v>1</v>
      </c>
      <c r="U67" s="843">
        <v>0</v>
      </c>
      <c r="V67" s="843">
        <v>0</v>
      </c>
      <c r="W67" s="843">
        <v>1</v>
      </c>
      <c r="X67" s="870" t="s">
        <v>2939</v>
      </c>
      <c r="Y67" s="843" t="str">
        <f>IF(OR(ISNA(MATCH(MID(X67,1,3)*1,UomConversion!$D$8:$D$500,0)),H67=""),"",IF(AV67="","",AV67))</f>
        <v/>
      </c>
      <c r="Z67" s="843" t="str">
        <f>IF(AND(AU67&gt;0,COUNTIFS(UomConversion!$D$8:$D$500,MID(X67,1,3)*1,UomConversion!$J$8:$J$500,1)&gt;1),TEXT(AU67,"000")&amp;"."&amp;VLOOKUP(AU67,uom_list,5,FALSE),"")</f>
        <v/>
      </c>
      <c r="AA67" s="843">
        <f t="shared" si="4"/>
        <v>1</v>
      </c>
      <c r="AB67" s="843" t="str">
        <f t="shared" si="8"/>
        <v>2</v>
      </c>
      <c r="AC67" s="843">
        <f t="shared" ref="AC67" si="58">import_pro_number_of_price_type</f>
        <v>2</v>
      </c>
      <c r="AD67" s="1214">
        <v>0</v>
      </c>
      <c r="AE67" s="1214">
        <v>0.25</v>
      </c>
      <c r="AF67" s="1215"/>
      <c r="AG67" s="1215"/>
      <c r="AH67" s="1215"/>
      <c r="AI67" s="1215"/>
      <c r="AJ67" s="1216"/>
      <c r="AK67" s="1216"/>
      <c r="AL67" s="1216"/>
      <c r="AM67" s="1216"/>
      <c r="AN67" s="1216"/>
      <c r="AO67" s="1216"/>
      <c r="AP67" s="1216"/>
      <c r="AQ67" s="1216"/>
      <c r="AR67" s="1216"/>
      <c r="AS67" s="1216"/>
      <c r="AT67" s="1216"/>
      <c r="AU67" s="1120" cm="1">
        <f t="array" ref="AU67">IF(H67="","",Slookup(MID(X67,1,3)*1,UomConversion!$D$8:$J$500,2,UomConversion!$I$8:$I$500,1,UomConversion!$J$8:$J$500,1))</f>
        <v>0</v>
      </c>
      <c r="AV67" s="401" t="str">
        <f t="shared" si="6"/>
        <v/>
      </c>
      <c r="AW67" s="757">
        <f t="shared" si="43"/>
        <v>2</v>
      </c>
      <c r="AX67" s="757" t="str">
        <f t="shared" si="43"/>
        <v/>
      </c>
      <c r="AY67" s="757" t="str">
        <f t="shared" si="43"/>
        <v/>
      </c>
      <c r="AZ67" s="1209" cm="1">
        <f t="array" ref="AZ67">IF(Y67="",1,Slookup(MID(X67,1,3)*1,UomConversion!$D$8:$J$500,5,UomConversion!$E$8:$E$500,MID(Y67,1,3)*1,UomConversion!$I$8:$I$500,1))</f>
        <v>1</v>
      </c>
      <c r="BA67" s="1209" cm="1">
        <f t="array" ref="BA67">IF(Z67="",1,Slookup(MID(X67,1,3)*1,UomConversion!$D$8:$J$500,5,UomConversion!$E$8:$E$500,MID(Z67,1,3)*1,UomConversion!$I$8:$I$500,1))</f>
        <v>1</v>
      </c>
      <c r="BB67" s="1217">
        <f t="shared" si="10"/>
        <v>0.25</v>
      </c>
      <c r="BC67" s="1217">
        <f t="shared" si="11"/>
        <v>0.13</v>
      </c>
      <c r="BD67" s="1217"/>
    </row>
    <row r="68" spans="2:56" s="1120" customFormat="1" ht="24.95" customHeight="1">
      <c r="B68" s="445"/>
      <c r="C68" s="843">
        <v>49</v>
      </c>
      <c r="D68" s="843"/>
      <c r="E68" s="843"/>
      <c r="F68" s="1116" t="s">
        <v>2407</v>
      </c>
      <c r="G68" s="1117" t="s">
        <v>2407</v>
      </c>
      <c r="H68" s="868" t="s">
        <v>3025</v>
      </c>
      <c r="I68" s="1118" t="s">
        <v>3025</v>
      </c>
      <c r="J68" s="1138" t="s">
        <v>2954</v>
      </c>
      <c r="K68" s="1138" t="s">
        <v>2972</v>
      </c>
      <c r="L68" s="870" t="s">
        <v>2397</v>
      </c>
      <c r="M68" s="868" t="s">
        <v>2309</v>
      </c>
      <c r="N68" s="1118"/>
      <c r="O68" s="1119">
        <v>0.28000000000000003</v>
      </c>
      <c r="P68" s="884">
        <v>0.38</v>
      </c>
      <c r="Q68" s="885"/>
      <c r="R68" s="843">
        <v>1</v>
      </c>
      <c r="S68" s="843">
        <v>0</v>
      </c>
      <c r="T68" s="843">
        <v>1</v>
      </c>
      <c r="U68" s="843">
        <v>0</v>
      </c>
      <c r="V68" s="843">
        <v>0</v>
      </c>
      <c r="W68" s="843">
        <v>1</v>
      </c>
      <c r="X68" s="870" t="s">
        <v>2939</v>
      </c>
      <c r="Y68" s="843" t="str">
        <f>IF(OR(ISNA(MATCH(MID(X68,1,3)*1,UomConversion!$D$8:$D$500,0)),H68=""),"",IF(AV68="","",AV68))</f>
        <v/>
      </c>
      <c r="Z68" s="843" t="str">
        <f>IF(AND(AU68&gt;0,COUNTIFS(UomConversion!$D$8:$D$500,MID(X68,1,3)*1,UomConversion!$J$8:$J$500,1)&gt;1),TEXT(AU68,"000")&amp;"."&amp;VLOOKUP(AU68,uom_list,5,FALSE),"")</f>
        <v/>
      </c>
      <c r="AA68" s="843">
        <f t="shared" si="4"/>
        <v>1</v>
      </c>
      <c r="AB68" s="843" t="str">
        <f t="shared" si="8"/>
        <v>2</v>
      </c>
      <c r="AC68" s="843">
        <f t="shared" ref="AC68" si="59">import_pro_number_of_price_type</f>
        <v>2</v>
      </c>
      <c r="AD68" s="1214">
        <v>0</v>
      </c>
      <c r="AE68" s="1214">
        <v>0.38</v>
      </c>
      <c r="AF68" s="1215"/>
      <c r="AG68" s="1215"/>
      <c r="AH68" s="1215"/>
      <c r="AI68" s="1215"/>
      <c r="AJ68" s="1216"/>
      <c r="AK68" s="1216"/>
      <c r="AL68" s="1216"/>
      <c r="AM68" s="1216"/>
      <c r="AN68" s="1216"/>
      <c r="AO68" s="1216"/>
      <c r="AP68" s="1216"/>
      <c r="AQ68" s="1216"/>
      <c r="AR68" s="1216"/>
      <c r="AS68" s="1216"/>
      <c r="AT68" s="1216"/>
      <c r="AU68" s="1120" cm="1">
        <f t="array" ref="AU68">IF(H68="","",Slookup(MID(X68,1,3)*1,UomConversion!$D$8:$J$500,2,UomConversion!$I$8:$I$500,1,UomConversion!$J$8:$J$500,1))</f>
        <v>0</v>
      </c>
      <c r="AV68" s="401" t="str">
        <f t="shared" si="6"/>
        <v/>
      </c>
      <c r="AW68" s="757">
        <f t="shared" si="43"/>
        <v>2</v>
      </c>
      <c r="AX68" s="757" t="str">
        <f t="shared" si="43"/>
        <v/>
      </c>
      <c r="AY68" s="757" t="str">
        <f t="shared" si="43"/>
        <v/>
      </c>
      <c r="AZ68" s="1209" cm="1">
        <f t="array" ref="AZ68">IF(Y68="",1,Slookup(MID(X68,1,3)*1,UomConversion!$D$8:$J$500,5,UomConversion!$E$8:$E$500,MID(Y68,1,3)*1,UomConversion!$I$8:$I$500,1))</f>
        <v>1</v>
      </c>
      <c r="BA68" s="1209" cm="1">
        <f t="array" ref="BA68">IF(Z68="",1,Slookup(MID(X68,1,3)*1,UomConversion!$D$8:$J$500,5,UomConversion!$E$8:$E$500,MID(Z68,1,3)*1,UomConversion!$I$8:$I$500,1))</f>
        <v>1</v>
      </c>
      <c r="BB68" s="1217">
        <f t="shared" si="10"/>
        <v>0.38</v>
      </c>
      <c r="BC68" s="1217">
        <f t="shared" si="11"/>
        <v>9.9999999999999978E-2</v>
      </c>
      <c r="BD68" s="1217"/>
    </row>
    <row r="69" spans="2:56" s="1120" customFormat="1" ht="24.95" customHeight="1">
      <c r="B69" s="445"/>
      <c r="C69" s="843">
        <v>50</v>
      </c>
      <c r="D69" s="843"/>
      <c r="E69" s="843"/>
      <c r="F69" s="1116" t="s">
        <v>2410</v>
      </c>
      <c r="G69" s="1117" t="s">
        <v>2410</v>
      </c>
      <c r="H69" s="868" t="s">
        <v>3026</v>
      </c>
      <c r="I69" s="1118" t="s">
        <v>3026</v>
      </c>
      <c r="J69" s="1138" t="s">
        <v>2954</v>
      </c>
      <c r="K69" s="1138" t="s">
        <v>2972</v>
      </c>
      <c r="L69" s="870" t="s">
        <v>2406</v>
      </c>
      <c r="M69" s="868" t="s">
        <v>2309</v>
      </c>
      <c r="N69" s="1118"/>
      <c r="O69" s="1119">
        <v>0.123</v>
      </c>
      <c r="P69" s="884">
        <v>0.25</v>
      </c>
      <c r="Q69" s="885"/>
      <c r="R69" s="843">
        <v>1</v>
      </c>
      <c r="S69" s="843">
        <v>0</v>
      </c>
      <c r="T69" s="843">
        <v>1</v>
      </c>
      <c r="U69" s="843">
        <v>0</v>
      </c>
      <c r="V69" s="843">
        <v>0</v>
      </c>
      <c r="W69" s="843">
        <v>1</v>
      </c>
      <c r="X69" s="870" t="s">
        <v>2939</v>
      </c>
      <c r="Y69" s="843" t="str">
        <f>IF(OR(ISNA(MATCH(MID(X69,1,3)*1,UomConversion!$D$8:$D$500,0)),H69=""),"",IF(AV69="","",AV69))</f>
        <v/>
      </c>
      <c r="Z69" s="843" t="str">
        <f>IF(AND(AU69&gt;0,COUNTIFS(UomConversion!$D$8:$D$500,MID(X69,1,3)*1,UomConversion!$J$8:$J$500,1)&gt;1),TEXT(AU69,"000")&amp;"."&amp;VLOOKUP(AU69,uom_list,5,FALSE),"")</f>
        <v/>
      </c>
      <c r="AA69" s="843">
        <f t="shared" si="4"/>
        <v>1</v>
      </c>
      <c r="AB69" s="843" t="str">
        <f t="shared" si="8"/>
        <v>2</v>
      </c>
      <c r="AC69" s="843">
        <f t="shared" ref="AC69" si="60">import_pro_number_of_price_type</f>
        <v>2</v>
      </c>
      <c r="AD69" s="1214">
        <v>0</v>
      </c>
      <c r="AE69" s="1214">
        <v>0.25</v>
      </c>
      <c r="AF69" s="1215"/>
      <c r="AG69" s="1215"/>
      <c r="AH69" s="1215"/>
      <c r="AI69" s="1215"/>
      <c r="AJ69" s="1216"/>
      <c r="AK69" s="1216"/>
      <c r="AL69" s="1216"/>
      <c r="AM69" s="1216"/>
      <c r="AN69" s="1216"/>
      <c r="AO69" s="1216"/>
      <c r="AP69" s="1216"/>
      <c r="AQ69" s="1216"/>
      <c r="AR69" s="1216"/>
      <c r="AS69" s="1216"/>
      <c r="AT69" s="1216"/>
      <c r="AU69" s="1120" cm="1">
        <f t="array" ref="AU69">IF(H69="","",Slookup(MID(X69,1,3)*1,UomConversion!$D$8:$J$500,2,UomConversion!$I$8:$I$500,1,UomConversion!$J$8:$J$500,1))</f>
        <v>0</v>
      </c>
      <c r="AV69" s="401" t="str">
        <f t="shared" si="6"/>
        <v/>
      </c>
      <c r="AW69" s="757">
        <f t="shared" si="43"/>
        <v>2</v>
      </c>
      <c r="AX69" s="757" t="str">
        <f t="shared" si="43"/>
        <v/>
      </c>
      <c r="AY69" s="757" t="str">
        <f t="shared" si="43"/>
        <v/>
      </c>
      <c r="AZ69" s="1209" cm="1">
        <f t="array" ref="AZ69">IF(Y69="",1,Slookup(MID(X69,1,3)*1,UomConversion!$D$8:$J$500,5,UomConversion!$E$8:$E$500,MID(Y69,1,3)*1,UomConversion!$I$8:$I$500,1))</f>
        <v>1</v>
      </c>
      <c r="BA69" s="1209" cm="1">
        <f t="array" ref="BA69">IF(Z69="",1,Slookup(MID(X69,1,3)*1,UomConversion!$D$8:$J$500,5,UomConversion!$E$8:$E$500,MID(Z69,1,3)*1,UomConversion!$I$8:$I$500,1))</f>
        <v>1</v>
      </c>
      <c r="BB69" s="1217">
        <f t="shared" si="10"/>
        <v>0.25</v>
      </c>
      <c r="BC69" s="1217">
        <f t="shared" si="11"/>
        <v>0.127</v>
      </c>
      <c r="BD69" s="1217"/>
    </row>
    <row r="70" spans="2:56" s="1120" customFormat="1" ht="24.95" customHeight="1">
      <c r="B70" s="445"/>
      <c r="C70" s="843">
        <v>51</v>
      </c>
      <c r="D70" s="843"/>
      <c r="E70" s="843"/>
      <c r="F70" s="1116" t="s">
        <v>2413</v>
      </c>
      <c r="G70" s="1117" t="s">
        <v>2413</v>
      </c>
      <c r="H70" s="868" t="s">
        <v>3027</v>
      </c>
      <c r="I70" s="1118" t="s">
        <v>3027</v>
      </c>
      <c r="J70" s="1138" t="s">
        <v>2954</v>
      </c>
      <c r="K70" s="1138" t="s">
        <v>2972</v>
      </c>
      <c r="L70" s="870" t="s">
        <v>2409</v>
      </c>
      <c r="M70" s="868" t="s">
        <v>2309</v>
      </c>
      <c r="N70" s="1118"/>
      <c r="O70" s="1119">
        <v>4.4859999999999998</v>
      </c>
      <c r="P70" s="884">
        <v>5</v>
      </c>
      <c r="Q70" s="885"/>
      <c r="R70" s="843">
        <v>1</v>
      </c>
      <c r="S70" s="843">
        <v>0</v>
      </c>
      <c r="T70" s="843">
        <v>1</v>
      </c>
      <c r="U70" s="843">
        <v>0</v>
      </c>
      <c r="V70" s="843">
        <v>0</v>
      </c>
      <c r="W70" s="843">
        <v>1</v>
      </c>
      <c r="X70" s="870" t="s">
        <v>2939</v>
      </c>
      <c r="Y70" s="843" t="str">
        <f>IF(OR(ISNA(MATCH(MID(X70,1,3)*1,UomConversion!$D$8:$D$500,0)),H70=""),"",IF(AV70="","",AV70))</f>
        <v/>
      </c>
      <c r="Z70" s="843" t="str">
        <f>IF(AND(AU70&gt;0,COUNTIFS(UomConversion!$D$8:$D$500,MID(X70,1,3)*1,UomConversion!$J$8:$J$500,1)&gt;1),TEXT(AU70,"000")&amp;"."&amp;VLOOKUP(AU70,uom_list,5,FALSE),"")</f>
        <v/>
      </c>
      <c r="AA70" s="843">
        <f t="shared" si="4"/>
        <v>1</v>
      </c>
      <c r="AB70" s="843" t="str">
        <f t="shared" si="8"/>
        <v>2</v>
      </c>
      <c r="AC70" s="843">
        <f t="shared" ref="AC70" si="61">import_pro_number_of_price_type</f>
        <v>2</v>
      </c>
      <c r="AD70" s="1214">
        <v>0</v>
      </c>
      <c r="AE70" s="1214">
        <v>5</v>
      </c>
      <c r="AF70" s="1215"/>
      <c r="AG70" s="1215"/>
      <c r="AH70" s="1215"/>
      <c r="AI70" s="1215"/>
      <c r="AJ70" s="1216"/>
      <c r="AK70" s="1216"/>
      <c r="AL70" s="1216"/>
      <c r="AM70" s="1216"/>
      <c r="AN70" s="1216"/>
      <c r="AO70" s="1216"/>
      <c r="AP70" s="1216"/>
      <c r="AQ70" s="1216"/>
      <c r="AR70" s="1216"/>
      <c r="AS70" s="1216"/>
      <c r="AT70" s="1216"/>
      <c r="AU70" s="1120" cm="1">
        <f t="array" ref="AU70">IF(H70="","",Slookup(MID(X70,1,3)*1,UomConversion!$D$8:$J$500,2,UomConversion!$I$8:$I$500,1,UomConversion!$J$8:$J$500,1))</f>
        <v>0</v>
      </c>
      <c r="AV70" s="401" t="str">
        <f t="shared" si="6"/>
        <v/>
      </c>
      <c r="AW70" s="757">
        <f t="shared" si="43"/>
        <v>2</v>
      </c>
      <c r="AX70" s="757" t="str">
        <f t="shared" si="43"/>
        <v/>
      </c>
      <c r="AY70" s="757" t="str">
        <f t="shared" si="43"/>
        <v/>
      </c>
      <c r="AZ70" s="1209" cm="1">
        <f t="array" ref="AZ70">IF(Y70="",1,Slookup(MID(X70,1,3)*1,UomConversion!$D$8:$J$500,5,UomConversion!$E$8:$E$500,MID(Y70,1,3)*1,UomConversion!$I$8:$I$500,1))</f>
        <v>1</v>
      </c>
      <c r="BA70" s="1209" cm="1">
        <f t="array" ref="BA70">IF(Z70="",1,Slookup(MID(X70,1,3)*1,UomConversion!$D$8:$J$500,5,UomConversion!$E$8:$E$500,MID(Z70,1,3)*1,UomConversion!$I$8:$I$500,1))</f>
        <v>1</v>
      </c>
      <c r="BB70" s="1217">
        <f t="shared" si="10"/>
        <v>5</v>
      </c>
      <c r="BC70" s="1217">
        <f t="shared" si="11"/>
        <v>0.51400000000000023</v>
      </c>
      <c r="BD70" s="1217"/>
    </row>
    <row r="71" spans="2:56" s="1120" customFormat="1" ht="24.95" customHeight="1">
      <c r="B71" s="445"/>
      <c r="C71" s="843">
        <v>52</v>
      </c>
      <c r="D71" s="843"/>
      <c r="E71" s="843"/>
      <c r="F71" s="1116" t="s">
        <v>2416</v>
      </c>
      <c r="G71" s="1117" t="s">
        <v>2416</v>
      </c>
      <c r="H71" s="868" t="s">
        <v>3028</v>
      </c>
      <c r="I71" s="1118" t="s">
        <v>3028</v>
      </c>
      <c r="J71" s="1138" t="s">
        <v>2954</v>
      </c>
      <c r="K71" s="1138" t="s">
        <v>2972</v>
      </c>
      <c r="L71" s="870" t="s">
        <v>2412</v>
      </c>
      <c r="M71" s="868" t="s">
        <v>2309</v>
      </c>
      <c r="N71" s="1118"/>
      <c r="O71" s="1119">
        <v>1.91</v>
      </c>
      <c r="P71" s="884">
        <v>2.5</v>
      </c>
      <c r="Q71" s="885"/>
      <c r="R71" s="843">
        <v>1</v>
      </c>
      <c r="S71" s="843">
        <v>0</v>
      </c>
      <c r="T71" s="843">
        <v>1</v>
      </c>
      <c r="U71" s="843">
        <v>0</v>
      </c>
      <c r="V71" s="843">
        <v>0</v>
      </c>
      <c r="W71" s="843">
        <v>1</v>
      </c>
      <c r="X71" s="870" t="s">
        <v>2939</v>
      </c>
      <c r="Y71" s="843" t="str">
        <f>IF(OR(ISNA(MATCH(MID(X71,1,3)*1,UomConversion!$D$8:$D$500,0)),H71=""),"",IF(AV71="","",AV71))</f>
        <v/>
      </c>
      <c r="Z71" s="843" t="str">
        <f>IF(AND(AU71&gt;0,COUNTIFS(UomConversion!$D$8:$D$500,MID(X71,1,3)*1,UomConversion!$J$8:$J$500,1)&gt;1),TEXT(AU71,"000")&amp;"."&amp;VLOOKUP(AU71,uom_list,5,FALSE),"")</f>
        <v/>
      </c>
      <c r="AA71" s="843">
        <f t="shared" si="4"/>
        <v>1</v>
      </c>
      <c r="AB71" s="843" t="str">
        <f t="shared" si="8"/>
        <v>2</v>
      </c>
      <c r="AC71" s="843">
        <f t="shared" ref="AC71" si="62">import_pro_number_of_price_type</f>
        <v>2</v>
      </c>
      <c r="AD71" s="1214">
        <v>0</v>
      </c>
      <c r="AE71" s="1214">
        <v>2.5</v>
      </c>
      <c r="AF71" s="1215"/>
      <c r="AG71" s="1215"/>
      <c r="AH71" s="1215"/>
      <c r="AI71" s="1215"/>
      <c r="AJ71" s="1216"/>
      <c r="AK71" s="1216"/>
      <c r="AL71" s="1216"/>
      <c r="AM71" s="1216"/>
      <c r="AN71" s="1216"/>
      <c r="AO71" s="1216"/>
      <c r="AP71" s="1216"/>
      <c r="AQ71" s="1216"/>
      <c r="AR71" s="1216"/>
      <c r="AS71" s="1216"/>
      <c r="AT71" s="1216"/>
      <c r="AU71" s="1120" cm="1">
        <f t="array" ref="AU71">IF(H71="","",Slookup(MID(X71,1,3)*1,UomConversion!$D$8:$J$500,2,UomConversion!$I$8:$I$500,1,UomConversion!$J$8:$J$500,1))</f>
        <v>0</v>
      </c>
      <c r="AV71" s="401" t="str">
        <f t="shared" si="6"/>
        <v/>
      </c>
      <c r="AW71" s="757">
        <f t="shared" si="43"/>
        <v>2</v>
      </c>
      <c r="AX71" s="757" t="str">
        <f t="shared" si="43"/>
        <v/>
      </c>
      <c r="AY71" s="757" t="str">
        <f t="shared" si="43"/>
        <v/>
      </c>
      <c r="AZ71" s="1209" cm="1">
        <f t="array" ref="AZ71">IF(Y71="",1,Slookup(MID(X71,1,3)*1,UomConversion!$D$8:$J$500,5,UomConversion!$E$8:$E$500,MID(Y71,1,3)*1,UomConversion!$I$8:$I$500,1))</f>
        <v>1</v>
      </c>
      <c r="BA71" s="1209" cm="1">
        <f t="array" ref="BA71">IF(Z71="",1,Slookup(MID(X71,1,3)*1,UomConversion!$D$8:$J$500,5,UomConversion!$E$8:$E$500,MID(Z71,1,3)*1,UomConversion!$I$8:$I$500,1))</f>
        <v>1</v>
      </c>
      <c r="BB71" s="1217">
        <f t="shared" si="10"/>
        <v>2.5</v>
      </c>
      <c r="BC71" s="1217">
        <f t="shared" si="11"/>
        <v>0.59000000000000008</v>
      </c>
      <c r="BD71" s="1217"/>
    </row>
    <row r="72" spans="2:56" s="1120" customFormat="1" ht="24.95" customHeight="1">
      <c r="B72" s="445"/>
      <c r="C72" s="843">
        <v>53</v>
      </c>
      <c r="D72" s="843"/>
      <c r="E72" s="843"/>
      <c r="F72" s="1116" t="s">
        <v>2419</v>
      </c>
      <c r="G72" s="1117" t="s">
        <v>2419</v>
      </c>
      <c r="H72" s="868" t="s">
        <v>3029</v>
      </c>
      <c r="I72" s="1118" t="s">
        <v>3029</v>
      </c>
      <c r="J72" s="1138" t="s">
        <v>2954</v>
      </c>
      <c r="K72" s="1138" t="s">
        <v>2972</v>
      </c>
      <c r="L72" s="870" t="s">
        <v>2415</v>
      </c>
      <c r="M72" s="868" t="s">
        <v>2309</v>
      </c>
      <c r="N72" s="1118"/>
      <c r="O72" s="1119">
        <v>0.95099999999999996</v>
      </c>
      <c r="P72" s="884">
        <v>1.5</v>
      </c>
      <c r="Q72" s="885"/>
      <c r="R72" s="843">
        <v>1</v>
      </c>
      <c r="S72" s="843">
        <v>0</v>
      </c>
      <c r="T72" s="843">
        <v>1</v>
      </c>
      <c r="U72" s="843">
        <v>0</v>
      </c>
      <c r="V72" s="843">
        <v>0</v>
      </c>
      <c r="W72" s="843">
        <v>1</v>
      </c>
      <c r="X72" s="870" t="s">
        <v>2939</v>
      </c>
      <c r="Y72" s="843" t="str">
        <f>IF(OR(ISNA(MATCH(MID(X72,1,3)*1,UomConversion!$D$8:$D$500,0)),H72=""),"",IF(AV72="","",AV72))</f>
        <v/>
      </c>
      <c r="Z72" s="843" t="str">
        <f>IF(AND(AU72&gt;0,COUNTIFS(UomConversion!$D$8:$D$500,MID(X72,1,3)*1,UomConversion!$J$8:$J$500,1)&gt;1),TEXT(AU72,"000")&amp;"."&amp;VLOOKUP(AU72,uom_list,5,FALSE),"")</f>
        <v/>
      </c>
      <c r="AA72" s="843">
        <f t="shared" si="4"/>
        <v>1</v>
      </c>
      <c r="AB72" s="843" t="str">
        <f t="shared" si="8"/>
        <v>2</v>
      </c>
      <c r="AC72" s="843">
        <f t="shared" ref="AC72" si="63">import_pro_number_of_price_type</f>
        <v>2</v>
      </c>
      <c r="AD72" s="1214">
        <v>0</v>
      </c>
      <c r="AE72" s="1214">
        <v>1.5</v>
      </c>
      <c r="AF72" s="1215"/>
      <c r="AG72" s="1215"/>
      <c r="AH72" s="1215"/>
      <c r="AI72" s="1215"/>
      <c r="AJ72" s="1216"/>
      <c r="AK72" s="1216"/>
      <c r="AL72" s="1216"/>
      <c r="AM72" s="1216"/>
      <c r="AN72" s="1216"/>
      <c r="AO72" s="1216"/>
      <c r="AP72" s="1216"/>
      <c r="AQ72" s="1216"/>
      <c r="AR72" s="1216"/>
      <c r="AS72" s="1216"/>
      <c r="AT72" s="1216"/>
      <c r="AU72" s="1120" cm="1">
        <f t="array" ref="AU72">IF(H72="","",Slookup(MID(X72,1,3)*1,UomConversion!$D$8:$J$500,2,UomConversion!$I$8:$I$500,1,UomConversion!$J$8:$J$500,1))</f>
        <v>0</v>
      </c>
      <c r="AV72" s="401" t="str">
        <f t="shared" si="6"/>
        <v/>
      </c>
      <c r="AW72" s="757">
        <f t="shared" si="43"/>
        <v>2</v>
      </c>
      <c r="AX72" s="757" t="str">
        <f t="shared" si="43"/>
        <v/>
      </c>
      <c r="AY72" s="757" t="str">
        <f t="shared" si="43"/>
        <v/>
      </c>
      <c r="AZ72" s="1209" cm="1">
        <f t="array" ref="AZ72">IF(Y72="",1,Slookup(MID(X72,1,3)*1,UomConversion!$D$8:$J$500,5,UomConversion!$E$8:$E$500,MID(Y72,1,3)*1,UomConversion!$I$8:$I$500,1))</f>
        <v>1</v>
      </c>
      <c r="BA72" s="1209" cm="1">
        <f t="array" ref="BA72">IF(Z72="",1,Slookup(MID(X72,1,3)*1,UomConversion!$D$8:$J$500,5,UomConversion!$E$8:$E$500,MID(Z72,1,3)*1,UomConversion!$I$8:$I$500,1))</f>
        <v>1</v>
      </c>
      <c r="BB72" s="1217">
        <f t="shared" si="10"/>
        <v>1.5</v>
      </c>
      <c r="BC72" s="1217">
        <f t="shared" si="11"/>
        <v>0.54900000000000004</v>
      </c>
      <c r="BD72" s="1217"/>
    </row>
    <row r="73" spans="2:56" s="1120" customFormat="1" ht="24.95" customHeight="1">
      <c r="B73" s="445"/>
      <c r="C73" s="843">
        <v>54</v>
      </c>
      <c r="D73" s="843"/>
      <c r="E73" s="843"/>
      <c r="F73" s="1116" t="s">
        <v>2421</v>
      </c>
      <c r="G73" s="1117" t="s">
        <v>2421</v>
      </c>
      <c r="H73" s="868" t="s">
        <v>3030</v>
      </c>
      <c r="I73" s="1118" t="s">
        <v>3030</v>
      </c>
      <c r="J73" s="1138" t="s">
        <v>2954</v>
      </c>
      <c r="K73" s="1138" t="s">
        <v>2972</v>
      </c>
      <c r="L73" s="870" t="s">
        <v>2418</v>
      </c>
      <c r="M73" s="868" t="s">
        <v>2309</v>
      </c>
      <c r="N73" s="1118"/>
      <c r="O73" s="1119">
        <v>2.1240000000000001</v>
      </c>
      <c r="P73" s="884">
        <v>2.5</v>
      </c>
      <c r="Q73" s="885"/>
      <c r="R73" s="843">
        <v>1</v>
      </c>
      <c r="S73" s="843">
        <v>0</v>
      </c>
      <c r="T73" s="843">
        <v>1</v>
      </c>
      <c r="U73" s="843">
        <v>0</v>
      </c>
      <c r="V73" s="843">
        <v>0</v>
      </c>
      <c r="W73" s="843">
        <v>1</v>
      </c>
      <c r="X73" s="870" t="s">
        <v>2939</v>
      </c>
      <c r="Y73" s="843" t="str">
        <f>IF(OR(ISNA(MATCH(MID(X73,1,3)*1,UomConversion!$D$8:$D$500,0)),H73=""),"",IF(AV73="","",AV73))</f>
        <v/>
      </c>
      <c r="Z73" s="843" t="str">
        <f>IF(AND(AU73&gt;0,COUNTIFS(UomConversion!$D$8:$D$500,MID(X73,1,3)*1,UomConversion!$J$8:$J$500,1)&gt;1),TEXT(AU73,"000")&amp;"."&amp;VLOOKUP(AU73,uom_list,5,FALSE),"")</f>
        <v/>
      </c>
      <c r="AA73" s="843">
        <f t="shared" si="4"/>
        <v>1</v>
      </c>
      <c r="AB73" s="843" t="str">
        <f t="shared" si="8"/>
        <v>2</v>
      </c>
      <c r="AC73" s="843">
        <f t="shared" ref="AC73" si="64">import_pro_number_of_price_type</f>
        <v>2</v>
      </c>
      <c r="AD73" s="1214">
        <v>0</v>
      </c>
      <c r="AE73" s="1214">
        <v>2.5</v>
      </c>
      <c r="AF73" s="1215"/>
      <c r="AG73" s="1215"/>
      <c r="AH73" s="1215"/>
      <c r="AI73" s="1215"/>
      <c r="AJ73" s="1216"/>
      <c r="AK73" s="1216"/>
      <c r="AL73" s="1216"/>
      <c r="AM73" s="1216"/>
      <c r="AN73" s="1216"/>
      <c r="AO73" s="1216"/>
      <c r="AP73" s="1216"/>
      <c r="AQ73" s="1216"/>
      <c r="AR73" s="1216"/>
      <c r="AS73" s="1216"/>
      <c r="AT73" s="1216"/>
      <c r="AU73" s="1120" cm="1">
        <f t="array" ref="AU73">IF(H73="","",Slookup(MID(X73,1,3)*1,UomConversion!$D$8:$J$500,2,UomConversion!$I$8:$I$500,1,UomConversion!$J$8:$J$500,1))</f>
        <v>0</v>
      </c>
      <c r="AV73" s="401" t="str">
        <f t="shared" si="6"/>
        <v/>
      </c>
      <c r="AW73" s="757">
        <f t="shared" si="43"/>
        <v>2</v>
      </c>
      <c r="AX73" s="757" t="str">
        <f t="shared" si="43"/>
        <v/>
      </c>
      <c r="AY73" s="757" t="str">
        <f t="shared" si="43"/>
        <v/>
      </c>
      <c r="AZ73" s="1209" cm="1">
        <f t="array" ref="AZ73">IF(Y73="",1,Slookup(MID(X73,1,3)*1,UomConversion!$D$8:$J$500,5,UomConversion!$E$8:$E$500,MID(Y73,1,3)*1,UomConversion!$I$8:$I$500,1))</f>
        <v>1</v>
      </c>
      <c r="BA73" s="1209" cm="1">
        <f t="array" ref="BA73">IF(Z73="",1,Slookup(MID(X73,1,3)*1,UomConversion!$D$8:$J$500,5,UomConversion!$E$8:$E$500,MID(Z73,1,3)*1,UomConversion!$I$8:$I$500,1))</f>
        <v>1</v>
      </c>
      <c r="BB73" s="1217">
        <f t="shared" si="10"/>
        <v>2.5</v>
      </c>
      <c r="BC73" s="1217">
        <f t="shared" si="11"/>
        <v>0.37599999999999989</v>
      </c>
      <c r="BD73" s="1217"/>
    </row>
    <row r="74" spans="2:56" s="1120" customFormat="1" ht="24.95" customHeight="1">
      <c r="B74" s="445"/>
      <c r="C74" s="843">
        <v>55</v>
      </c>
      <c r="D74" s="843"/>
      <c r="E74" s="843"/>
      <c r="F74" s="1116" t="s">
        <v>2423</v>
      </c>
      <c r="G74" s="1117" t="s">
        <v>2423</v>
      </c>
      <c r="H74" s="868" t="s">
        <v>3031</v>
      </c>
      <c r="I74" s="1118" t="s">
        <v>3031</v>
      </c>
      <c r="J74" s="1138" t="s">
        <v>2954</v>
      </c>
      <c r="K74" s="1138" t="s">
        <v>2972</v>
      </c>
      <c r="L74" s="870" t="s">
        <v>2412</v>
      </c>
      <c r="M74" s="868" t="s">
        <v>2309</v>
      </c>
      <c r="N74" s="1118"/>
      <c r="O74" s="1119">
        <v>1.077</v>
      </c>
      <c r="P74" s="884">
        <v>1.5</v>
      </c>
      <c r="Q74" s="885"/>
      <c r="R74" s="843">
        <v>1</v>
      </c>
      <c r="S74" s="843">
        <v>0</v>
      </c>
      <c r="T74" s="843">
        <v>1</v>
      </c>
      <c r="U74" s="843">
        <v>0</v>
      </c>
      <c r="V74" s="843">
        <v>0</v>
      </c>
      <c r="W74" s="843">
        <v>1</v>
      </c>
      <c r="X74" s="870" t="s">
        <v>2939</v>
      </c>
      <c r="Y74" s="843" t="str">
        <f>IF(OR(ISNA(MATCH(MID(X74,1,3)*1,UomConversion!$D$8:$D$500,0)),H74=""),"",IF(AV74="","",AV74))</f>
        <v/>
      </c>
      <c r="Z74" s="843" t="str">
        <f>IF(AND(AU74&gt;0,COUNTIFS(UomConversion!$D$8:$D$500,MID(X74,1,3)*1,UomConversion!$J$8:$J$500,1)&gt;1),TEXT(AU74,"000")&amp;"."&amp;VLOOKUP(AU74,uom_list,5,FALSE),"")</f>
        <v/>
      </c>
      <c r="AA74" s="843">
        <f t="shared" si="4"/>
        <v>1</v>
      </c>
      <c r="AB74" s="843" t="str">
        <f t="shared" si="8"/>
        <v>2</v>
      </c>
      <c r="AC74" s="843">
        <f t="shared" ref="AC74" si="65">import_pro_number_of_price_type</f>
        <v>2</v>
      </c>
      <c r="AD74" s="1214">
        <v>0</v>
      </c>
      <c r="AE74" s="1214">
        <v>1.5</v>
      </c>
      <c r="AF74" s="1215"/>
      <c r="AG74" s="1215"/>
      <c r="AH74" s="1215"/>
      <c r="AI74" s="1215"/>
      <c r="AJ74" s="1216"/>
      <c r="AK74" s="1216"/>
      <c r="AL74" s="1216"/>
      <c r="AM74" s="1216"/>
      <c r="AN74" s="1216"/>
      <c r="AO74" s="1216"/>
      <c r="AP74" s="1216"/>
      <c r="AQ74" s="1216"/>
      <c r="AR74" s="1216"/>
      <c r="AS74" s="1216"/>
      <c r="AT74" s="1216"/>
      <c r="AU74" s="1120" cm="1">
        <f t="array" ref="AU74">IF(H74="","",Slookup(MID(X74,1,3)*1,UomConversion!$D$8:$J$500,2,UomConversion!$I$8:$I$500,1,UomConversion!$J$8:$J$500,1))</f>
        <v>0</v>
      </c>
      <c r="AV74" s="401" t="str">
        <f t="shared" si="6"/>
        <v/>
      </c>
      <c r="AW74" s="757">
        <f t="shared" si="43"/>
        <v>2</v>
      </c>
      <c r="AX74" s="757" t="str">
        <f t="shared" si="43"/>
        <v/>
      </c>
      <c r="AY74" s="757" t="str">
        <f t="shared" si="43"/>
        <v/>
      </c>
      <c r="AZ74" s="1209" cm="1">
        <f t="array" ref="AZ74">IF(Y74="",1,Slookup(MID(X74,1,3)*1,UomConversion!$D$8:$J$500,5,UomConversion!$E$8:$E$500,MID(Y74,1,3)*1,UomConversion!$I$8:$I$500,1))</f>
        <v>1</v>
      </c>
      <c r="BA74" s="1209" cm="1">
        <f t="array" ref="BA74">IF(Z74="",1,Slookup(MID(X74,1,3)*1,UomConversion!$D$8:$J$500,5,UomConversion!$E$8:$E$500,MID(Z74,1,3)*1,UomConversion!$I$8:$I$500,1))</f>
        <v>1</v>
      </c>
      <c r="BB74" s="1217">
        <f t="shared" si="10"/>
        <v>1.5</v>
      </c>
      <c r="BC74" s="1217">
        <f t="shared" si="11"/>
        <v>0.42300000000000004</v>
      </c>
      <c r="BD74" s="1217"/>
    </row>
    <row r="75" spans="2:56" s="1120" customFormat="1" ht="24.95" customHeight="1">
      <c r="B75" s="445"/>
      <c r="C75" s="843">
        <v>56</v>
      </c>
      <c r="D75" s="843"/>
      <c r="E75" s="843"/>
      <c r="F75" s="1116" t="s">
        <v>2425</v>
      </c>
      <c r="G75" s="1117" t="s">
        <v>2425</v>
      </c>
      <c r="H75" s="868" t="s">
        <v>3032</v>
      </c>
      <c r="I75" s="1118" t="s">
        <v>3032</v>
      </c>
      <c r="J75" s="1138" t="s">
        <v>2954</v>
      </c>
      <c r="K75" s="1138" t="s">
        <v>2972</v>
      </c>
      <c r="L75" s="870" t="s">
        <v>2415</v>
      </c>
      <c r="M75" s="868" t="s">
        <v>2309</v>
      </c>
      <c r="N75" s="1118"/>
      <c r="O75" s="1119">
        <v>0.55000000000000004</v>
      </c>
      <c r="P75" s="884">
        <v>0.75</v>
      </c>
      <c r="Q75" s="885"/>
      <c r="R75" s="843">
        <v>1</v>
      </c>
      <c r="S75" s="843">
        <v>0</v>
      </c>
      <c r="T75" s="843">
        <v>1</v>
      </c>
      <c r="U75" s="843">
        <v>0</v>
      </c>
      <c r="V75" s="843">
        <v>0</v>
      </c>
      <c r="W75" s="843">
        <v>1</v>
      </c>
      <c r="X75" s="870" t="s">
        <v>2939</v>
      </c>
      <c r="Y75" s="843" t="str">
        <f>IF(OR(ISNA(MATCH(MID(X75,1,3)*1,UomConversion!$D$8:$D$500,0)),H75=""),"",IF(AV75="","",AV75))</f>
        <v/>
      </c>
      <c r="Z75" s="843" t="str">
        <f>IF(AND(AU75&gt;0,COUNTIFS(UomConversion!$D$8:$D$500,MID(X75,1,3)*1,UomConversion!$J$8:$J$500,1)&gt;1),TEXT(AU75,"000")&amp;"."&amp;VLOOKUP(AU75,uom_list,5,FALSE),"")</f>
        <v/>
      </c>
      <c r="AA75" s="843">
        <f t="shared" si="4"/>
        <v>1</v>
      </c>
      <c r="AB75" s="843" t="str">
        <f t="shared" si="8"/>
        <v>2</v>
      </c>
      <c r="AC75" s="843">
        <f t="shared" ref="AC75" si="66">import_pro_number_of_price_type</f>
        <v>2</v>
      </c>
      <c r="AD75" s="1214">
        <v>0</v>
      </c>
      <c r="AE75" s="1214">
        <v>0.75</v>
      </c>
      <c r="AF75" s="1215"/>
      <c r="AG75" s="1215"/>
      <c r="AH75" s="1215"/>
      <c r="AI75" s="1215"/>
      <c r="AJ75" s="1216"/>
      <c r="AK75" s="1216"/>
      <c r="AL75" s="1216"/>
      <c r="AM75" s="1216"/>
      <c r="AN75" s="1216"/>
      <c r="AO75" s="1216"/>
      <c r="AP75" s="1216"/>
      <c r="AQ75" s="1216"/>
      <c r="AR75" s="1216"/>
      <c r="AS75" s="1216"/>
      <c r="AT75" s="1216"/>
      <c r="AU75" s="1120" cm="1">
        <f t="array" ref="AU75">IF(H75="","",Slookup(MID(X75,1,3)*1,UomConversion!$D$8:$J$500,2,UomConversion!$I$8:$I$500,1,UomConversion!$J$8:$J$500,1))</f>
        <v>0</v>
      </c>
      <c r="AV75" s="401" t="str">
        <f t="shared" si="6"/>
        <v/>
      </c>
      <c r="AW75" s="757">
        <f t="shared" si="43"/>
        <v>2</v>
      </c>
      <c r="AX75" s="757" t="str">
        <f t="shared" si="43"/>
        <v/>
      </c>
      <c r="AY75" s="757" t="str">
        <f t="shared" si="43"/>
        <v/>
      </c>
      <c r="AZ75" s="1209" cm="1">
        <f t="array" ref="AZ75">IF(Y75="",1,Slookup(MID(X75,1,3)*1,UomConversion!$D$8:$J$500,5,UomConversion!$E$8:$E$500,MID(Y75,1,3)*1,UomConversion!$I$8:$I$500,1))</f>
        <v>1</v>
      </c>
      <c r="BA75" s="1209" cm="1">
        <f t="array" ref="BA75">IF(Z75="",1,Slookup(MID(X75,1,3)*1,UomConversion!$D$8:$J$500,5,UomConversion!$E$8:$E$500,MID(Z75,1,3)*1,UomConversion!$I$8:$I$500,1))</f>
        <v>1</v>
      </c>
      <c r="BB75" s="1217">
        <f t="shared" si="10"/>
        <v>0.75</v>
      </c>
      <c r="BC75" s="1217">
        <f t="shared" si="11"/>
        <v>0.19999999999999996</v>
      </c>
      <c r="BD75" s="1217"/>
    </row>
    <row r="76" spans="2:56" s="1120" customFormat="1" ht="24.95" customHeight="1">
      <c r="B76" s="445"/>
      <c r="C76" s="843">
        <v>57</v>
      </c>
      <c r="D76" s="843"/>
      <c r="E76" s="843"/>
      <c r="F76" s="1116" t="s">
        <v>2427</v>
      </c>
      <c r="G76" s="1117" t="s">
        <v>2427</v>
      </c>
      <c r="H76" s="868" t="s">
        <v>3033</v>
      </c>
      <c r="I76" s="1118" t="s">
        <v>3033</v>
      </c>
      <c r="J76" s="1138" t="s">
        <v>2954</v>
      </c>
      <c r="K76" s="1138" t="s">
        <v>2972</v>
      </c>
      <c r="L76" s="870" t="s">
        <v>2353</v>
      </c>
      <c r="M76" s="868" t="s">
        <v>2309</v>
      </c>
      <c r="N76" s="1118"/>
      <c r="O76" s="1119">
        <v>7.44</v>
      </c>
      <c r="P76" s="884">
        <v>8</v>
      </c>
      <c r="Q76" s="885"/>
      <c r="R76" s="843">
        <v>1</v>
      </c>
      <c r="S76" s="843">
        <v>0</v>
      </c>
      <c r="T76" s="843">
        <v>1</v>
      </c>
      <c r="U76" s="843">
        <v>0</v>
      </c>
      <c r="V76" s="843">
        <v>0</v>
      </c>
      <c r="W76" s="843">
        <v>1</v>
      </c>
      <c r="X76" s="870" t="s">
        <v>2939</v>
      </c>
      <c r="Y76" s="843" t="str">
        <f>IF(OR(ISNA(MATCH(MID(X76,1,3)*1,UomConversion!$D$8:$D$500,0)),H76=""),"",IF(AV76="","",AV76))</f>
        <v/>
      </c>
      <c r="Z76" s="843" t="str">
        <f>IF(AND(AU76&gt;0,COUNTIFS(UomConversion!$D$8:$D$500,MID(X76,1,3)*1,UomConversion!$J$8:$J$500,1)&gt;1),TEXT(AU76,"000")&amp;"."&amp;VLOOKUP(AU76,uom_list,5,FALSE),"")</f>
        <v/>
      </c>
      <c r="AA76" s="843">
        <f t="shared" si="4"/>
        <v>1</v>
      </c>
      <c r="AB76" s="843" t="str">
        <f t="shared" si="8"/>
        <v>2</v>
      </c>
      <c r="AC76" s="843">
        <f t="shared" ref="AC76" si="67">import_pro_number_of_price_type</f>
        <v>2</v>
      </c>
      <c r="AD76" s="1214">
        <v>0</v>
      </c>
      <c r="AE76" s="1214">
        <v>8</v>
      </c>
      <c r="AF76" s="1215"/>
      <c r="AG76" s="1215"/>
      <c r="AH76" s="1215"/>
      <c r="AI76" s="1215"/>
      <c r="AJ76" s="1216"/>
      <c r="AK76" s="1216"/>
      <c r="AL76" s="1216"/>
      <c r="AM76" s="1216"/>
      <c r="AN76" s="1216"/>
      <c r="AO76" s="1216"/>
      <c r="AP76" s="1216"/>
      <c r="AQ76" s="1216"/>
      <c r="AR76" s="1216"/>
      <c r="AS76" s="1216"/>
      <c r="AT76" s="1216"/>
      <c r="AU76" s="1120" cm="1">
        <f t="array" ref="AU76">IF(H76="","",Slookup(MID(X76,1,3)*1,UomConversion!$D$8:$J$500,2,UomConversion!$I$8:$I$500,1,UomConversion!$J$8:$J$500,1))</f>
        <v>0</v>
      </c>
      <c r="AV76" s="401" t="str">
        <f t="shared" si="6"/>
        <v/>
      </c>
      <c r="AW76" s="757">
        <f t="shared" si="43"/>
        <v>2</v>
      </c>
      <c r="AX76" s="757" t="str">
        <f t="shared" si="43"/>
        <v/>
      </c>
      <c r="AY76" s="757" t="str">
        <f t="shared" si="43"/>
        <v/>
      </c>
      <c r="AZ76" s="1209" cm="1">
        <f t="array" ref="AZ76">IF(Y76="",1,Slookup(MID(X76,1,3)*1,UomConversion!$D$8:$J$500,5,UomConversion!$E$8:$E$500,MID(Y76,1,3)*1,UomConversion!$I$8:$I$500,1))</f>
        <v>1</v>
      </c>
      <c r="BA76" s="1209" cm="1">
        <f t="array" ref="BA76">IF(Z76="",1,Slookup(MID(X76,1,3)*1,UomConversion!$D$8:$J$500,5,UomConversion!$E$8:$E$500,MID(Z76,1,3)*1,UomConversion!$I$8:$I$500,1))</f>
        <v>1</v>
      </c>
      <c r="BB76" s="1217">
        <f t="shared" si="10"/>
        <v>8</v>
      </c>
      <c r="BC76" s="1217">
        <f t="shared" si="11"/>
        <v>0.55999999999999961</v>
      </c>
      <c r="BD76" s="1217"/>
    </row>
    <row r="77" spans="2:56" s="1120" customFormat="1" ht="24.95" customHeight="1">
      <c r="B77" s="445"/>
      <c r="C77" s="843">
        <v>58</v>
      </c>
      <c r="D77" s="843"/>
      <c r="E77" s="843"/>
      <c r="F77" s="1116" t="s">
        <v>2429</v>
      </c>
      <c r="G77" s="1117" t="s">
        <v>2429</v>
      </c>
      <c r="H77" s="868" t="s">
        <v>3034</v>
      </c>
      <c r="I77" s="1118" t="s">
        <v>3034</v>
      </c>
      <c r="J77" s="1138" t="s">
        <v>2954</v>
      </c>
      <c r="K77" s="1138" t="s">
        <v>2972</v>
      </c>
      <c r="L77" s="870" t="s">
        <v>2361</v>
      </c>
      <c r="M77" s="868" t="s">
        <v>2309</v>
      </c>
      <c r="N77" s="1118"/>
      <c r="O77" s="1119">
        <v>3.9729999999999999</v>
      </c>
      <c r="P77" s="884">
        <v>4.5</v>
      </c>
      <c r="Q77" s="885"/>
      <c r="R77" s="843">
        <v>1</v>
      </c>
      <c r="S77" s="843">
        <v>0</v>
      </c>
      <c r="T77" s="843">
        <v>1</v>
      </c>
      <c r="U77" s="843">
        <v>0</v>
      </c>
      <c r="V77" s="843">
        <v>0</v>
      </c>
      <c r="W77" s="843">
        <v>1</v>
      </c>
      <c r="X77" s="870" t="s">
        <v>2939</v>
      </c>
      <c r="Y77" s="843" t="str">
        <f>IF(OR(ISNA(MATCH(MID(X77,1,3)*1,UomConversion!$D$8:$D$500,0)),H77=""),"",IF(AV77="","",AV77))</f>
        <v/>
      </c>
      <c r="Z77" s="843" t="str">
        <f>IF(AND(AU77&gt;0,COUNTIFS(UomConversion!$D$8:$D$500,MID(X77,1,3)*1,UomConversion!$J$8:$J$500,1)&gt;1),TEXT(AU77,"000")&amp;"."&amp;VLOOKUP(AU77,uom_list,5,FALSE),"")</f>
        <v/>
      </c>
      <c r="AA77" s="843">
        <f t="shared" si="4"/>
        <v>1</v>
      </c>
      <c r="AB77" s="843" t="str">
        <f t="shared" si="8"/>
        <v>2</v>
      </c>
      <c r="AC77" s="843">
        <f t="shared" ref="AC77" si="68">import_pro_number_of_price_type</f>
        <v>2</v>
      </c>
      <c r="AD77" s="1214">
        <v>0</v>
      </c>
      <c r="AE77" s="1214">
        <v>4.5</v>
      </c>
      <c r="AF77" s="1215"/>
      <c r="AG77" s="1215"/>
      <c r="AH77" s="1215"/>
      <c r="AI77" s="1215"/>
      <c r="AJ77" s="1216"/>
      <c r="AK77" s="1216"/>
      <c r="AL77" s="1216"/>
      <c r="AM77" s="1216"/>
      <c r="AN77" s="1216"/>
      <c r="AO77" s="1216"/>
      <c r="AP77" s="1216"/>
      <c r="AQ77" s="1216"/>
      <c r="AR77" s="1216"/>
      <c r="AS77" s="1216"/>
      <c r="AT77" s="1216"/>
      <c r="AU77" s="1120" cm="1">
        <f t="array" ref="AU77">IF(H77="","",Slookup(MID(X77,1,3)*1,UomConversion!$D$8:$J$500,2,UomConversion!$I$8:$I$500,1,UomConversion!$J$8:$J$500,1))</f>
        <v>0</v>
      </c>
      <c r="AV77" s="401" t="str">
        <f t="shared" si="6"/>
        <v/>
      </c>
      <c r="AW77" s="757">
        <f t="shared" si="43"/>
        <v>2</v>
      </c>
      <c r="AX77" s="757" t="str">
        <f t="shared" si="43"/>
        <v/>
      </c>
      <c r="AY77" s="757" t="str">
        <f t="shared" si="43"/>
        <v/>
      </c>
      <c r="AZ77" s="1209" cm="1">
        <f t="array" ref="AZ77">IF(Y77="",1,Slookup(MID(X77,1,3)*1,UomConversion!$D$8:$J$500,5,UomConversion!$E$8:$E$500,MID(Y77,1,3)*1,UomConversion!$I$8:$I$500,1))</f>
        <v>1</v>
      </c>
      <c r="BA77" s="1209" cm="1">
        <f t="array" ref="BA77">IF(Z77="",1,Slookup(MID(X77,1,3)*1,UomConversion!$D$8:$J$500,5,UomConversion!$E$8:$E$500,MID(Z77,1,3)*1,UomConversion!$I$8:$I$500,1))</f>
        <v>1</v>
      </c>
      <c r="BB77" s="1217">
        <f t="shared" si="10"/>
        <v>4.5</v>
      </c>
      <c r="BC77" s="1217">
        <f t="shared" si="11"/>
        <v>0.52700000000000014</v>
      </c>
      <c r="BD77" s="1217"/>
    </row>
    <row r="78" spans="2:56" s="1120" customFormat="1" ht="24.95" customHeight="1">
      <c r="B78" s="445"/>
      <c r="C78" s="843">
        <v>59</v>
      </c>
      <c r="D78" s="843"/>
      <c r="E78" s="843"/>
      <c r="F78" s="1116" t="s">
        <v>2431</v>
      </c>
      <c r="G78" s="1117" t="s">
        <v>2431</v>
      </c>
      <c r="H78" s="868" t="s">
        <v>3035</v>
      </c>
      <c r="I78" s="1118" t="s">
        <v>3035</v>
      </c>
      <c r="J78" s="1138" t="s">
        <v>2954</v>
      </c>
      <c r="K78" s="1138" t="s">
        <v>2972</v>
      </c>
      <c r="L78" s="870" t="s">
        <v>2370</v>
      </c>
      <c r="M78" s="868" t="s">
        <v>2309</v>
      </c>
      <c r="N78" s="1118"/>
      <c r="O78" s="1119">
        <v>1.4450000000000001</v>
      </c>
      <c r="P78" s="884">
        <v>2</v>
      </c>
      <c r="Q78" s="885"/>
      <c r="R78" s="843">
        <v>1</v>
      </c>
      <c r="S78" s="843">
        <v>0</v>
      </c>
      <c r="T78" s="843">
        <v>1</v>
      </c>
      <c r="U78" s="843">
        <v>0</v>
      </c>
      <c r="V78" s="843">
        <v>0</v>
      </c>
      <c r="W78" s="843">
        <v>1</v>
      </c>
      <c r="X78" s="870" t="s">
        <v>2939</v>
      </c>
      <c r="Y78" s="843" t="str">
        <f>IF(OR(ISNA(MATCH(MID(X78,1,3)*1,UomConversion!$D$8:$D$500,0)),H78=""),"",IF(AV78="","",AV78))</f>
        <v/>
      </c>
      <c r="Z78" s="843" t="str">
        <f>IF(AND(AU78&gt;0,COUNTIFS(UomConversion!$D$8:$D$500,MID(X78,1,3)*1,UomConversion!$J$8:$J$500,1)&gt;1),TEXT(AU78,"000")&amp;"."&amp;VLOOKUP(AU78,uom_list,5,FALSE),"")</f>
        <v/>
      </c>
      <c r="AA78" s="843">
        <f t="shared" si="4"/>
        <v>1</v>
      </c>
      <c r="AB78" s="843" t="str">
        <f t="shared" si="8"/>
        <v>2</v>
      </c>
      <c r="AC78" s="843">
        <f t="shared" ref="AC78" si="69">import_pro_number_of_price_type</f>
        <v>2</v>
      </c>
      <c r="AD78" s="1214">
        <v>0</v>
      </c>
      <c r="AE78" s="1214">
        <v>2</v>
      </c>
      <c r="AF78" s="1215"/>
      <c r="AG78" s="1215"/>
      <c r="AH78" s="1215"/>
      <c r="AI78" s="1215"/>
      <c r="AJ78" s="1216"/>
      <c r="AK78" s="1216"/>
      <c r="AL78" s="1216"/>
      <c r="AM78" s="1216"/>
      <c r="AN78" s="1216"/>
      <c r="AO78" s="1216"/>
      <c r="AP78" s="1216"/>
      <c r="AQ78" s="1216"/>
      <c r="AR78" s="1216"/>
      <c r="AS78" s="1216"/>
      <c r="AT78" s="1216"/>
      <c r="AU78" s="1120" cm="1">
        <f t="array" ref="AU78">IF(H78="","",Slookup(MID(X78,1,3)*1,UomConversion!$D$8:$J$500,2,UomConversion!$I$8:$I$500,1,UomConversion!$J$8:$J$500,1))</f>
        <v>0</v>
      </c>
      <c r="AV78" s="401" t="str">
        <f t="shared" si="6"/>
        <v/>
      </c>
      <c r="AW78" s="757">
        <f t="shared" si="43"/>
        <v>2</v>
      </c>
      <c r="AX78" s="757" t="str">
        <f t="shared" si="43"/>
        <v/>
      </c>
      <c r="AY78" s="757" t="str">
        <f t="shared" si="43"/>
        <v/>
      </c>
      <c r="AZ78" s="1209" cm="1">
        <f t="array" ref="AZ78">IF(Y78="",1,Slookup(MID(X78,1,3)*1,UomConversion!$D$8:$J$500,5,UomConversion!$E$8:$E$500,MID(Y78,1,3)*1,UomConversion!$I$8:$I$500,1))</f>
        <v>1</v>
      </c>
      <c r="BA78" s="1209" cm="1">
        <f t="array" ref="BA78">IF(Z78="",1,Slookup(MID(X78,1,3)*1,UomConversion!$D$8:$J$500,5,UomConversion!$E$8:$E$500,MID(Z78,1,3)*1,UomConversion!$I$8:$I$500,1))</f>
        <v>1</v>
      </c>
      <c r="BB78" s="1217">
        <f t="shared" si="10"/>
        <v>2</v>
      </c>
      <c r="BC78" s="1217">
        <f t="shared" si="11"/>
        <v>0.55499999999999994</v>
      </c>
      <c r="BD78" s="1217"/>
    </row>
    <row r="79" spans="2:56" s="1120" customFormat="1" ht="24.95" customHeight="1">
      <c r="B79" s="445"/>
      <c r="C79" s="843">
        <v>60</v>
      </c>
      <c r="D79" s="843"/>
      <c r="E79" s="843"/>
      <c r="F79" s="1116" t="s">
        <v>2434</v>
      </c>
      <c r="G79" s="1117" t="s">
        <v>2434</v>
      </c>
      <c r="H79" s="868" t="s">
        <v>3036</v>
      </c>
      <c r="I79" s="1118" t="s">
        <v>3036</v>
      </c>
      <c r="J79" s="1138" t="s">
        <v>2954</v>
      </c>
      <c r="K79" s="1138" t="s">
        <v>2972</v>
      </c>
      <c r="L79" s="870" t="s">
        <v>2418</v>
      </c>
      <c r="M79" s="868" t="s">
        <v>2309</v>
      </c>
      <c r="N79" s="1118"/>
      <c r="O79" s="1119">
        <v>7.7779999999999996</v>
      </c>
      <c r="P79" s="884">
        <v>8</v>
      </c>
      <c r="Q79" s="885"/>
      <c r="R79" s="843">
        <v>1</v>
      </c>
      <c r="S79" s="843">
        <v>0</v>
      </c>
      <c r="T79" s="843">
        <v>1</v>
      </c>
      <c r="U79" s="843">
        <v>0</v>
      </c>
      <c r="V79" s="843">
        <v>0</v>
      </c>
      <c r="W79" s="843">
        <v>1</v>
      </c>
      <c r="X79" s="870" t="s">
        <v>2939</v>
      </c>
      <c r="Y79" s="843" t="str">
        <f>IF(OR(ISNA(MATCH(MID(X79,1,3)*1,UomConversion!$D$8:$D$500,0)),H79=""),"",IF(AV79="","",AV79))</f>
        <v/>
      </c>
      <c r="Z79" s="843" t="str">
        <f>IF(AND(AU79&gt;0,COUNTIFS(UomConversion!$D$8:$D$500,MID(X79,1,3)*1,UomConversion!$J$8:$J$500,1)&gt;1),TEXT(AU79,"000")&amp;"."&amp;VLOOKUP(AU79,uom_list,5,FALSE),"")</f>
        <v/>
      </c>
      <c r="AA79" s="843">
        <f t="shared" si="4"/>
        <v>1</v>
      </c>
      <c r="AB79" s="843" t="str">
        <f t="shared" si="8"/>
        <v>2</v>
      </c>
      <c r="AC79" s="843">
        <f t="shared" ref="AC79" si="70">import_pro_number_of_price_type</f>
        <v>2</v>
      </c>
      <c r="AD79" s="1214">
        <v>0</v>
      </c>
      <c r="AE79" s="1214">
        <v>8</v>
      </c>
      <c r="AF79" s="1215"/>
      <c r="AG79" s="1215"/>
      <c r="AH79" s="1215"/>
      <c r="AI79" s="1215"/>
      <c r="AJ79" s="1216"/>
      <c r="AK79" s="1216"/>
      <c r="AL79" s="1216"/>
      <c r="AM79" s="1216"/>
      <c r="AN79" s="1216"/>
      <c r="AO79" s="1216"/>
      <c r="AP79" s="1216"/>
      <c r="AQ79" s="1216"/>
      <c r="AR79" s="1216"/>
      <c r="AS79" s="1216"/>
      <c r="AT79" s="1216"/>
      <c r="AU79" s="1120" cm="1">
        <f t="array" ref="AU79">IF(H79="","",Slookup(MID(X79,1,3)*1,UomConversion!$D$8:$J$500,2,UomConversion!$I$8:$I$500,1,UomConversion!$J$8:$J$500,1))</f>
        <v>0</v>
      </c>
      <c r="AV79" s="401" t="str">
        <f t="shared" si="6"/>
        <v/>
      </c>
      <c r="AW79" s="757">
        <f t="shared" si="43"/>
        <v>2</v>
      </c>
      <c r="AX79" s="757" t="str">
        <f t="shared" si="43"/>
        <v/>
      </c>
      <c r="AY79" s="757" t="str">
        <f t="shared" si="43"/>
        <v/>
      </c>
      <c r="AZ79" s="1209" cm="1">
        <f t="array" ref="AZ79">IF(Y79="",1,Slookup(MID(X79,1,3)*1,UomConversion!$D$8:$J$500,5,UomConversion!$E$8:$E$500,MID(Y79,1,3)*1,UomConversion!$I$8:$I$500,1))</f>
        <v>1</v>
      </c>
      <c r="BA79" s="1209" cm="1">
        <f t="array" ref="BA79">IF(Z79="",1,Slookup(MID(X79,1,3)*1,UomConversion!$D$8:$J$500,5,UomConversion!$E$8:$E$500,MID(Z79,1,3)*1,UomConversion!$I$8:$I$500,1))</f>
        <v>1</v>
      </c>
      <c r="BB79" s="1217">
        <f t="shared" si="10"/>
        <v>8</v>
      </c>
      <c r="BC79" s="1217">
        <f t="shared" si="11"/>
        <v>0.22200000000000042</v>
      </c>
      <c r="BD79" s="1217"/>
    </row>
    <row r="80" spans="2:56" s="1120" customFormat="1" ht="24.95" customHeight="1">
      <c r="B80" s="445"/>
      <c r="C80" s="843">
        <v>61</v>
      </c>
      <c r="D80" s="843"/>
      <c r="E80" s="843"/>
      <c r="F80" s="1116" t="s">
        <v>2437</v>
      </c>
      <c r="G80" s="1117" t="s">
        <v>2437</v>
      </c>
      <c r="H80" s="868" t="s">
        <v>3037</v>
      </c>
      <c r="I80" s="1118" t="s">
        <v>3037</v>
      </c>
      <c r="J80" s="1138" t="s">
        <v>2954</v>
      </c>
      <c r="K80" s="1138" t="s">
        <v>2972</v>
      </c>
      <c r="L80" s="870" t="s">
        <v>2433</v>
      </c>
      <c r="M80" s="868" t="s">
        <v>2309</v>
      </c>
      <c r="N80" s="1118"/>
      <c r="O80" s="1119">
        <v>6.4080000000000004</v>
      </c>
      <c r="P80" s="884">
        <v>7</v>
      </c>
      <c r="Q80" s="885"/>
      <c r="R80" s="843">
        <v>1</v>
      </c>
      <c r="S80" s="843">
        <v>0</v>
      </c>
      <c r="T80" s="843">
        <v>1</v>
      </c>
      <c r="U80" s="843">
        <v>0</v>
      </c>
      <c r="V80" s="843">
        <v>0</v>
      </c>
      <c r="W80" s="843">
        <v>1</v>
      </c>
      <c r="X80" s="870" t="s">
        <v>2939</v>
      </c>
      <c r="Y80" s="843" t="str">
        <f>IF(OR(ISNA(MATCH(MID(X80,1,3)*1,UomConversion!$D$8:$D$500,0)),H80=""),"",IF(AV80="","",AV80))</f>
        <v/>
      </c>
      <c r="Z80" s="843" t="str">
        <f>IF(AND(AU80&gt;0,COUNTIFS(UomConversion!$D$8:$D$500,MID(X80,1,3)*1,UomConversion!$J$8:$J$500,1)&gt;1),TEXT(AU80,"000")&amp;"."&amp;VLOOKUP(AU80,uom_list,5,FALSE),"")</f>
        <v/>
      </c>
      <c r="AA80" s="843">
        <f t="shared" si="4"/>
        <v>1</v>
      </c>
      <c r="AB80" s="843" t="str">
        <f t="shared" si="8"/>
        <v>2</v>
      </c>
      <c r="AC80" s="843">
        <f t="shared" ref="AC80" si="71">import_pro_number_of_price_type</f>
        <v>2</v>
      </c>
      <c r="AD80" s="1214">
        <v>0</v>
      </c>
      <c r="AE80" s="1214">
        <v>7</v>
      </c>
      <c r="AF80" s="1215"/>
      <c r="AG80" s="1215"/>
      <c r="AH80" s="1215"/>
      <c r="AI80" s="1215"/>
      <c r="AJ80" s="1216"/>
      <c r="AK80" s="1216"/>
      <c r="AL80" s="1216"/>
      <c r="AM80" s="1216"/>
      <c r="AN80" s="1216"/>
      <c r="AO80" s="1216"/>
      <c r="AP80" s="1216"/>
      <c r="AQ80" s="1216"/>
      <c r="AR80" s="1216"/>
      <c r="AS80" s="1216"/>
      <c r="AT80" s="1216"/>
      <c r="AU80" s="1120" cm="1">
        <f t="array" ref="AU80">IF(H80="","",Slookup(MID(X80,1,3)*1,UomConversion!$D$8:$J$500,2,UomConversion!$I$8:$I$500,1,UomConversion!$J$8:$J$500,1))</f>
        <v>0</v>
      </c>
      <c r="AV80" s="401" t="str">
        <f t="shared" si="6"/>
        <v/>
      </c>
      <c r="AW80" s="757">
        <f t="shared" si="43"/>
        <v>2</v>
      </c>
      <c r="AX80" s="757" t="str">
        <f t="shared" si="43"/>
        <v/>
      </c>
      <c r="AY80" s="757" t="str">
        <f t="shared" si="43"/>
        <v/>
      </c>
      <c r="AZ80" s="1209" cm="1">
        <f t="array" ref="AZ80">IF(Y80="",1,Slookup(MID(X80,1,3)*1,UomConversion!$D$8:$J$500,5,UomConversion!$E$8:$E$500,MID(Y80,1,3)*1,UomConversion!$I$8:$I$500,1))</f>
        <v>1</v>
      </c>
      <c r="BA80" s="1209" cm="1">
        <f t="array" ref="BA80">IF(Z80="",1,Slookup(MID(X80,1,3)*1,UomConversion!$D$8:$J$500,5,UomConversion!$E$8:$E$500,MID(Z80,1,3)*1,UomConversion!$I$8:$I$500,1))</f>
        <v>1</v>
      </c>
      <c r="BB80" s="1217">
        <f t="shared" si="10"/>
        <v>7</v>
      </c>
      <c r="BC80" s="1217">
        <f t="shared" si="11"/>
        <v>0.59199999999999964</v>
      </c>
      <c r="BD80" s="1217"/>
    </row>
    <row r="81" spans="2:57" s="1120" customFormat="1" ht="24.95" customHeight="1">
      <c r="B81" s="445"/>
      <c r="C81" s="843">
        <v>62</v>
      </c>
      <c r="D81" s="843"/>
      <c r="E81" s="843"/>
      <c r="F81" s="1116" t="s">
        <v>2440</v>
      </c>
      <c r="G81" s="1117" t="s">
        <v>2440</v>
      </c>
      <c r="H81" s="868" t="s">
        <v>3038</v>
      </c>
      <c r="I81" s="1118" t="s">
        <v>3038</v>
      </c>
      <c r="J81" s="1138" t="s">
        <v>2954</v>
      </c>
      <c r="K81" s="1138" t="s">
        <v>2972</v>
      </c>
      <c r="L81" s="870" t="s">
        <v>2436</v>
      </c>
      <c r="M81" s="868" t="s">
        <v>2309</v>
      </c>
      <c r="N81" s="1118"/>
      <c r="O81" s="1119">
        <v>4.327</v>
      </c>
      <c r="P81" s="884">
        <v>5</v>
      </c>
      <c r="Q81" s="885"/>
      <c r="R81" s="843">
        <v>1</v>
      </c>
      <c r="S81" s="843">
        <v>0</v>
      </c>
      <c r="T81" s="843">
        <v>1</v>
      </c>
      <c r="U81" s="843">
        <v>0</v>
      </c>
      <c r="V81" s="843">
        <v>0</v>
      </c>
      <c r="W81" s="843">
        <v>1</v>
      </c>
      <c r="X81" s="870" t="s">
        <v>2939</v>
      </c>
      <c r="Y81" s="843" t="str">
        <f>IF(OR(ISNA(MATCH(MID(X81,1,3)*1,UomConversion!$D$8:$D$500,0)),H81=""),"",IF(AV81="","",AV81))</f>
        <v/>
      </c>
      <c r="Z81" s="843" t="str">
        <f>IF(AND(AU81&gt;0,COUNTIFS(UomConversion!$D$8:$D$500,MID(X81,1,3)*1,UomConversion!$J$8:$J$500,1)&gt;1),TEXT(AU81,"000")&amp;"."&amp;VLOOKUP(AU81,uom_list,5,FALSE),"")</f>
        <v/>
      </c>
      <c r="AA81" s="843">
        <f t="shared" si="4"/>
        <v>1</v>
      </c>
      <c r="AB81" s="843" t="str">
        <f t="shared" si="8"/>
        <v>2</v>
      </c>
      <c r="AC81" s="843">
        <f t="shared" ref="AC81" si="72">import_pro_number_of_price_type</f>
        <v>2</v>
      </c>
      <c r="AD81" s="1214">
        <v>0</v>
      </c>
      <c r="AE81" s="1214">
        <v>5</v>
      </c>
      <c r="AF81" s="1215"/>
      <c r="AG81" s="1215"/>
      <c r="AH81" s="1215"/>
      <c r="AI81" s="1215"/>
      <c r="AJ81" s="1216"/>
      <c r="AK81" s="1216"/>
      <c r="AL81" s="1216"/>
      <c r="AM81" s="1216"/>
      <c r="AN81" s="1216"/>
      <c r="AO81" s="1216"/>
      <c r="AP81" s="1216"/>
      <c r="AQ81" s="1216"/>
      <c r="AR81" s="1216"/>
      <c r="AS81" s="1216"/>
      <c r="AT81" s="1216"/>
      <c r="AU81" s="1120" cm="1">
        <f t="array" ref="AU81">IF(H81="","",Slookup(MID(X81,1,3)*1,UomConversion!$D$8:$J$500,2,UomConversion!$I$8:$I$500,1,UomConversion!$J$8:$J$500,1))</f>
        <v>0</v>
      </c>
      <c r="AV81" s="401" t="str">
        <f t="shared" si="6"/>
        <v/>
      </c>
      <c r="AW81" s="757">
        <f t="shared" si="43"/>
        <v>2</v>
      </c>
      <c r="AX81" s="757" t="str">
        <f t="shared" si="43"/>
        <v/>
      </c>
      <c r="AY81" s="757" t="str">
        <f t="shared" si="43"/>
        <v/>
      </c>
      <c r="AZ81" s="1209" cm="1">
        <f t="array" ref="AZ81">IF(Y81="",1,Slookup(MID(X81,1,3)*1,UomConversion!$D$8:$J$500,5,UomConversion!$E$8:$E$500,MID(Y81,1,3)*1,UomConversion!$I$8:$I$500,1))</f>
        <v>1</v>
      </c>
      <c r="BA81" s="1209" cm="1">
        <f t="array" ref="BA81">IF(Z81="",1,Slookup(MID(X81,1,3)*1,UomConversion!$D$8:$J$500,5,UomConversion!$E$8:$E$500,MID(Z81,1,3)*1,UomConversion!$I$8:$I$500,1))</f>
        <v>1</v>
      </c>
      <c r="BB81" s="1217">
        <f t="shared" si="10"/>
        <v>5</v>
      </c>
      <c r="BC81" s="1217">
        <f t="shared" si="11"/>
        <v>0.67300000000000004</v>
      </c>
      <c r="BD81" s="1217"/>
    </row>
    <row r="82" spans="2:57" s="1120" customFormat="1" ht="24.95" customHeight="1">
      <c r="B82" s="445"/>
      <c r="C82" s="843">
        <v>63</v>
      </c>
      <c r="D82" s="843"/>
      <c r="E82" s="843"/>
      <c r="F82" s="1116" t="s">
        <v>2442</v>
      </c>
      <c r="G82" s="1117" t="s">
        <v>2442</v>
      </c>
      <c r="H82" s="868" t="s">
        <v>3039</v>
      </c>
      <c r="I82" s="1118" t="s">
        <v>3039</v>
      </c>
      <c r="J82" s="1138" t="s">
        <v>2954</v>
      </c>
      <c r="K82" s="1138" t="s">
        <v>2972</v>
      </c>
      <c r="L82" s="870" t="s">
        <v>2439</v>
      </c>
      <c r="M82" s="868" t="s">
        <v>2309</v>
      </c>
      <c r="N82" s="1118"/>
      <c r="O82" s="1119">
        <v>4.327</v>
      </c>
      <c r="P82" s="884">
        <v>6</v>
      </c>
      <c r="Q82" s="885"/>
      <c r="R82" s="843">
        <v>1</v>
      </c>
      <c r="S82" s="843">
        <v>0</v>
      </c>
      <c r="T82" s="843">
        <v>1</v>
      </c>
      <c r="U82" s="843">
        <v>0</v>
      </c>
      <c r="V82" s="843">
        <v>0</v>
      </c>
      <c r="W82" s="843">
        <v>1</v>
      </c>
      <c r="X82" s="870" t="s">
        <v>2939</v>
      </c>
      <c r="Y82" s="843" t="str">
        <f>IF(OR(ISNA(MATCH(MID(X82,1,3)*1,UomConversion!$D$8:$D$500,0)),H82=""),"",IF(AV82="","",AV82))</f>
        <v/>
      </c>
      <c r="Z82" s="843" t="str">
        <f>IF(AND(AU82&gt;0,COUNTIFS(UomConversion!$D$8:$D$500,MID(X82,1,3)*1,UomConversion!$J$8:$J$500,1)&gt;1),TEXT(AU82,"000")&amp;"."&amp;VLOOKUP(AU82,uom_list,5,FALSE),"")</f>
        <v/>
      </c>
      <c r="AA82" s="843">
        <f t="shared" si="4"/>
        <v>1</v>
      </c>
      <c r="AB82" s="843" t="str">
        <f t="shared" si="8"/>
        <v>2</v>
      </c>
      <c r="AC82" s="843">
        <f t="shared" ref="AC82" si="73">import_pro_number_of_price_type</f>
        <v>2</v>
      </c>
      <c r="AD82" s="1214">
        <v>0</v>
      </c>
      <c r="AE82" s="1214">
        <v>6</v>
      </c>
      <c r="AF82" s="1215"/>
      <c r="AG82" s="1215"/>
      <c r="AH82" s="1215"/>
      <c r="AI82" s="1215"/>
      <c r="AJ82" s="1216"/>
      <c r="AK82" s="1216"/>
      <c r="AL82" s="1216"/>
      <c r="AM82" s="1216"/>
      <c r="AN82" s="1216"/>
      <c r="AO82" s="1216"/>
      <c r="AP82" s="1216"/>
      <c r="AQ82" s="1216"/>
      <c r="AR82" s="1216"/>
      <c r="AS82" s="1216"/>
      <c r="AT82" s="1216"/>
      <c r="AU82" s="1120" cm="1">
        <f t="array" ref="AU82">IF(H82="","",Slookup(MID(X82,1,3)*1,UomConversion!$D$8:$J$500,2,UomConversion!$I$8:$I$500,1,UomConversion!$J$8:$J$500,1))</f>
        <v>0</v>
      </c>
      <c r="AV82" s="401" t="str">
        <f t="shared" si="6"/>
        <v/>
      </c>
      <c r="AW82" s="757">
        <f t="shared" si="43"/>
        <v>2</v>
      </c>
      <c r="AX82" s="757" t="str">
        <f t="shared" si="43"/>
        <v/>
      </c>
      <c r="AY82" s="757" t="str">
        <f t="shared" si="43"/>
        <v/>
      </c>
      <c r="AZ82" s="1209" cm="1">
        <f t="array" ref="AZ82">IF(Y82="",1,Slookup(MID(X82,1,3)*1,UomConversion!$D$8:$J$500,5,UomConversion!$E$8:$E$500,MID(Y82,1,3)*1,UomConversion!$I$8:$I$500,1))</f>
        <v>1</v>
      </c>
      <c r="BA82" s="1209" cm="1">
        <f t="array" ref="BA82">IF(Z82="",1,Slookup(MID(X82,1,3)*1,UomConversion!$D$8:$J$500,5,UomConversion!$E$8:$E$500,MID(Z82,1,3)*1,UomConversion!$I$8:$I$500,1))</f>
        <v>1</v>
      </c>
      <c r="BB82" s="1217">
        <f t="shared" si="10"/>
        <v>6</v>
      </c>
      <c r="BC82" s="1217">
        <f t="shared" si="11"/>
        <v>1.673</v>
      </c>
      <c r="BD82" s="1217"/>
    </row>
    <row r="83" spans="2:57" s="1120" customFormat="1" ht="24.95" customHeight="1">
      <c r="B83" s="445"/>
      <c r="C83" s="843">
        <v>64</v>
      </c>
      <c r="D83" s="843"/>
      <c r="E83" s="843"/>
      <c r="F83" s="1116" t="s">
        <v>2444</v>
      </c>
      <c r="G83" s="1117" t="s">
        <v>2444</v>
      </c>
      <c r="H83" s="868" t="s">
        <v>3040</v>
      </c>
      <c r="I83" s="1118" t="s">
        <v>3040</v>
      </c>
      <c r="J83" s="1138" t="s">
        <v>2954</v>
      </c>
      <c r="K83" s="1138" t="s">
        <v>2972</v>
      </c>
      <c r="L83" s="870" t="s">
        <v>2353</v>
      </c>
      <c r="M83" s="868" t="s">
        <v>2309</v>
      </c>
      <c r="N83" s="1118"/>
      <c r="O83" s="1119">
        <v>1.9</v>
      </c>
      <c r="P83" s="884">
        <v>2.25</v>
      </c>
      <c r="Q83" s="885"/>
      <c r="R83" s="843">
        <v>1</v>
      </c>
      <c r="S83" s="843">
        <v>0</v>
      </c>
      <c r="T83" s="843">
        <v>1</v>
      </c>
      <c r="U83" s="843">
        <v>0</v>
      </c>
      <c r="V83" s="843">
        <v>0</v>
      </c>
      <c r="W83" s="843">
        <v>1</v>
      </c>
      <c r="X83" s="870" t="s">
        <v>2939</v>
      </c>
      <c r="Y83" s="843" t="str">
        <f>IF(OR(ISNA(MATCH(MID(X83,1,3)*1,UomConversion!$D$8:$D$500,0)),H83=""),"",IF(AV83="","",AV83))</f>
        <v/>
      </c>
      <c r="Z83" s="843" t="str">
        <f>IF(AND(AU83&gt;0,COUNTIFS(UomConversion!$D$8:$D$500,MID(X83,1,3)*1,UomConversion!$J$8:$J$500,1)&gt;1),TEXT(AU83,"000")&amp;"."&amp;VLOOKUP(AU83,uom_list,5,FALSE),"")</f>
        <v/>
      </c>
      <c r="AA83" s="843">
        <f t="shared" si="4"/>
        <v>1</v>
      </c>
      <c r="AB83" s="843" t="str">
        <f t="shared" si="8"/>
        <v>2</v>
      </c>
      <c r="AC83" s="843">
        <f t="shared" ref="AC83" si="74">import_pro_number_of_price_type</f>
        <v>2</v>
      </c>
      <c r="AD83" s="1214">
        <v>0</v>
      </c>
      <c r="AE83" s="1214">
        <v>2.25</v>
      </c>
      <c r="AF83" s="1215"/>
      <c r="AG83" s="1215"/>
      <c r="AH83" s="1215"/>
      <c r="AI83" s="1215"/>
      <c r="AJ83" s="1216"/>
      <c r="AK83" s="1216"/>
      <c r="AL83" s="1216"/>
      <c r="AM83" s="1216"/>
      <c r="AN83" s="1216"/>
      <c r="AO83" s="1216"/>
      <c r="AP83" s="1216"/>
      <c r="AQ83" s="1216"/>
      <c r="AR83" s="1216"/>
      <c r="AS83" s="1216"/>
      <c r="AT83" s="1216"/>
      <c r="AU83" s="1120" cm="1">
        <f t="array" ref="AU83">IF(H83="","",Slookup(MID(X83,1,3)*1,UomConversion!$D$8:$J$500,2,UomConversion!$I$8:$I$500,1,UomConversion!$J$8:$J$500,1))</f>
        <v>0</v>
      </c>
      <c r="AV83" s="401" t="str">
        <f t="shared" si="6"/>
        <v/>
      </c>
      <c r="AW83" s="757">
        <f t="shared" si="43"/>
        <v>2</v>
      </c>
      <c r="AX83" s="757" t="str">
        <f t="shared" si="43"/>
        <v/>
      </c>
      <c r="AY83" s="757" t="str">
        <f t="shared" si="43"/>
        <v/>
      </c>
      <c r="AZ83" s="1209" cm="1">
        <f t="array" ref="AZ83">IF(Y83="",1,Slookup(MID(X83,1,3)*1,UomConversion!$D$8:$J$500,5,UomConversion!$E$8:$E$500,MID(Y83,1,3)*1,UomConversion!$I$8:$I$500,1))</f>
        <v>1</v>
      </c>
      <c r="BA83" s="1209" cm="1">
        <f t="array" ref="BA83">IF(Z83="",1,Slookup(MID(X83,1,3)*1,UomConversion!$D$8:$J$500,5,UomConversion!$E$8:$E$500,MID(Z83,1,3)*1,UomConversion!$I$8:$I$500,1))</f>
        <v>1</v>
      </c>
      <c r="BB83" s="1217">
        <f t="shared" si="10"/>
        <v>2.25</v>
      </c>
      <c r="BC83" s="1217">
        <f t="shared" si="11"/>
        <v>0.35000000000000009</v>
      </c>
      <c r="BD83" s="1217"/>
    </row>
    <row r="84" spans="2:57" s="1120" customFormat="1" ht="24.95" customHeight="1">
      <c r="B84" s="445"/>
      <c r="C84" s="843">
        <v>65</v>
      </c>
      <c r="D84" s="843"/>
      <c r="E84" s="843"/>
      <c r="F84" s="1116" t="s">
        <v>2447</v>
      </c>
      <c r="G84" s="1117" t="s">
        <v>2447</v>
      </c>
      <c r="H84" s="868" t="s">
        <v>3041</v>
      </c>
      <c r="I84" s="1118" t="s">
        <v>3041</v>
      </c>
      <c r="J84" s="1138" t="s">
        <v>2954</v>
      </c>
      <c r="K84" s="1138" t="s">
        <v>2972</v>
      </c>
      <c r="L84" s="870" t="s">
        <v>2361</v>
      </c>
      <c r="M84" s="868" t="s">
        <v>2309</v>
      </c>
      <c r="N84" s="1118"/>
      <c r="O84" s="1119">
        <v>1.18</v>
      </c>
      <c r="P84" s="884">
        <v>1.5</v>
      </c>
      <c r="Q84" s="885"/>
      <c r="R84" s="843">
        <v>1</v>
      </c>
      <c r="S84" s="843">
        <v>0</v>
      </c>
      <c r="T84" s="843">
        <v>1</v>
      </c>
      <c r="U84" s="843">
        <v>0</v>
      </c>
      <c r="V84" s="843">
        <v>0</v>
      </c>
      <c r="W84" s="843">
        <v>1</v>
      </c>
      <c r="X84" s="870" t="s">
        <v>2939</v>
      </c>
      <c r="Y84" s="843" t="str">
        <f>IF(OR(ISNA(MATCH(MID(X84,1,3)*1,UomConversion!$D$8:$D$500,0)),H84=""),"",IF(AV84="","",AV84))</f>
        <v/>
      </c>
      <c r="Z84" s="843" t="str">
        <f>IF(AND(AU84&gt;0,COUNTIFS(UomConversion!$D$8:$D$500,MID(X84,1,3)*1,UomConversion!$J$8:$J$500,1)&gt;1),TEXT(AU84,"000")&amp;"."&amp;VLOOKUP(AU84,uom_list,5,FALSE),"")</f>
        <v/>
      </c>
      <c r="AA84" s="843">
        <f t="shared" ref="AA84:AA147" si="75">COUNT(AW84:AY84)</f>
        <v>1</v>
      </c>
      <c r="AB84" s="843" t="str">
        <f t="shared" si="8"/>
        <v>2</v>
      </c>
      <c r="AC84" s="843">
        <f t="shared" ref="AC84" si="76">import_pro_number_of_price_type</f>
        <v>2</v>
      </c>
      <c r="AD84" s="1214">
        <v>0</v>
      </c>
      <c r="AE84" s="1214">
        <v>1.5</v>
      </c>
      <c r="AF84" s="1215"/>
      <c r="AG84" s="1215"/>
      <c r="AH84" s="1215"/>
      <c r="AI84" s="1215"/>
      <c r="AJ84" s="1216"/>
      <c r="AK84" s="1216"/>
      <c r="AL84" s="1216"/>
      <c r="AM84" s="1216"/>
      <c r="AN84" s="1216"/>
      <c r="AO84" s="1216"/>
      <c r="AP84" s="1216"/>
      <c r="AQ84" s="1216"/>
      <c r="AR84" s="1216"/>
      <c r="AS84" s="1216"/>
      <c r="AT84" s="1216"/>
      <c r="AU84" s="1120" cm="1">
        <f t="array" ref="AU84">IF(H84="","",Slookup(MID(X84,1,3)*1,UomConversion!$D$8:$J$500,2,UomConversion!$I$8:$I$500,1,UomConversion!$J$8:$J$500,1))</f>
        <v>0</v>
      </c>
      <c r="AV84" s="401" t="str">
        <f t="shared" ref="AV84:AV147" si="77">IF(OR(ISNA(VLOOKUP(MID(X84,1,3)*1,uom_converion_list,2,FALSE)),H84=""),"",TEXT(VLOOKUP(MID(X84,1,3)*1,uom_converion_list,2,FALSE),"000")&amp;"."&amp;VLOOKUP(VLOOKUP(MID(X84,1,3)*1,uom_converion_list,2,FALSE),uom_list,5,FALSE))</f>
        <v/>
      </c>
      <c r="AW84" s="757">
        <f t="shared" ref="AW84:AY115" si="78">IF(X84="","",MID(X84,1,3)*1)</f>
        <v>2</v>
      </c>
      <c r="AX84" s="757" t="str">
        <f t="shared" si="78"/>
        <v/>
      </c>
      <c r="AY84" s="757" t="str">
        <f t="shared" si="78"/>
        <v/>
      </c>
      <c r="AZ84" s="1209" cm="1">
        <f t="array" ref="AZ84">IF(Y84="",1,Slookup(MID(X84,1,3)*1,UomConversion!$D$8:$J$500,5,UomConversion!$E$8:$E$500,MID(Y84,1,3)*1,UomConversion!$I$8:$I$500,1))</f>
        <v>1</v>
      </c>
      <c r="BA84" s="1209" cm="1">
        <f t="array" ref="BA84">IF(Z84="",1,Slookup(MID(X84,1,3)*1,UomConversion!$D$8:$J$500,5,UomConversion!$E$8:$E$500,MID(Z84,1,3)*1,UomConversion!$I$8:$I$500,1))</f>
        <v>1</v>
      </c>
      <c r="BB84" s="1217">
        <f t="shared" si="10"/>
        <v>1.5</v>
      </c>
      <c r="BC84" s="1217">
        <f t="shared" si="11"/>
        <v>0.32000000000000006</v>
      </c>
      <c r="BD84" s="1217"/>
    </row>
    <row r="85" spans="2:57" s="1120" customFormat="1" ht="24.95" customHeight="1">
      <c r="B85" s="445"/>
      <c r="C85" s="843">
        <v>66</v>
      </c>
      <c r="D85" s="843"/>
      <c r="E85" s="843"/>
      <c r="F85" s="1116" t="s">
        <v>2449</v>
      </c>
      <c r="G85" s="1117" t="s">
        <v>2449</v>
      </c>
      <c r="H85" s="868" t="s">
        <v>3042</v>
      </c>
      <c r="I85" s="1118" t="s">
        <v>3042</v>
      </c>
      <c r="J85" s="1138" t="s">
        <v>2954</v>
      </c>
      <c r="K85" s="1138" t="s">
        <v>2972</v>
      </c>
      <c r="L85" s="870" t="s">
        <v>2446</v>
      </c>
      <c r="M85" s="868" t="s">
        <v>2309</v>
      </c>
      <c r="N85" s="1118"/>
      <c r="O85" s="1119">
        <v>0.40899999999999997</v>
      </c>
      <c r="P85" s="884">
        <v>0.75</v>
      </c>
      <c r="Q85" s="885"/>
      <c r="R85" s="843">
        <v>1</v>
      </c>
      <c r="S85" s="843">
        <v>0</v>
      </c>
      <c r="T85" s="843">
        <v>1</v>
      </c>
      <c r="U85" s="843">
        <v>0</v>
      </c>
      <c r="V85" s="843">
        <v>0</v>
      </c>
      <c r="W85" s="843">
        <v>1</v>
      </c>
      <c r="X85" s="870" t="s">
        <v>2939</v>
      </c>
      <c r="Y85" s="843" t="str">
        <f>IF(OR(ISNA(MATCH(MID(X85,1,3)*1,UomConversion!$D$8:$D$500,0)),H85=""),"",IF(AV85="","",AV85))</f>
        <v/>
      </c>
      <c r="Z85" s="843" t="str">
        <f>IF(AND(AU85&gt;0,COUNTIFS(UomConversion!$D$8:$D$500,MID(X85,1,3)*1,UomConversion!$J$8:$J$500,1)&gt;1),TEXT(AU85,"000")&amp;"."&amp;VLOOKUP(AU85,uom_list,5,FALSE),"")</f>
        <v/>
      </c>
      <c r="AA85" s="843">
        <f t="shared" si="75"/>
        <v>1</v>
      </c>
      <c r="AB85" s="843" t="str">
        <f t="shared" ref="AB85:AB148" si="79">_xlfn.TEXTJOIN(",",TRUE,AW85:AY85)</f>
        <v>2</v>
      </c>
      <c r="AC85" s="843">
        <f t="shared" ref="AC85" si="80">import_pro_number_of_price_type</f>
        <v>2</v>
      </c>
      <c r="AD85" s="1214">
        <v>0</v>
      </c>
      <c r="AE85" s="1214">
        <v>0.75</v>
      </c>
      <c r="AF85" s="1215"/>
      <c r="AG85" s="1215"/>
      <c r="AH85" s="1215"/>
      <c r="AI85" s="1215"/>
      <c r="AJ85" s="1216"/>
      <c r="AK85" s="1216"/>
      <c r="AL85" s="1216"/>
      <c r="AM85" s="1216"/>
      <c r="AN85" s="1216"/>
      <c r="AO85" s="1216"/>
      <c r="AP85" s="1216"/>
      <c r="AQ85" s="1216"/>
      <c r="AR85" s="1216"/>
      <c r="AS85" s="1216"/>
      <c r="AT85" s="1216"/>
      <c r="AU85" s="1120" cm="1">
        <f t="array" ref="AU85">IF(H85="","",Slookup(MID(X85,1,3)*1,UomConversion!$D$8:$J$500,2,UomConversion!$I$8:$I$500,1,UomConversion!$J$8:$J$500,1))</f>
        <v>0</v>
      </c>
      <c r="AV85" s="401" t="str">
        <f t="shared" si="77"/>
        <v/>
      </c>
      <c r="AW85" s="757">
        <f t="shared" si="78"/>
        <v>2</v>
      </c>
      <c r="AX85" s="757" t="str">
        <f t="shared" si="78"/>
        <v/>
      </c>
      <c r="AY85" s="757" t="str">
        <f t="shared" si="78"/>
        <v/>
      </c>
      <c r="AZ85" s="1209" cm="1">
        <f t="array" ref="AZ85">IF(Y85="",1,Slookup(MID(X85,1,3)*1,UomConversion!$D$8:$J$500,5,UomConversion!$E$8:$E$500,MID(Y85,1,3)*1,UomConversion!$I$8:$I$500,1))</f>
        <v>1</v>
      </c>
      <c r="BA85" s="1209" cm="1">
        <f t="array" ref="BA85">IF(Z85="",1,Slookup(MID(X85,1,3)*1,UomConversion!$D$8:$J$500,5,UomConversion!$E$8:$E$500,MID(Z85,1,3)*1,UomConversion!$I$8:$I$500,1))</f>
        <v>1</v>
      </c>
      <c r="BB85" s="1217">
        <f t="shared" ref="BB85:BB140" si="81">IF(AA85=1,AE85,IF(AA85=2,AE85*R85,IF(AA85=3,AE85*BA85,0)))</f>
        <v>0.75</v>
      </c>
      <c r="BC85" s="1217">
        <f t="shared" ref="BC85:BC148" si="82">P85-O85</f>
        <v>0.34100000000000003</v>
      </c>
      <c r="BD85" s="1217"/>
    </row>
    <row r="86" spans="2:57" s="1120" customFormat="1" ht="24.95" customHeight="1">
      <c r="B86" s="445"/>
      <c r="C86" s="843">
        <v>67</v>
      </c>
      <c r="D86" s="843"/>
      <c r="E86" s="843"/>
      <c r="F86" s="1116" t="s">
        <v>2451</v>
      </c>
      <c r="G86" s="1117" t="s">
        <v>2451</v>
      </c>
      <c r="H86" s="868" t="s">
        <v>3043</v>
      </c>
      <c r="I86" s="1118" t="s">
        <v>3043</v>
      </c>
      <c r="J86" s="1138" t="s">
        <v>2954</v>
      </c>
      <c r="K86" s="1138" t="s">
        <v>2972</v>
      </c>
      <c r="L86" s="870" t="s">
        <v>2370</v>
      </c>
      <c r="M86" s="868" t="s">
        <v>2309</v>
      </c>
      <c r="N86" s="1118"/>
      <c r="O86" s="1119">
        <v>0.75</v>
      </c>
      <c r="P86" s="884">
        <v>1</v>
      </c>
      <c r="Q86" s="885"/>
      <c r="R86" s="843">
        <v>1</v>
      </c>
      <c r="S86" s="843">
        <v>0</v>
      </c>
      <c r="T86" s="843">
        <v>1</v>
      </c>
      <c r="U86" s="843">
        <v>0</v>
      </c>
      <c r="V86" s="843">
        <v>0</v>
      </c>
      <c r="W86" s="843">
        <v>1</v>
      </c>
      <c r="X86" s="870" t="s">
        <v>2939</v>
      </c>
      <c r="Y86" s="843" t="str">
        <f>IF(OR(ISNA(MATCH(MID(X86,1,3)*1,UomConversion!$D$8:$D$500,0)),H86=""),"",IF(AV86="","",AV86))</f>
        <v/>
      </c>
      <c r="Z86" s="843" t="str">
        <f>IF(AND(AU86&gt;0,COUNTIFS(UomConversion!$D$8:$D$500,MID(X86,1,3)*1,UomConversion!$J$8:$J$500,1)&gt;1),TEXT(AU86,"000")&amp;"."&amp;VLOOKUP(AU86,uom_list,5,FALSE),"")</f>
        <v/>
      </c>
      <c r="AA86" s="843">
        <f t="shared" si="75"/>
        <v>1</v>
      </c>
      <c r="AB86" s="843" t="str">
        <f t="shared" si="79"/>
        <v>2</v>
      </c>
      <c r="AC86" s="843">
        <f t="shared" ref="AC86" si="83">import_pro_number_of_price_type</f>
        <v>2</v>
      </c>
      <c r="AD86" s="1214">
        <v>0</v>
      </c>
      <c r="AE86" s="1214">
        <v>1</v>
      </c>
      <c r="AF86" s="1215"/>
      <c r="AG86" s="1215"/>
      <c r="AH86" s="1215"/>
      <c r="AI86" s="1215"/>
      <c r="AJ86" s="1216"/>
      <c r="AK86" s="1216"/>
      <c r="AL86" s="1216"/>
      <c r="AM86" s="1216"/>
      <c r="AN86" s="1216"/>
      <c r="AO86" s="1216"/>
      <c r="AP86" s="1216"/>
      <c r="AQ86" s="1216"/>
      <c r="AR86" s="1216"/>
      <c r="AS86" s="1216"/>
      <c r="AT86" s="1216"/>
      <c r="AU86" s="1120" cm="1">
        <f t="array" ref="AU86">IF(H86="","",Slookup(MID(X86,1,3)*1,UomConversion!$D$8:$J$500,2,UomConversion!$I$8:$I$500,1,UomConversion!$J$8:$J$500,1))</f>
        <v>0</v>
      </c>
      <c r="AV86" s="401" t="str">
        <f t="shared" si="77"/>
        <v/>
      </c>
      <c r="AW86" s="757">
        <f t="shared" si="78"/>
        <v>2</v>
      </c>
      <c r="AX86" s="757" t="str">
        <f t="shared" si="78"/>
        <v/>
      </c>
      <c r="AY86" s="757" t="str">
        <f t="shared" si="78"/>
        <v/>
      </c>
      <c r="AZ86" s="1209" cm="1">
        <f t="array" ref="AZ86">IF(Y86="",1,Slookup(MID(X86,1,3)*1,UomConversion!$D$8:$J$500,5,UomConversion!$E$8:$E$500,MID(Y86,1,3)*1,UomConversion!$I$8:$I$500,1))</f>
        <v>1</v>
      </c>
      <c r="BA86" s="1209" cm="1">
        <f t="array" ref="BA86">IF(Z86="",1,Slookup(MID(X86,1,3)*1,UomConversion!$D$8:$J$500,5,UomConversion!$E$8:$E$500,MID(Z86,1,3)*1,UomConversion!$I$8:$I$500,1))</f>
        <v>1</v>
      </c>
      <c r="BB86" s="1217">
        <f t="shared" si="81"/>
        <v>1</v>
      </c>
      <c r="BC86" s="1217">
        <f t="shared" si="82"/>
        <v>0.25</v>
      </c>
      <c r="BD86" s="1217"/>
    </row>
    <row r="87" spans="2:57" s="1120" customFormat="1" ht="24.95" customHeight="1">
      <c r="B87" s="445"/>
      <c r="C87" s="843">
        <v>68</v>
      </c>
      <c r="D87" s="843"/>
      <c r="E87" s="843"/>
      <c r="F87" s="1116" t="s">
        <v>2454</v>
      </c>
      <c r="G87" s="1117" t="s">
        <v>2454</v>
      </c>
      <c r="H87" s="868" t="s">
        <v>3044</v>
      </c>
      <c r="I87" s="1118" t="s">
        <v>3044</v>
      </c>
      <c r="J87" s="1138" t="s">
        <v>2954</v>
      </c>
      <c r="K87" s="1138" t="s">
        <v>2972</v>
      </c>
      <c r="L87" s="870" t="s">
        <v>2446</v>
      </c>
      <c r="M87" s="868" t="s">
        <v>2309</v>
      </c>
      <c r="N87" s="1118"/>
      <c r="O87" s="1119">
        <v>0.52500000000000002</v>
      </c>
      <c r="P87" s="884">
        <v>0.75</v>
      </c>
      <c r="Q87" s="885"/>
      <c r="R87" s="843">
        <v>1</v>
      </c>
      <c r="S87" s="843">
        <v>0</v>
      </c>
      <c r="T87" s="843">
        <v>1</v>
      </c>
      <c r="U87" s="843">
        <v>0</v>
      </c>
      <c r="V87" s="843">
        <v>0</v>
      </c>
      <c r="W87" s="843">
        <v>1</v>
      </c>
      <c r="X87" s="870" t="s">
        <v>2939</v>
      </c>
      <c r="Y87" s="843" t="str">
        <f>IF(OR(ISNA(MATCH(MID(X87,1,3)*1,UomConversion!$D$8:$D$500,0)),H87=""),"",IF(AV87="","",AV87))</f>
        <v/>
      </c>
      <c r="Z87" s="843" t="str">
        <f>IF(AND(AU87&gt;0,COUNTIFS(UomConversion!$D$8:$D$500,MID(X87,1,3)*1,UomConversion!$J$8:$J$500,1)&gt;1),TEXT(AU87,"000")&amp;"."&amp;VLOOKUP(AU87,uom_list,5,FALSE),"")</f>
        <v/>
      </c>
      <c r="AA87" s="843">
        <f t="shared" si="75"/>
        <v>1</v>
      </c>
      <c r="AB87" s="843" t="str">
        <f t="shared" si="79"/>
        <v>2</v>
      </c>
      <c r="AC87" s="843">
        <f t="shared" ref="AC87" si="84">import_pro_number_of_price_type</f>
        <v>2</v>
      </c>
      <c r="AD87" s="1214">
        <v>0</v>
      </c>
      <c r="AE87" s="1214">
        <v>0.75</v>
      </c>
      <c r="AF87" s="1215"/>
      <c r="AG87" s="1215"/>
      <c r="AH87" s="1215"/>
      <c r="AI87" s="1215"/>
      <c r="AJ87" s="1216"/>
      <c r="AK87" s="1216"/>
      <c r="AL87" s="1216"/>
      <c r="AM87" s="1216"/>
      <c r="AN87" s="1216"/>
      <c r="AO87" s="1216"/>
      <c r="AP87" s="1216"/>
      <c r="AQ87" s="1216"/>
      <c r="AR87" s="1216"/>
      <c r="AS87" s="1216"/>
      <c r="AT87" s="1216"/>
      <c r="AU87" s="1120" cm="1">
        <f t="array" ref="AU87">IF(H87="","",Slookup(MID(X87,1,3)*1,UomConversion!$D$8:$J$500,2,UomConversion!$I$8:$I$500,1,UomConversion!$J$8:$J$500,1))</f>
        <v>0</v>
      </c>
      <c r="AV87" s="401" t="str">
        <f t="shared" si="77"/>
        <v/>
      </c>
      <c r="AW87" s="757">
        <f t="shared" si="78"/>
        <v>2</v>
      </c>
      <c r="AX87" s="757" t="str">
        <f t="shared" si="78"/>
        <v/>
      </c>
      <c r="AY87" s="757" t="str">
        <f t="shared" si="78"/>
        <v/>
      </c>
      <c r="AZ87" s="1209" cm="1">
        <f t="array" ref="AZ87">IF(Y87="",1,Slookup(MID(X87,1,3)*1,UomConversion!$D$8:$J$500,5,UomConversion!$E$8:$E$500,MID(Y87,1,3)*1,UomConversion!$I$8:$I$500,1))</f>
        <v>1</v>
      </c>
      <c r="BA87" s="1209" cm="1">
        <f t="array" ref="BA87">IF(Z87="",1,Slookup(MID(X87,1,3)*1,UomConversion!$D$8:$J$500,5,UomConversion!$E$8:$E$500,MID(Z87,1,3)*1,UomConversion!$I$8:$I$500,1))</f>
        <v>1</v>
      </c>
      <c r="BB87" s="1217">
        <f t="shared" si="81"/>
        <v>0.75</v>
      </c>
      <c r="BC87" s="1217">
        <f t="shared" si="82"/>
        <v>0.22499999999999998</v>
      </c>
      <c r="BD87" s="1217"/>
    </row>
    <row r="88" spans="2:57" s="1120" customFormat="1" ht="24.95" customHeight="1">
      <c r="B88" s="445"/>
      <c r="C88" s="843">
        <v>69</v>
      </c>
      <c r="D88" s="843"/>
      <c r="E88" s="843"/>
      <c r="F88" s="1116" t="s">
        <v>2457</v>
      </c>
      <c r="G88" s="1117" t="s">
        <v>2457</v>
      </c>
      <c r="H88" s="868" t="s">
        <v>3045</v>
      </c>
      <c r="I88" s="1118" t="s">
        <v>3045</v>
      </c>
      <c r="J88" s="1138" t="s">
        <v>2954</v>
      </c>
      <c r="K88" s="1138" t="s">
        <v>2972</v>
      </c>
      <c r="L88" s="870" t="s">
        <v>2453</v>
      </c>
      <c r="M88" s="868" t="s">
        <v>2309</v>
      </c>
      <c r="N88" s="1118"/>
      <c r="O88" s="1119">
        <v>0.25</v>
      </c>
      <c r="P88" s="884">
        <v>0.5</v>
      </c>
      <c r="Q88" s="885"/>
      <c r="R88" s="843">
        <v>1</v>
      </c>
      <c r="S88" s="843">
        <v>0</v>
      </c>
      <c r="T88" s="843">
        <v>1</v>
      </c>
      <c r="U88" s="843">
        <v>0</v>
      </c>
      <c r="V88" s="843">
        <v>0</v>
      </c>
      <c r="W88" s="843">
        <v>1</v>
      </c>
      <c r="X88" s="870" t="s">
        <v>2939</v>
      </c>
      <c r="Y88" s="843" t="str">
        <f>IF(OR(ISNA(MATCH(MID(X88,1,3)*1,UomConversion!$D$8:$D$500,0)),H88=""),"",IF(AV88="","",AV88))</f>
        <v/>
      </c>
      <c r="Z88" s="843" t="str">
        <f>IF(AND(AU88&gt;0,COUNTIFS(UomConversion!$D$8:$D$500,MID(X88,1,3)*1,UomConversion!$J$8:$J$500,1)&gt;1),TEXT(AU88,"000")&amp;"."&amp;VLOOKUP(AU88,uom_list,5,FALSE),"")</f>
        <v/>
      </c>
      <c r="AA88" s="843">
        <f t="shared" si="75"/>
        <v>1</v>
      </c>
      <c r="AB88" s="843" t="str">
        <f t="shared" si="79"/>
        <v>2</v>
      </c>
      <c r="AC88" s="843">
        <f t="shared" ref="AC88" si="85">import_pro_number_of_price_type</f>
        <v>2</v>
      </c>
      <c r="AD88" s="1214">
        <v>0</v>
      </c>
      <c r="AE88" s="1214">
        <v>0.5</v>
      </c>
      <c r="AF88" s="1215"/>
      <c r="AG88" s="1215"/>
      <c r="AH88" s="1215"/>
      <c r="AI88" s="1215"/>
      <c r="AJ88" s="1216"/>
      <c r="AK88" s="1216"/>
      <c r="AL88" s="1216"/>
      <c r="AM88" s="1216"/>
      <c r="AN88" s="1216"/>
      <c r="AO88" s="1216"/>
      <c r="AP88" s="1216"/>
      <c r="AQ88" s="1216"/>
      <c r="AR88" s="1216"/>
      <c r="AS88" s="1216"/>
      <c r="AT88" s="1216"/>
      <c r="AU88" s="1120" cm="1">
        <f t="array" ref="AU88">IF(H88="","",Slookup(MID(X88,1,3)*1,UomConversion!$D$8:$J$500,2,UomConversion!$I$8:$I$500,1,UomConversion!$J$8:$J$500,1))</f>
        <v>0</v>
      </c>
      <c r="AV88" s="401" t="str">
        <f t="shared" si="77"/>
        <v/>
      </c>
      <c r="AW88" s="757">
        <f t="shared" si="78"/>
        <v>2</v>
      </c>
      <c r="AX88" s="757" t="str">
        <f t="shared" si="78"/>
        <v/>
      </c>
      <c r="AY88" s="757" t="str">
        <f t="shared" si="78"/>
        <v/>
      </c>
      <c r="AZ88" s="1209" cm="1">
        <f t="array" ref="AZ88">IF(Y88="",1,Slookup(MID(X88,1,3)*1,UomConversion!$D$8:$J$500,5,UomConversion!$E$8:$E$500,MID(Y88,1,3)*1,UomConversion!$I$8:$I$500,1))</f>
        <v>1</v>
      </c>
      <c r="BA88" s="1209" cm="1">
        <f t="array" ref="BA88">IF(Z88="",1,Slookup(MID(X88,1,3)*1,UomConversion!$D$8:$J$500,5,UomConversion!$E$8:$E$500,MID(Z88,1,3)*1,UomConversion!$I$8:$I$500,1))</f>
        <v>1</v>
      </c>
      <c r="BB88" s="1217">
        <f t="shared" si="81"/>
        <v>0.5</v>
      </c>
      <c r="BC88" s="1217">
        <f t="shared" si="82"/>
        <v>0.25</v>
      </c>
      <c r="BD88" s="1217"/>
    </row>
    <row r="89" spans="2:57" s="1120" customFormat="1" ht="24.95" customHeight="1">
      <c r="B89" s="445"/>
      <c r="C89" s="843">
        <v>70</v>
      </c>
      <c r="D89" s="843"/>
      <c r="E89" s="843"/>
      <c r="F89" s="1116" t="s">
        <v>2460</v>
      </c>
      <c r="G89" s="1117" t="s">
        <v>2460</v>
      </c>
      <c r="H89" s="868" t="s">
        <v>3046</v>
      </c>
      <c r="I89" s="1118" t="s">
        <v>3046</v>
      </c>
      <c r="J89" s="1138" t="s">
        <v>2954</v>
      </c>
      <c r="K89" s="1138" t="s">
        <v>2972</v>
      </c>
      <c r="L89" s="870" t="s">
        <v>2456</v>
      </c>
      <c r="M89" s="868" t="s">
        <v>2309</v>
      </c>
      <c r="N89" s="1118"/>
      <c r="O89" s="1119">
        <v>0.15</v>
      </c>
      <c r="P89" s="884">
        <v>0.25</v>
      </c>
      <c r="Q89" s="885"/>
      <c r="R89" s="843">
        <v>1</v>
      </c>
      <c r="S89" s="843">
        <v>0</v>
      </c>
      <c r="T89" s="843">
        <v>1</v>
      </c>
      <c r="U89" s="843">
        <v>0</v>
      </c>
      <c r="V89" s="843">
        <v>0</v>
      </c>
      <c r="W89" s="843">
        <v>1</v>
      </c>
      <c r="X89" s="870" t="s">
        <v>2939</v>
      </c>
      <c r="Y89" s="843" t="str">
        <f>IF(OR(ISNA(MATCH(MID(X89,1,3)*1,UomConversion!$D$8:$D$500,0)),H89=""),"",IF(AV89="","",AV89))</f>
        <v/>
      </c>
      <c r="Z89" s="843" t="str">
        <f>IF(AND(AU89&gt;0,COUNTIFS(UomConversion!$D$8:$D$500,MID(X89,1,3)*1,UomConversion!$J$8:$J$500,1)&gt;1),TEXT(AU89,"000")&amp;"."&amp;VLOOKUP(AU89,uom_list,5,FALSE),"")</f>
        <v/>
      </c>
      <c r="AA89" s="843">
        <f t="shared" si="75"/>
        <v>1</v>
      </c>
      <c r="AB89" s="843" t="str">
        <f t="shared" si="79"/>
        <v>2</v>
      </c>
      <c r="AC89" s="843">
        <f t="shared" ref="AC89" si="86">import_pro_number_of_price_type</f>
        <v>2</v>
      </c>
      <c r="AD89" s="1214">
        <v>0</v>
      </c>
      <c r="AE89" s="1214">
        <v>0.25</v>
      </c>
      <c r="AF89" s="1215"/>
      <c r="AG89" s="1215"/>
      <c r="AH89" s="1215"/>
      <c r="AI89" s="1215"/>
      <c r="AJ89" s="1216"/>
      <c r="AK89" s="1216"/>
      <c r="AL89" s="1216"/>
      <c r="AM89" s="1216"/>
      <c r="AN89" s="1216"/>
      <c r="AO89" s="1216"/>
      <c r="AP89" s="1216"/>
      <c r="AQ89" s="1216"/>
      <c r="AR89" s="1216"/>
      <c r="AS89" s="1216"/>
      <c r="AT89" s="1216"/>
      <c r="AU89" s="1120" cm="1">
        <f t="array" ref="AU89">IF(H89="","",Slookup(MID(X89,1,3)*1,UomConversion!$D$8:$J$500,2,UomConversion!$I$8:$I$500,1,UomConversion!$J$8:$J$500,1))</f>
        <v>0</v>
      </c>
      <c r="AV89" s="401" t="str">
        <f t="shared" si="77"/>
        <v/>
      </c>
      <c r="AW89" s="757">
        <f t="shared" si="78"/>
        <v>2</v>
      </c>
      <c r="AX89" s="757" t="str">
        <f t="shared" si="78"/>
        <v/>
      </c>
      <c r="AY89" s="757" t="str">
        <f t="shared" si="78"/>
        <v/>
      </c>
      <c r="AZ89" s="1209" cm="1">
        <f t="array" ref="AZ89">IF(Y89="",1,Slookup(MID(X89,1,3)*1,UomConversion!$D$8:$J$500,5,UomConversion!$E$8:$E$500,MID(Y89,1,3)*1,UomConversion!$I$8:$I$500,1))</f>
        <v>1</v>
      </c>
      <c r="BA89" s="1209" cm="1">
        <f t="array" ref="BA89">IF(Z89="",1,Slookup(MID(X89,1,3)*1,UomConversion!$D$8:$J$500,5,UomConversion!$E$8:$E$500,MID(Z89,1,3)*1,UomConversion!$I$8:$I$500,1))</f>
        <v>1</v>
      </c>
      <c r="BB89" s="1217">
        <f t="shared" si="81"/>
        <v>0.25</v>
      </c>
      <c r="BC89" s="1217">
        <f t="shared" si="82"/>
        <v>0.1</v>
      </c>
      <c r="BD89" s="1217"/>
    </row>
    <row r="90" spans="2:57" s="1120" customFormat="1" ht="24.95" customHeight="1">
      <c r="B90" s="445"/>
      <c r="C90" s="843">
        <v>71</v>
      </c>
      <c r="D90" s="843"/>
      <c r="E90" s="843"/>
      <c r="F90" s="1116" t="s">
        <v>2462</v>
      </c>
      <c r="G90" s="1117" t="s">
        <v>2462</v>
      </c>
      <c r="H90" s="868" t="s">
        <v>3047</v>
      </c>
      <c r="I90" s="1118" t="s">
        <v>3047</v>
      </c>
      <c r="J90" s="1138" t="s">
        <v>2954</v>
      </c>
      <c r="K90" s="1138" t="s">
        <v>2972</v>
      </c>
      <c r="L90" s="870" t="s">
        <v>2459</v>
      </c>
      <c r="M90" s="868" t="s">
        <v>2309</v>
      </c>
      <c r="N90" s="1118"/>
      <c r="O90" s="1119">
        <v>0.11</v>
      </c>
      <c r="P90" s="884">
        <v>0.2</v>
      </c>
      <c r="Q90" s="885"/>
      <c r="R90" s="843">
        <v>1</v>
      </c>
      <c r="S90" s="843">
        <v>0</v>
      </c>
      <c r="T90" s="843">
        <v>1</v>
      </c>
      <c r="U90" s="843">
        <v>0</v>
      </c>
      <c r="V90" s="843">
        <v>0</v>
      </c>
      <c r="W90" s="843">
        <v>1</v>
      </c>
      <c r="X90" s="870" t="s">
        <v>2939</v>
      </c>
      <c r="Y90" s="843" t="str">
        <f>IF(OR(ISNA(MATCH(MID(X90,1,3)*1,UomConversion!$D$8:$D$500,0)),H90=""),"",IF(AV90="","",AV90))</f>
        <v/>
      </c>
      <c r="Z90" s="843" t="str">
        <f>IF(AND(AU90&gt;0,COUNTIFS(UomConversion!$D$8:$D$500,MID(X90,1,3)*1,UomConversion!$J$8:$J$500,1)&gt;1),TEXT(AU90,"000")&amp;"."&amp;VLOOKUP(AU90,uom_list,5,FALSE),"")</f>
        <v/>
      </c>
      <c r="AA90" s="843">
        <f t="shared" si="75"/>
        <v>1</v>
      </c>
      <c r="AB90" s="843" t="str">
        <f t="shared" si="79"/>
        <v>2</v>
      </c>
      <c r="AC90" s="843">
        <f t="shared" ref="AC90" si="87">import_pro_number_of_price_type</f>
        <v>2</v>
      </c>
      <c r="AD90" s="1214">
        <v>0</v>
      </c>
      <c r="AE90" s="1214">
        <v>0.2</v>
      </c>
      <c r="AF90" s="1215"/>
      <c r="AG90" s="1215"/>
      <c r="AH90" s="1215"/>
      <c r="AI90" s="1215"/>
      <c r="AJ90" s="1216"/>
      <c r="AK90" s="1216"/>
      <c r="AL90" s="1216"/>
      <c r="AM90" s="1216"/>
      <c r="AN90" s="1216"/>
      <c r="AO90" s="1216"/>
      <c r="AP90" s="1216"/>
      <c r="AQ90" s="1216"/>
      <c r="AR90" s="1216"/>
      <c r="AS90" s="1216"/>
      <c r="AT90" s="1216"/>
      <c r="AU90" s="1120" cm="1">
        <f t="array" ref="AU90">IF(H90="","",Slookup(MID(X90,1,3)*1,UomConversion!$D$8:$J$500,2,UomConversion!$I$8:$I$500,1,UomConversion!$J$8:$J$500,1))</f>
        <v>0</v>
      </c>
      <c r="AV90" s="401" t="str">
        <f t="shared" si="77"/>
        <v/>
      </c>
      <c r="AW90" s="757">
        <f t="shared" si="78"/>
        <v>2</v>
      </c>
      <c r="AX90" s="757" t="str">
        <f t="shared" si="78"/>
        <v/>
      </c>
      <c r="AY90" s="757" t="str">
        <f t="shared" si="78"/>
        <v/>
      </c>
      <c r="AZ90" s="1209" cm="1">
        <f t="array" ref="AZ90">IF(Y90="",1,Slookup(MID(X90,1,3)*1,UomConversion!$D$8:$J$500,5,UomConversion!$E$8:$E$500,MID(Y90,1,3)*1,UomConversion!$I$8:$I$500,1))</f>
        <v>1</v>
      </c>
      <c r="BA90" s="1209" cm="1">
        <f t="array" ref="BA90">IF(Z90="",1,Slookup(MID(X90,1,3)*1,UomConversion!$D$8:$J$500,5,UomConversion!$E$8:$E$500,MID(Z90,1,3)*1,UomConversion!$I$8:$I$500,1))</f>
        <v>1</v>
      </c>
      <c r="BB90" s="1217">
        <f t="shared" si="81"/>
        <v>0.2</v>
      </c>
      <c r="BC90" s="1217">
        <f t="shared" si="82"/>
        <v>9.0000000000000011E-2</v>
      </c>
      <c r="BD90" s="1217"/>
    </row>
    <row r="91" spans="2:57" s="1120" customFormat="1" ht="24.95" customHeight="1">
      <c r="B91" s="445"/>
      <c r="C91" s="843">
        <v>72</v>
      </c>
      <c r="D91" s="843"/>
      <c r="E91" s="843"/>
      <c r="F91" s="1116" t="s">
        <v>2464</v>
      </c>
      <c r="G91" s="1117" t="s">
        <v>2464</v>
      </c>
      <c r="H91" s="868" t="s">
        <v>3048</v>
      </c>
      <c r="I91" s="1118" t="s">
        <v>3048</v>
      </c>
      <c r="J91" s="1138" t="s">
        <v>2954</v>
      </c>
      <c r="K91" s="1138" t="s">
        <v>2972</v>
      </c>
      <c r="L91" s="870" t="s">
        <v>2361</v>
      </c>
      <c r="M91" s="868" t="s">
        <v>2309</v>
      </c>
      <c r="N91" s="1118"/>
      <c r="O91" s="1119">
        <v>2.4500000000000002</v>
      </c>
      <c r="P91" s="884">
        <v>2.8</v>
      </c>
      <c r="Q91" s="885"/>
      <c r="R91" s="843">
        <v>1</v>
      </c>
      <c r="S91" s="843">
        <v>0</v>
      </c>
      <c r="T91" s="843">
        <v>1</v>
      </c>
      <c r="U91" s="843">
        <v>0</v>
      </c>
      <c r="V91" s="843">
        <v>0</v>
      </c>
      <c r="W91" s="843">
        <v>1</v>
      </c>
      <c r="X91" s="870" t="s">
        <v>2939</v>
      </c>
      <c r="Y91" s="843" t="str">
        <f>IF(OR(ISNA(MATCH(MID(X91,1,3)*1,UomConversion!$D$8:$D$500,0)),H91=""),"",IF(AV91="","",AV91))</f>
        <v/>
      </c>
      <c r="Z91" s="843" t="str">
        <f>IF(AND(AU91&gt;0,COUNTIFS(UomConversion!$D$8:$D$500,MID(X91,1,3)*1,UomConversion!$J$8:$J$500,1)&gt;1),TEXT(AU91,"000")&amp;"."&amp;VLOOKUP(AU91,uom_list,5,FALSE),"")</f>
        <v/>
      </c>
      <c r="AA91" s="843">
        <f t="shared" si="75"/>
        <v>1</v>
      </c>
      <c r="AB91" s="843" t="str">
        <f t="shared" si="79"/>
        <v>2</v>
      </c>
      <c r="AC91" s="843">
        <f t="shared" ref="AC91" si="88">import_pro_number_of_price_type</f>
        <v>2</v>
      </c>
      <c r="AD91" s="1214">
        <v>0</v>
      </c>
      <c r="AE91" s="1214">
        <v>2.8</v>
      </c>
      <c r="AF91" s="1215"/>
      <c r="AG91" s="1215"/>
      <c r="AH91" s="1215"/>
      <c r="AI91" s="1215"/>
      <c r="AJ91" s="1216"/>
      <c r="AK91" s="1216"/>
      <c r="AL91" s="1216"/>
      <c r="AM91" s="1216"/>
      <c r="AN91" s="1216"/>
      <c r="AO91" s="1216"/>
      <c r="AP91" s="1216"/>
      <c r="AQ91" s="1216"/>
      <c r="AR91" s="1216"/>
      <c r="AS91" s="1216"/>
      <c r="AT91" s="1216"/>
      <c r="AU91" s="1120" cm="1">
        <f t="array" ref="AU91">IF(H91="","",Slookup(MID(X91,1,3)*1,UomConversion!$D$8:$J$500,2,UomConversion!$I$8:$I$500,1,UomConversion!$J$8:$J$500,1))</f>
        <v>0</v>
      </c>
      <c r="AV91" s="401" t="str">
        <f t="shared" si="77"/>
        <v/>
      </c>
      <c r="AW91" s="757">
        <f t="shared" si="78"/>
        <v>2</v>
      </c>
      <c r="AX91" s="757" t="str">
        <f t="shared" si="78"/>
        <v/>
      </c>
      <c r="AY91" s="757" t="str">
        <f t="shared" si="78"/>
        <v/>
      </c>
      <c r="AZ91" s="1209" cm="1">
        <f t="array" ref="AZ91">IF(Y91="",1,Slookup(MID(X91,1,3)*1,UomConversion!$D$8:$J$500,5,UomConversion!$E$8:$E$500,MID(Y91,1,3)*1,UomConversion!$I$8:$I$500,1))</f>
        <v>1</v>
      </c>
      <c r="BA91" s="1209" cm="1">
        <f t="array" ref="BA91">IF(Z91="",1,Slookup(MID(X91,1,3)*1,UomConversion!$D$8:$J$500,5,UomConversion!$E$8:$E$500,MID(Z91,1,3)*1,UomConversion!$I$8:$I$500,1))</f>
        <v>1</v>
      </c>
      <c r="BB91" s="1217">
        <f t="shared" si="81"/>
        <v>2.8</v>
      </c>
      <c r="BC91" s="1217">
        <f t="shared" si="82"/>
        <v>0.34999999999999964</v>
      </c>
      <c r="BD91" s="1217"/>
    </row>
    <row r="92" spans="2:57" s="1120" customFormat="1" ht="24.95" customHeight="1">
      <c r="B92" s="445"/>
      <c r="C92" s="843">
        <v>73</v>
      </c>
      <c r="D92" s="843"/>
      <c r="E92" s="843"/>
      <c r="F92" s="1116" t="s">
        <v>2466</v>
      </c>
      <c r="G92" s="1117" t="s">
        <v>2466</v>
      </c>
      <c r="H92" s="868" t="s">
        <v>3049</v>
      </c>
      <c r="I92" s="1118" t="s">
        <v>3049</v>
      </c>
      <c r="J92" s="1138" t="s">
        <v>2954</v>
      </c>
      <c r="K92" s="1138" t="s">
        <v>2972</v>
      </c>
      <c r="L92" s="870" t="s">
        <v>2456</v>
      </c>
      <c r="M92" s="868" t="s">
        <v>2309</v>
      </c>
      <c r="N92" s="1118"/>
      <c r="O92" s="1119">
        <v>0.34</v>
      </c>
      <c r="P92" s="884">
        <v>0.5</v>
      </c>
      <c r="Q92" s="885"/>
      <c r="R92" s="843">
        <v>1</v>
      </c>
      <c r="S92" s="843">
        <v>0</v>
      </c>
      <c r="T92" s="843">
        <v>1</v>
      </c>
      <c r="U92" s="843">
        <v>0</v>
      </c>
      <c r="V92" s="843">
        <v>0</v>
      </c>
      <c r="W92" s="843">
        <v>1</v>
      </c>
      <c r="X92" s="870" t="s">
        <v>2939</v>
      </c>
      <c r="Y92" s="843" t="str">
        <f>IF(OR(ISNA(MATCH(MID(X92,1,3)*1,UomConversion!$D$8:$D$500,0)),H92=""),"",IF(AV92="","",AV92))</f>
        <v/>
      </c>
      <c r="Z92" s="843" t="str">
        <f>IF(AND(AU92&gt;0,COUNTIFS(UomConversion!$D$8:$D$500,MID(X92,1,3)*1,UomConversion!$J$8:$J$500,1)&gt;1),TEXT(AU92,"000")&amp;"."&amp;VLOOKUP(AU92,uom_list,5,FALSE),"")</f>
        <v/>
      </c>
      <c r="AA92" s="843">
        <f t="shared" si="75"/>
        <v>1</v>
      </c>
      <c r="AB92" s="843" t="str">
        <f t="shared" si="79"/>
        <v>2</v>
      </c>
      <c r="AC92" s="843">
        <f t="shared" ref="AC92" si="89">import_pro_number_of_price_type</f>
        <v>2</v>
      </c>
      <c r="AD92" s="1214">
        <v>0</v>
      </c>
      <c r="AE92" s="1214">
        <v>0.5</v>
      </c>
      <c r="AF92" s="1215"/>
      <c r="AG92" s="1215"/>
      <c r="AH92" s="1215"/>
      <c r="AI92" s="1215"/>
      <c r="AJ92" s="1216"/>
      <c r="AK92" s="1216"/>
      <c r="AL92" s="1216"/>
      <c r="AM92" s="1216"/>
      <c r="AN92" s="1216"/>
      <c r="AO92" s="1216"/>
      <c r="AP92" s="1216"/>
      <c r="AQ92" s="1216"/>
      <c r="AR92" s="1216"/>
      <c r="AS92" s="1216"/>
      <c r="AT92" s="1216"/>
      <c r="AU92" s="1120" cm="1">
        <f t="array" ref="AU92">IF(H92="","",Slookup(MID(X92,1,3)*1,UomConversion!$D$8:$J$500,2,UomConversion!$I$8:$I$500,1,UomConversion!$J$8:$J$500,1))</f>
        <v>0</v>
      </c>
      <c r="AV92" s="401" t="str">
        <f t="shared" si="77"/>
        <v/>
      </c>
      <c r="AW92" s="757">
        <f t="shared" si="78"/>
        <v>2</v>
      </c>
      <c r="AX92" s="757" t="str">
        <f t="shared" si="78"/>
        <v/>
      </c>
      <c r="AY92" s="757" t="str">
        <f t="shared" si="78"/>
        <v/>
      </c>
      <c r="AZ92" s="1209" cm="1">
        <f t="array" ref="AZ92">IF(Y92="",1,Slookup(MID(X92,1,3)*1,UomConversion!$D$8:$J$500,5,UomConversion!$E$8:$E$500,MID(Y92,1,3)*1,UomConversion!$I$8:$I$500,1))</f>
        <v>1</v>
      </c>
      <c r="BA92" s="1209" cm="1">
        <f t="array" ref="BA92">IF(Z92="",1,Slookup(MID(X92,1,3)*1,UomConversion!$D$8:$J$500,5,UomConversion!$E$8:$E$500,MID(Z92,1,3)*1,UomConversion!$I$8:$I$500,1))</f>
        <v>1</v>
      </c>
      <c r="BB92" s="1217">
        <f t="shared" si="81"/>
        <v>0.5</v>
      </c>
      <c r="BC92" s="1217">
        <f t="shared" si="82"/>
        <v>0.15999999999999998</v>
      </c>
      <c r="BD92" s="1217"/>
    </row>
    <row r="93" spans="2:57" s="1120" customFormat="1" ht="24.95" customHeight="1">
      <c r="B93" s="445"/>
      <c r="C93" s="843">
        <v>74</v>
      </c>
      <c r="D93" s="843"/>
      <c r="E93" s="843"/>
      <c r="F93" s="1116" t="s">
        <v>2468</v>
      </c>
      <c r="G93" s="1117" t="s">
        <v>2468</v>
      </c>
      <c r="H93" s="868" t="s">
        <v>3050</v>
      </c>
      <c r="I93" s="1118" t="s">
        <v>3050</v>
      </c>
      <c r="J93" s="1138" t="s">
        <v>2954</v>
      </c>
      <c r="K93" s="1138" t="s">
        <v>2972</v>
      </c>
      <c r="L93" s="870" t="s">
        <v>2456</v>
      </c>
      <c r="M93" s="868" t="s">
        <v>2309</v>
      </c>
      <c r="N93" s="1118"/>
      <c r="O93" s="1119">
        <v>0.187</v>
      </c>
      <c r="P93" s="884">
        <v>0.25</v>
      </c>
      <c r="Q93" s="885"/>
      <c r="R93" s="843">
        <v>1</v>
      </c>
      <c r="S93" s="843">
        <v>0</v>
      </c>
      <c r="T93" s="843">
        <v>1</v>
      </c>
      <c r="U93" s="843">
        <v>0</v>
      </c>
      <c r="V93" s="843">
        <v>0</v>
      </c>
      <c r="W93" s="843">
        <v>1</v>
      </c>
      <c r="X93" s="870" t="s">
        <v>2939</v>
      </c>
      <c r="Y93" s="843" t="str">
        <f>IF(OR(ISNA(MATCH(MID(X93,1,3)*1,UomConversion!$D$8:$D$500,0)),H93=""),"",IF(AV93="","",AV93))</f>
        <v/>
      </c>
      <c r="Z93" s="843" t="str">
        <f>IF(AND(AU93&gt;0,COUNTIFS(UomConversion!$D$8:$D$500,MID(X93,1,3)*1,UomConversion!$J$8:$J$500,1)&gt;1),TEXT(AU93,"000")&amp;"."&amp;VLOOKUP(AU93,uom_list,5,FALSE),"")</f>
        <v/>
      </c>
      <c r="AA93" s="843">
        <f t="shared" si="75"/>
        <v>1</v>
      </c>
      <c r="AB93" s="843" t="str">
        <f t="shared" si="79"/>
        <v>2</v>
      </c>
      <c r="AC93" s="843">
        <f t="shared" ref="AC93" si="90">import_pro_number_of_price_type</f>
        <v>2</v>
      </c>
      <c r="AD93" s="1214">
        <v>0</v>
      </c>
      <c r="AE93" s="1214">
        <v>0.25</v>
      </c>
      <c r="AF93" s="1215"/>
      <c r="AG93" s="1215"/>
      <c r="AH93" s="1215"/>
      <c r="AI93" s="1215"/>
      <c r="AJ93" s="1216"/>
      <c r="AK93" s="1216"/>
      <c r="AL93" s="1216"/>
      <c r="AM93" s="1216"/>
      <c r="AN93" s="1216"/>
      <c r="AO93" s="1216"/>
      <c r="AP93" s="1216"/>
      <c r="AQ93" s="1216"/>
      <c r="AR93" s="1216"/>
      <c r="AS93" s="1216"/>
      <c r="AT93" s="1216"/>
      <c r="AU93" s="1120" cm="1">
        <f t="array" ref="AU93">IF(H93="","",Slookup(MID(X93,1,3)*1,UomConversion!$D$8:$J$500,2,UomConversion!$I$8:$I$500,1,UomConversion!$J$8:$J$500,1))</f>
        <v>0</v>
      </c>
      <c r="AV93" s="401" t="str">
        <f t="shared" si="77"/>
        <v/>
      </c>
      <c r="AW93" s="757">
        <f t="shared" si="78"/>
        <v>2</v>
      </c>
      <c r="AX93" s="757" t="str">
        <f t="shared" si="78"/>
        <v/>
      </c>
      <c r="AY93" s="757" t="str">
        <f t="shared" si="78"/>
        <v/>
      </c>
      <c r="AZ93" s="1209" cm="1">
        <f t="array" ref="AZ93">IF(Y93="",1,Slookup(MID(X93,1,3)*1,UomConversion!$D$8:$J$500,5,UomConversion!$E$8:$E$500,MID(Y93,1,3)*1,UomConversion!$I$8:$I$500,1))</f>
        <v>1</v>
      </c>
      <c r="BA93" s="1209" cm="1">
        <f t="array" ref="BA93">IF(Z93="",1,Slookup(MID(X93,1,3)*1,UomConversion!$D$8:$J$500,5,UomConversion!$E$8:$E$500,MID(Z93,1,3)*1,UomConversion!$I$8:$I$500,1))</f>
        <v>1</v>
      </c>
      <c r="BB93" s="1217">
        <f t="shared" si="81"/>
        <v>0.25</v>
      </c>
      <c r="BC93" s="1217">
        <f t="shared" si="82"/>
        <v>6.3E-2</v>
      </c>
      <c r="BD93" s="1217"/>
    </row>
    <row r="94" spans="2:57" s="1120" customFormat="1" ht="24.95" customHeight="1">
      <c r="B94" s="445"/>
      <c r="C94" s="843">
        <v>75</v>
      </c>
      <c r="D94" s="843"/>
      <c r="E94" s="843"/>
      <c r="F94" s="1116" t="s">
        <v>2470</v>
      </c>
      <c r="G94" s="1117" t="s">
        <v>2470</v>
      </c>
      <c r="H94" s="868" t="s">
        <v>3051</v>
      </c>
      <c r="I94" s="1118" t="s">
        <v>3051</v>
      </c>
      <c r="J94" s="1138" t="s">
        <v>2954</v>
      </c>
      <c r="K94" s="1138" t="s">
        <v>2972</v>
      </c>
      <c r="L94" s="870" t="s">
        <v>2459</v>
      </c>
      <c r="M94" s="868" t="s">
        <v>2309</v>
      </c>
      <c r="N94" s="1118"/>
      <c r="O94" s="1119">
        <v>0.128</v>
      </c>
      <c r="P94" s="884">
        <v>0.2</v>
      </c>
      <c r="Q94" s="885"/>
      <c r="R94" s="843">
        <v>1</v>
      </c>
      <c r="S94" s="843">
        <v>0</v>
      </c>
      <c r="T94" s="843">
        <v>1</v>
      </c>
      <c r="U94" s="843">
        <v>0</v>
      </c>
      <c r="V94" s="843">
        <v>0</v>
      </c>
      <c r="W94" s="843">
        <v>1</v>
      </c>
      <c r="X94" s="870" t="s">
        <v>2939</v>
      </c>
      <c r="Y94" s="843" t="str">
        <f>IF(OR(ISNA(MATCH(MID(X94,1,3)*1,UomConversion!$D$8:$D$500,0)),H94=""),"",IF(AV94="","",AV94))</f>
        <v/>
      </c>
      <c r="Z94" s="843" t="str">
        <f>IF(AND(AU94&gt;0,COUNTIFS(UomConversion!$D$8:$D$500,MID(X94,1,3)*1,UomConversion!$J$8:$J$500,1)&gt;1),TEXT(AU94,"000")&amp;"."&amp;VLOOKUP(AU94,uom_list,5,FALSE),"")</f>
        <v/>
      </c>
      <c r="AA94" s="843">
        <f t="shared" si="75"/>
        <v>1</v>
      </c>
      <c r="AB94" s="843" t="str">
        <f t="shared" si="79"/>
        <v>2</v>
      </c>
      <c r="AC94" s="843">
        <f t="shared" ref="AC94" si="91">import_pro_number_of_price_type</f>
        <v>2</v>
      </c>
      <c r="AD94" s="1214">
        <v>0</v>
      </c>
      <c r="AE94" s="1214">
        <v>0.2</v>
      </c>
      <c r="AF94" s="1215"/>
      <c r="AG94" s="1215"/>
      <c r="AH94" s="1215"/>
      <c r="AI94" s="1215"/>
      <c r="AJ94" s="1216"/>
      <c r="AK94" s="1216"/>
      <c r="AL94" s="1216"/>
      <c r="AM94" s="1216"/>
      <c r="AN94" s="1216"/>
      <c r="AO94" s="1216"/>
      <c r="AP94" s="1216"/>
      <c r="AQ94" s="1216"/>
      <c r="AR94" s="1216"/>
      <c r="AS94" s="1216"/>
      <c r="AT94" s="1216"/>
      <c r="AU94" s="1120" cm="1">
        <f t="array" ref="AU94">IF(H94="","",Slookup(MID(X94,1,3)*1,UomConversion!$D$8:$J$500,2,UomConversion!$I$8:$I$500,1,UomConversion!$J$8:$J$500,1))</f>
        <v>0</v>
      </c>
      <c r="AV94" s="401" t="str">
        <f t="shared" si="77"/>
        <v/>
      </c>
      <c r="AW94" s="757">
        <f t="shared" si="78"/>
        <v>2</v>
      </c>
      <c r="AX94" s="757" t="str">
        <f t="shared" si="78"/>
        <v/>
      </c>
      <c r="AY94" s="757" t="str">
        <f t="shared" si="78"/>
        <v/>
      </c>
      <c r="AZ94" s="1209" cm="1">
        <f t="array" ref="AZ94">IF(Y94="",1,Slookup(MID(X94,1,3)*1,UomConversion!$D$8:$J$500,5,UomConversion!$E$8:$E$500,MID(Y94,1,3)*1,UomConversion!$I$8:$I$500,1))</f>
        <v>1</v>
      </c>
      <c r="BA94" s="1209" cm="1">
        <f t="array" ref="BA94">IF(Z94="",1,Slookup(MID(X94,1,3)*1,UomConversion!$D$8:$J$500,5,UomConversion!$E$8:$E$500,MID(Z94,1,3)*1,UomConversion!$I$8:$I$500,1))</f>
        <v>1</v>
      </c>
      <c r="BB94" s="1217">
        <f t="shared" si="81"/>
        <v>0.2</v>
      </c>
      <c r="BC94" s="1217">
        <f t="shared" si="82"/>
        <v>7.2000000000000008E-2</v>
      </c>
      <c r="BD94" s="1217"/>
    </row>
    <row r="95" spans="2:57" s="1120" customFormat="1" ht="24.95" customHeight="1">
      <c r="B95" s="445"/>
      <c r="C95" s="843">
        <v>76</v>
      </c>
      <c r="D95" s="843"/>
      <c r="E95" s="843"/>
      <c r="F95" s="1116" t="s">
        <v>2471</v>
      </c>
      <c r="G95" s="1117" t="s">
        <v>2471</v>
      </c>
      <c r="H95" s="868" t="s">
        <v>3052</v>
      </c>
      <c r="I95" s="1118" t="s">
        <v>3052</v>
      </c>
      <c r="J95" s="1138" t="s">
        <v>2955</v>
      </c>
      <c r="K95" s="1138" t="s">
        <v>2972</v>
      </c>
      <c r="L95" s="870" t="s">
        <v>2760</v>
      </c>
      <c r="M95" s="868"/>
      <c r="N95" s="1118"/>
      <c r="O95" s="1119">
        <v>1.35</v>
      </c>
      <c r="P95" s="884">
        <v>1.75</v>
      </c>
      <c r="Q95" s="885"/>
      <c r="R95" s="843">
        <v>1</v>
      </c>
      <c r="S95" s="843">
        <v>0</v>
      </c>
      <c r="T95" s="843">
        <v>1</v>
      </c>
      <c r="U95" s="843">
        <v>0</v>
      </c>
      <c r="V95" s="843">
        <v>0</v>
      </c>
      <c r="W95" s="843">
        <v>1</v>
      </c>
      <c r="X95" s="870" t="s">
        <v>2912</v>
      </c>
      <c r="Y95" s="843" t="str">
        <f>IF(OR(ISNA(MATCH(MID(X95,1,3)*1,UomConversion!$D$8:$D$500,0)),H95=""),"",IF(AV95="","",AV95))</f>
        <v/>
      </c>
      <c r="Z95" s="843" t="str">
        <f>IF(AND(AU95&gt;0,COUNTIFS(UomConversion!$D$8:$D$500,MID(X95,1,3)*1,UomConversion!$J$8:$J$500,1)&gt;1),TEXT(AU95,"000")&amp;"."&amp;VLOOKUP(AU95,uom_list,5,FALSE),"")</f>
        <v/>
      </c>
      <c r="AA95" s="843">
        <f t="shared" si="75"/>
        <v>1</v>
      </c>
      <c r="AB95" s="843" t="str">
        <f t="shared" si="79"/>
        <v>52</v>
      </c>
      <c r="AC95" s="843">
        <f t="shared" ref="AC95" si="92">import_pro_number_of_price_type</f>
        <v>2</v>
      </c>
      <c r="AD95" s="1214">
        <v>0</v>
      </c>
      <c r="AE95" s="1214">
        <v>1.75</v>
      </c>
      <c r="AF95" s="1215"/>
      <c r="AG95" s="1215"/>
      <c r="AH95" s="1215"/>
      <c r="AI95" s="1215"/>
      <c r="AJ95" s="1216"/>
      <c r="AK95" s="1216"/>
      <c r="AL95" s="1216"/>
      <c r="AM95" s="1216"/>
      <c r="AN95" s="1216"/>
      <c r="AO95" s="1216"/>
      <c r="AP95" s="1216"/>
      <c r="AQ95" s="1216"/>
      <c r="AR95" s="1216"/>
      <c r="AS95" s="1216"/>
      <c r="AT95" s="1216"/>
      <c r="AU95" s="1120" cm="1">
        <f t="array" ref="AU95">IF(H95="","",Slookup(MID(X95,1,3)*1,UomConversion!$D$8:$J$500,2,UomConversion!$I$8:$I$500,1,UomConversion!$J$8:$J$500,1))</f>
        <v>0</v>
      </c>
      <c r="AV95" s="401" t="str">
        <f t="shared" si="77"/>
        <v/>
      </c>
      <c r="AW95" s="757">
        <f t="shared" si="78"/>
        <v>52</v>
      </c>
      <c r="AX95" s="757" t="str">
        <f t="shared" si="78"/>
        <v/>
      </c>
      <c r="AY95" s="757" t="str">
        <f t="shared" si="78"/>
        <v/>
      </c>
      <c r="AZ95" s="1209" cm="1">
        <f t="array" ref="AZ95">IF(Y95="",1,Slookup(MID(X95,1,3)*1,UomConversion!$D$8:$J$500,5,UomConversion!$E$8:$E$500,MID(Y95,1,3)*1,UomConversion!$I$8:$I$500,1))</f>
        <v>1</v>
      </c>
      <c r="BA95" s="1209" cm="1">
        <f t="array" ref="BA95">IF(Z95="",1,Slookup(MID(X95,1,3)*1,UomConversion!$D$8:$J$500,5,UomConversion!$E$8:$E$500,MID(Z95,1,3)*1,UomConversion!$I$8:$I$500,1))</f>
        <v>1</v>
      </c>
      <c r="BB95" s="1217">
        <f t="shared" si="81"/>
        <v>1.75</v>
      </c>
      <c r="BC95" s="1217">
        <f t="shared" si="82"/>
        <v>0.39999999999999991</v>
      </c>
      <c r="BD95" s="1217"/>
    </row>
    <row r="96" spans="2:57" s="1120" customFormat="1" ht="24.95" customHeight="1">
      <c r="B96" s="445"/>
      <c r="C96" s="843">
        <v>77</v>
      </c>
      <c r="D96" s="843"/>
      <c r="E96" s="843"/>
      <c r="F96" s="1116" t="s">
        <v>2472</v>
      </c>
      <c r="G96" s="1117" t="s">
        <v>2472</v>
      </c>
      <c r="H96" s="868" t="s">
        <v>3053</v>
      </c>
      <c r="I96" s="1118" t="s">
        <v>3053</v>
      </c>
      <c r="J96" s="1138" t="s">
        <v>2955</v>
      </c>
      <c r="K96" s="1138" t="s">
        <v>2972</v>
      </c>
      <c r="L96" s="870" t="s">
        <v>2728</v>
      </c>
      <c r="M96" s="868"/>
      <c r="N96" s="1118"/>
      <c r="O96" s="1119">
        <v>8.8000000000000007</v>
      </c>
      <c r="P96" s="884">
        <v>9.5</v>
      </c>
      <c r="Q96" s="885"/>
      <c r="R96" s="843">
        <v>50</v>
      </c>
      <c r="S96" s="843">
        <v>0</v>
      </c>
      <c r="T96" s="843">
        <v>1</v>
      </c>
      <c r="U96" s="843">
        <v>0</v>
      </c>
      <c r="V96" s="843">
        <v>0</v>
      </c>
      <c r="W96" s="843">
        <v>1</v>
      </c>
      <c r="X96" s="870" t="s">
        <v>2913</v>
      </c>
      <c r="Y96" s="843" t="str">
        <f>IF(OR(ISNA(MATCH(MID(X96,1,3)*1,UomConversion!$D$8:$D$500,0)),H96=""),"",IF(AV96="","",AV96))</f>
        <v>016.m</v>
      </c>
      <c r="Z96" s="843" t="str">
        <f>IF(AND(AU96&gt;0,COUNTIFS(UomConversion!$D$8:$D$500,MID(X96,1,3)*1,UomConversion!$J$8:$J$500,1)&gt;1),TEXT(AU96,"000")&amp;"."&amp;VLOOKUP(AU96,uom_list,5,FALSE),"")</f>
        <v/>
      </c>
      <c r="AA96" s="843">
        <f t="shared" si="75"/>
        <v>2</v>
      </c>
      <c r="AB96" s="843" t="str">
        <f t="shared" si="79"/>
        <v>45,16</v>
      </c>
      <c r="AC96" s="843">
        <f t="shared" ref="AC96" si="93">import_pro_number_of_price_type</f>
        <v>2</v>
      </c>
      <c r="AD96" s="1219">
        <v>0</v>
      </c>
      <c r="AE96" s="1219">
        <v>0.19</v>
      </c>
      <c r="AF96" s="1215"/>
      <c r="AG96" s="1215"/>
      <c r="AH96" s="1215"/>
      <c r="AI96" s="1215"/>
      <c r="AJ96" s="1216"/>
      <c r="AK96" s="1216"/>
      <c r="AL96" s="1216"/>
      <c r="AM96" s="1216"/>
      <c r="AN96" s="1216"/>
      <c r="AO96" s="1216"/>
      <c r="AP96" s="1216"/>
      <c r="AQ96" s="1216"/>
      <c r="AR96" s="1216"/>
      <c r="AS96" s="1216"/>
      <c r="AT96" s="1216"/>
      <c r="AU96" s="1120" cm="1">
        <f t="array" ref="AU96">IF(H96="","",Slookup(MID(X96,1,3)*1,UomConversion!$D$8:$J$500,2,UomConversion!$I$8:$I$500,1,UomConversion!$J$8:$J$500,1))</f>
        <v>16</v>
      </c>
      <c r="AV96" s="401" t="str">
        <f t="shared" si="77"/>
        <v>016.m</v>
      </c>
      <c r="AW96" s="757">
        <f t="shared" si="78"/>
        <v>45</v>
      </c>
      <c r="AX96" s="757">
        <f t="shared" si="78"/>
        <v>16</v>
      </c>
      <c r="AY96" s="757" t="str">
        <f t="shared" si="78"/>
        <v/>
      </c>
      <c r="AZ96" s="1209" cm="1">
        <f t="array" ref="AZ96">IF(Y96="",1,Slookup(MID(X96,1,3)*1,UomConversion!$D$8:$J$500,5,UomConversion!$E$8:$E$500,MID(Y96,1,3)*1,UomConversion!$I$8:$I$500,1))</f>
        <v>50</v>
      </c>
      <c r="BA96" s="1209" cm="1">
        <f t="array" ref="BA96">IF(Z96="",1,Slookup(MID(X96,1,3)*1,UomConversion!$D$8:$J$500,5,UomConversion!$E$8:$E$500,MID(Z96,1,3)*1,UomConversion!$I$8:$I$500,1))</f>
        <v>1</v>
      </c>
      <c r="BB96" s="1217">
        <f t="shared" si="81"/>
        <v>9.5</v>
      </c>
      <c r="BC96" s="1217">
        <f t="shared" si="82"/>
        <v>0.69999999999999929</v>
      </c>
      <c r="BD96" s="1217"/>
      <c r="BE96" s="1220"/>
    </row>
    <row r="97" spans="2:56" s="1120" customFormat="1" ht="24.95" customHeight="1">
      <c r="B97" s="445"/>
      <c r="C97" s="843">
        <v>78</v>
      </c>
      <c r="D97" s="843"/>
      <c r="E97" s="843"/>
      <c r="F97" s="1116" t="s">
        <v>2473</v>
      </c>
      <c r="G97" s="1117" t="s">
        <v>2473</v>
      </c>
      <c r="H97" s="868" t="s">
        <v>3054</v>
      </c>
      <c r="I97" s="1118" t="s">
        <v>3054</v>
      </c>
      <c r="J97" s="1138" t="s">
        <v>2955</v>
      </c>
      <c r="K97" s="1138" t="s">
        <v>2972</v>
      </c>
      <c r="L97" s="870" t="s">
        <v>2728</v>
      </c>
      <c r="M97" s="868"/>
      <c r="N97" s="1118"/>
      <c r="O97" s="1119">
        <v>6</v>
      </c>
      <c r="P97" s="884">
        <v>6.5</v>
      </c>
      <c r="Q97" s="885"/>
      <c r="R97" s="843">
        <v>50</v>
      </c>
      <c r="S97" s="843">
        <v>0</v>
      </c>
      <c r="T97" s="843">
        <v>1</v>
      </c>
      <c r="U97" s="843">
        <v>0</v>
      </c>
      <c r="V97" s="843">
        <v>0</v>
      </c>
      <c r="W97" s="843">
        <v>1</v>
      </c>
      <c r="X97" s="870" t="s">
        <v>2913</v>
      </c>
      <c r="Y97" s="843" t="str">
        <f>IF(OR(ISNA(MATCH(MID(X97,1,3)*1,UomConversion!$D$8:$D$500,0)),H97=""),"",IF(AV97="","",AV97))</f>
        <v>016.m</v>
      </c>
      <c r="Z97" s="843" t="str">
        <f>IF(AND(AU97&gt;0,COUNTIFS(UomConversion!$D$8:$D$500,MID(X97,1,3)*1,UomConversion!$J$8:$J$500,1)&gt;1),TEXT(AU97,"000")&amp;"."&amp;VLOOKUP(AU97,uom_list,5,FALSE),"")</f>
        <v/>
      </c>
      <c r="AA97" s="843">
        <f t="shared" si="75"/>
        <v>2</v>
      </c>
      <c r="AB97" s="843" t="str">
        <f t="shared" si="79"/>
        <v>45,16</v>
      </c>
      <c r="AC97" s="843">
        <f t="shared" ref="AC97" si="94">import_pro_number_of_price_type</f>
        <v>2</v>
      </c>
      <c r="AD97" s="1219">
        <v>0</v>
      </c>
      <c r="AE97" s="1219">
        <v>0.13</v>
      </c>
      <c r="AF97" s="1215"/>
      <c r="AG97" s="1215"/>
      <c r="AH97" s="1215"/>
      <c r="AI97" s="1215"/>
      <c r="AJ97" s="1216"/>
      <c r="AK97" s="1216"/>
      <c r="AL97" s="1216"/>
      <c r="AM97" s="1216"/>
      <c r="AN97" s="1216"/>
      <c r="AO97" s="1216"/>
      <c r="AP97" s="1216"/>
      <c r="AQ97" s="1216"/>
      <c r="AR97" s="1216"/>
      <c r="AS97" s="1216"/>
      <c r="AT97" s="1216"/>
      <c r="AU97" s="1120" cm="1">
        <f t="array" ref="AU97">IF(H97="","",Slookup(MID(X97,1,3)*1,UomConversion!$D$8:$J$500,2,UomConversion!$I$8:$I$500,1,UomConversion!$J$8:$J$500,1))</f>
        <v>16</v>
      </c>
      <c r="AV97" s="401" t="str">
        <f t="shared" si="77"/>
        <v>016.m</v>
      </c>
      <c r="AW97" s="757">
        <f t="shared" si="78"/>
        <v>45</v>
      </c>
      <c r="AX97" s="757">
        <f t="shared" si="78"/>
        <v>16</v>
      </c>
      <c r="AY97" s="757" t="str">
        <f t="shared" si="78"/>
        <v/>
      </c>
      <c r="AZ97" s="1209" cm="1">
        <f t="array" ref="AZ97">IF(Y97="",1,Slookup(MID(X97,1,3)*1,UomConversion!$D$8:$J$500,5,UomConversion!$E$8:$E$500,MID(Y97,1,3)*1,UomConversion!$I$8:$I$500,1))</f>
        <v>50</v>
      </c>
      <c r="BA97" s="1209" cm="1">
        <f t="array" ref="BA97">IF(Z97="",1,Slookup(MID(X97,1,3)*1,UomConversion!$D$8:$J$500,5,UomConversion!$E$8:$E$500,MID(Z97,1,3)*1,UomConversion!$I$8:$I$500,1))</f>
        <v>1</v>
      </c>
      <c r="BB97" s="1217">
        <f t="shared" si="81"/>
        <v>6.5</v>
      </c>
      <c r="BC97" s="1217">
        <f t="shared" si="82"/>
        <v>0.5</v>
      </c>
      <c r="BD97" s="1217"/>
    </row>
    <row r="98" spans="2:56" s="1120" customFormat="1" ht="24.95" customHeight="1">
      <c r="B98" s="445"/>
      <c r="C98" s="843">
        <v>79</v>
      </c>
      <c r="D98" s="843"/>
      <c r="E98" s="843"/>
      <c r="F98" s="1116" t="s">
        <v>2475</v>
      </c>
      <c r="G98" s="1117" t="s">
        <v>2475</v>
      </c>
      <c r="H98" s="868" t="s">
        <v>3055</v>
      </c>
      <c r="I98" s="1118" t="s">
        <v>3055</v>
      </c>
      <c r="J98" s="1138" t="s">
        <v>2955</v>
      </c>
      <c r="K98" s="1138" t="s">
        <v>2972</v>
      </c>
      <c r="L98" s="870" t="s">
        <v>2728</v>
      </c>
      <c r="M98" s="868"/>
      <c r="N98" s="1118"/>
      <c r="O98" s="1119">
        <v>5</v>
      </c>
      <c r="P98" s="884">
        <v>5.5</v>
      </c>
      <c r="Q98" s="885"/>
      <c r="R98" s="843">
        <v>50</v>
      </c>
      <c r="S98" s="843">
        <v>0</v>
      </c>
      <c r="T98" s="843">
        <v>1</v>
      </c>
      <c r="U98" s="843">
        <v>0</v>
      </c>
      <c r="V98" s="843">
        <v>0</v>
      </c>
      <c r="W98" s="843">
        <v>1</v>
      </c>
      <c r="X98" s="870" t="s">
        <v>2913</v>
      </c>
      <c r="Y98" s="843" t="str">
        <f>IF(OR(ISNA(MATCH(MID(X98,1,3)*1,UomConversion!$D$8:$D$500,0)),H98=""),"",IF(AV98="","",AV98))</f>
        <v>016.m</v>
      </c>
      <c r="Z98" s="843" t="str">
        <f>IF(AND(AU98&gt;0,COUNTIFS(UomConversion!$D$8:$D$500,MID(X98,1,3)*1,UomConversion!$J$8:$J$500,1)&gt;1),TEXT(AU98,"000")&amp;"."&amp;VLOOKUP(AU98,uom_list,5,FALSE),"")</f>
        <v/>
      </c>
      <c r="AA98" s="843">
        <f t="shared" si="75"/>
        <v>2</v>
      </c>
      <c r="AB98" s="843" t="str">
        <f t="shared" si="79"/>
        <v>45,16</v>
      </c>
      <c r="AC98" s="843">
        <f t="shared" ref="AC98" si="95">import_pro_number_of_price_type</f>
        <v>2</v>
      </c>
      <c r="AD98" s="1219">
        <v>0</v>
      </c>
      <c r="AE98" s="1219">
        <v>0.11</v>
      </c>
      <c r="AF98" s="1215"/>
      <c r="AG98" s="1215"/>
      <c r="AH98" s="1215"/>
      <c r="AI98" s="1215"/>
      <c r="AJ98" s="1216"/>
      <c r="AK98" s="1216"/>
      <c r="AL98" s="1216"/>
      <c r="AM98" s="1216"/>
      <c r="AN98" s="1216"/>
      <c r="AO98" s="1216"/>
      <c r="AP98" s="1216"/>
      <c r="AQ98" s="1216"/>
      <c r="AR98" s="1216"/>
      <c r="AS98" s="1216"/>
      <c r="AT98" s="1216"/>
      <c r="AU98" s="1120" cm="1">
        <f t="array" ref="AU98">IF(H98="","",Slookup(MID(X98,1,3)*1,UomConversion!$D$8:$J$500,2,UomConversion!$I$8:$I$500,1,UomConversion!$J$8:$J$500,1))</f>
        <v>16</v>
      </c>
      <c r="AV98" s="401" t="str">
        <f t="shared" si="77"/>
        <v>016.m</v>
      </c>
      <c r="AW98" s="757">
        <f t="shared" si="78"/>
        <v>45</v>
      </c>
      <c r="AX98" s="757">
        <f t="shared" si="78"/>
        <v>16</v>
      </c>
      <c r="AY98" s="757" t="str">
        <f t="shared" si="78"/>
        <v/>
      </c>
      <c r="AZ98" s="1209" cm="1">
        <f t="array" ref="AZ98">IF(Y98="",1,Slookup(MID(X98,1,3)*1,UomConversion!$D$8:$J$500,5,UomConversion!$E$8:$E$500,MID(Y98,1,3)*1,UomConversion!$I$8:$I$500,1))</f>
        <v>50</v>
      </c>
      <c r="BA98" s="1209" cm="1">
        <f t="array" ref="BA98">IF(Z98="",1,Slookup(MID(X98,1,3)*1,UomConversion!$D$8:$J$500,5,UomConversion!$E$8:$E$500,MID(Z98,1,3)*1,UomConversion!$I$8:$I$500,1))</f>
        <v>1</v>
      </c>
      <c r="BB98" s="1217">
        <f t="shared" si="81"/>
        <v>5.5</v>
      </c>
      <c r="BC98" s="1217">
        <f t="shared" si="82"/>
        <v>0.5</v>
      </c>
      <c r="BD98" s="1217"/>
    </row>
    <row r="99" spans="2:56" s="1120" customFormat="1" ht="24.95" customHeight="1">
      <c r="B99" s="445"/>
      <c r="C99" s="843">
        <v>80</v>
      </c>
      <c r="D99" s="843"/>
      <c r="E99" s="843"/>
      <c r="F99" s="1116" t="s">
        <v>2477</v>
      </c>
      <c r="G99" s="1117" t="s">
        <v>2477</v>
      </c>
      <c r="H99" s="868" t="s">
        <v>3056</v>
      </c>
      <c r="I99" s="1118" t="s">
        <v>3056</v>
      </c>
      <c r="J99" s="1138" t="s">
        <v>2956</v>
      </c>
      <c r="K99" s="1138" t="s">
        <v>2972</v>
      </c>
      <c r="L99" s="870" t="s">
        <v>2842</v>
      </c>
      <c r="M99" s="868"/>
      <c r="N99" s="1118"/>
      <c r="O99" s="1119">
        <v>21</v>
      </c>
      <c r="P99" s="884">
        <v>0.2</v>
      </c>
      <c r="Q99" s="885"/>
      <c r="R99" s="843" t="s">
        <v>2886</v>
      </c>
      <c r="S99" s="843">
        <v>0</v>
      </c>
      <c r="T99" s="843">
        <v>1</v>
      </c>
      <c r="U99" s="843">
        <v>0</v>
      </c>
      <c r="V99" s="843">
        <v>0</v>
      </c>
      <c r="W99" s="843">
        <v>1</v>
      </c>
      <c r="X99" s="870" t="s">
        <v>2914</v>
      </c>
      <c r="Y99" s="843" t="str">
        <f>IF(OR(ISNA(MATCH(MID(X99,1,3)*1,UomConversion!$D$8:$D$500,0)),H99=""),"",IF(AV99="","",AV99))</f>
        <v>002.pcs</v>
      </c>
      <c r="Z99" s="843" t="str">
        <f>IF(AND(AU99&gt;0,COUNTIFS(UomConversion!$D$8:$D$500,MID(X99,1,3)*1,UomConversion!$J$8:$J$500,1)&gt;1),TEXT(AU99,"000")&amp;"."&amp;VLOOKUP(AU99,uom_list,5,FALSE),"")</f>
        <v/>
      </c>
      <c r="AA99" s="843">
        <f t="shared" si="75"/>
        <v>2</v>
      </c>
      <c r="AB99" s="843" t="str">
        <f t="shared" si="79"/>
        <v>36,2</v>
      </c>
      <c r="AC99" s="843">
        <f t="shared" ref="AC99" si="96">import_pro_number_of_price_type</f>
        <v>2</v>
      </c>
      <c r="AD99" s="1214">
        <v>0</v>
      </c>
      <c r="AE99" s="1214">
        <v>0.2</v>
      </c>
      <c r="AF99" s="1215"/>
      <c r="AG99" s="1215"/>
      <c r="AH99" s="1215"/>
      <c r="AI99" s="1215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120" cm="1">
        <f t="array" ref="AU99">IF(H99="","",Slookup(MID(X99,1,3)*1,UomConversion!$D$8:$J$500,2,UomConversion!$I$8:$I$500,1,UomConversion!$J$8:$J$500,1))</f>
        <v>2</v>
      </c>
      <c r="AV99" s="401" t="str">
        <f t="shared" si="77"/>
        <v>002.pcs</v>
      </c>
      <c r="AW99" s="757">
        <f t="shared" si="78"/>
        <v>36</v>
      </c>
      <c r="AX99" s="757">
        <f t="shared" si="78"/>
        <v>2</v>
      </c>
      <c r="AY99" s="757" t="str">
        <f t="shared" si="78"/>
        <v/>
      </c>
      <c r="AZ99" s="1209" cm="1">
        <f t="array" ref="AZ99">IF(Y99="",1,Slookup(MID(X99,1,3)*1,UomConversion!$D$8:$J$500,5,UomConversion!$E$8:$E$500,MID(Y99,1,3)*1,UomConversion!$I$8:$I$500,1))</f>
        <v>150</v>
      </c>
      <c r="BA99" s="1209" cm="1">
        <f t="array" ref="BA99">IF(Z99="",1,Slookup(MID(X99,1,3)*1,UomConversion!$D$8:$J$500,5,UomConversion!$E$8:$E$500,MID(Z99,1,3)*1,UomConversion!$I$8:$I$500,1))</f>
        <v>1</v>
      </c>
      <c r="BB99" s="1217">
        <f t="shared" si="81"/>
        <v>30</v>
      </c>
      <c r="BC99" s="1217">
        <f t="shared" si="82"/>
        <v>-20.8</v>
      </c>
      <c r="BD99" s="1217"/>
    </row>
    <row r="100" spans="2:56" s="1120" customFormat="1" ht="24.95" customHeight="1">
      <c r="B100" s="445"/>
      <c r="C100" s="843">
        <v>81</v>
      </c>
      <c r="D100" s="843"/>
      <c r="E100" s="843"/>
      <c r="F100" s="1116" t="s">
        <v>2479</v>
      </c>
      <c r="G100" s="1117" t="s">
        <v>2479</v>
      </c>
      <c r="H100" s="868" t="s">
        <v>3057</v>
      </c>
      <c r="I100" s="1118" t="s">
        <v>3057</v>
      </c>
      <c r="J100" s="1138" t="s">
        <v>2952</v>
      </c>
      <c r="K100" s="1138" t="s">
        <v>2974</v>
      </c>
      <c r="L100" s="870" t="s">
        <v>2264</v>
      </c>
      <c r="M100" s="868"/>
      <c r="N100" s="1118"/>
      <c r="O100" s="1119">
        <v>74.400000000000006</v>
      </c>
      <c r="P100" s="884">
        <v>7</v>
      </c>
      <c r="Q100" s="885"/>
      <c r="R100" s="843" t="s">
        <v>36</v>
      </c>
      <c r="S100" s="843">
        <v>0</v>
      </c>
      <c r="T100" s="843">
        <v>1</v>
      </c>
      <c r="U100" s="843">
        <v>0</v>
      </c>
      <c r="V100" s="843">
        <v>0</v>
      </c>
      <c r="W100" s="843">
        <v>1</v>
      </c>
      <c r="X100" s="870" t="s">
        <v>2778</v>
      </c>
      <c r="Y100" s="843" t="str">
        <f>IF(OR(ISNA(MATCH(MID(X100,1,3)*1,UomConversion!$D$8:$D$500,0)),H100=""),"",IF(AV100="","",AV100))</f>
        <v>002.pcs</v>
      </c>
      <c r="Z100" s="843" t="str">
        <f>IF(AND(AU100&gt;0,COUNTIFS(UomConversion!$D$8:$D$500,MID(X100,1,3)*1,UomConversion!$J$8:$J$500,1)&gt;1),TEXT(AU100,"000")&amp;"."&amp;VLOOKUP(AU100,uom_list,5,FALSE),"")</f>
        <v/>
      </c>
      <c r="AA100" s="843">
        <f t="shared" si="75"/>
        <v>2</v>
      </c>
      <c r="AB100" s="843" t="str">
        <f t="shared" si="79"/>
        <v>26,2</v>
      </c>
      <c r="AC100" s="843">
        <f t="shared" ref="AC100" si="97">import_pro_number_of_price_type</f>
        <v>2</v>
      </c>
      <c r="AD100" s="1214">
        <v>0</v>
      </c>
      <c r="AE100" s="1214">
        <v>7</v>
      </c>
      <c r="AF100" s="1215"/>
      <c r="AG100" s="1215"/>
      <c r="AH100" s="1215"/>
      <c r="AI100" s="1215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120" cm="1">
        <f t="array" ref="AU100">IF(H100="","",Slookup(MID(X100,1,3)*1,UomConversion!$D$8:$J$500,2,UomConversion!$I$8:$I$500,1,UomConversion!$J$8:$J$500,1))</f>
        <v>2</v>
      </c>
      <c r="AV100" s="401" t="str">
        <f t="shared" si="77"/>
        <v>002.pcs</v>
      </c>
      <c r="AW100" s="757">
        <f t="shared" si="78"/>
        <v>26</v>
      </c>
      <c r="AX100" s="757">
        <f t="shared" si="78"/>
        <v>2</v>
      </c>
      <c r="AY100" s="757" t="str">
        <f t="shared" si="78"/>
        <v/>
      </c>
      <c r="AZ100" s="1209" cm="1">
        <f t="array" ref="AZ100">IF(Y100="",1,Slookup(MID(X100,1,3)*1,UomConversion!$D$8:$J$500,5,UomConversion!$E$8:$E$500,MID(Y100,1,3)*1,UomConversion!$I$8:$I$500,1))</f>
        <v>12</v>
      </c>
      <c r="BA100" s="1209" cm="1">
        <f t="array" ref="BA100">IF(Z100="",1,Slookup(MID(X100,1,3)*1,UomConversion!$D$8:$J$500,5,UomConversion!$E$8:$E$500,MID(Z100,1,3)*1,UomConversion!$I$8:$I$500,1))</f>
        <v>1</v>
      </c>
      <c r="BB100" s="1217">
        <f t="shared" si="81"/>
        <v>84</v>
      </c>
      <c r="BC100" s="1217">
        <f t="shared" si="82"/>
        <v>-67.400000000000006</v>
      </c>
      <c r="BD100" s="1217"/>
    </row>
    <row r="101" spans="2:56" s="1120" customFormat="1" ht="24.95" customHeight="1">
      <c r="B101" s="445"/>
      <c r="C101" s="843">
        <v>82</v>
      </c>
      <c r="D101" s="843"/>
      <c r="E101" s="843"/>
      <c r="F101" s="1116" t="s">
        <v>2481</v>
      </c>
      <c r="G101" s="1117" t="s">
        <v>2481</v>
      </c>
      <c r="H101" s="868" t="s">
        <v>3058</v>
      </c>
      <c r="I101" s="1118" t="s">
        <v>3058</v>
      </c>
      <c r="J101" s="1138" t="s">
        <v>2956</v>
      </c>
      <c r="K101" s="1138" t="s">
        <v>2974</v>
      </c>
      <c r="L101" s="870" t="s">
        <v>2722</v>
      </c>
      <c r="M101" s="868"/>
      <c r="N101" s="1118"/>
      <c r="O101" s="1119">
        <v>31.2</v>
      </c>
      <c r="P101" s="884">
        <v>1.6</v>
      </c>
      <c r="Q101" s="885"/>
      <c r="R101" s="843" t="s">
        <v>1897</v>
      </c>
      <c r="S101" s="843">
        <v>0</v>
      </c>
      <c r="T101" s="843">
        <v>1</v>
      </c>
      <c r="U101" s="843">
        <v>0</v>
      </c>
      <c r="V101" s="843">
        <v>0</v>
      </c>
      <c r="W101" s="843">
        <v>1</v>
      </c>
      <c r="X101" s="870" t="s">
        <v>2915</v>
      </c>
      <c r="Y101" s="843" t="str">
        <f>IF(OR(ISNA(MATCH(MID(X101,1,3)*1,UomConversion!$D$8:$D$500,0)),H101=""),"",IF(AV101="","",AV101))</f>
        <v>002.pcs</v>
      </c>
      <c r="Z101" s="843" t="str">
        <f>IF(AND(AU101&gt;0,COUNTIFS(UomConversion!$D$8:$D$500,MID(X101,1,3)*1,UomConversion!$J$8:$J$500,1)&gt;1),TEXT(AU101,"000")&amp;"."&amp;VLOOKUP(AU101,uom_list,5,FALSE),"")</f>
        <v/>
      </c>
      <c r="AA101" s="843">
        <f t="shared" si="75"/>
        <v>2</v>
      </c>
      <c r="AB101" s="843" t="str">
        <f t="shared" si="79"/>
        <v>32,2</v>
      </c>
      <c r="AC101" s="843">
        <f t="shared" ref="AC101" si="98">import_pro_number_of_price_type</f>
        <v>2</v>
      </c>
      <c r="AD101" s="1214">
        <v>0</v>
      </c>
      <c r="AE101" s="1214">
        <v>1.6</v>
      </c>
      <c r="AF101" s="1215"/>
      <c r="AG101" s="1215"/>
      <c r="AH101" s="1215"/>
      <c r="AI101" s="1215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120" cm="1">
        <f t="array" ref="AU101">IF(H101="","",Slookup(MID(X101,1,3)*1,UomConversion!$D$8:$J$500,2,UomConversion!$I$8:$I$500,1,UomConversion!$J$8:$J$500,1))</f>
        <v>2</v>
      </c>
      <c r="AV101" s="401" t="str">
        <f t="shared" si="77"/>
        <v>002.pcs</v>
      </c>
      <c r="AW101" s="757">
        <f t="shared" si="78"/>
        <v>32</v>
      </c>
      <c r="AX101" s="757">
        <f t="shared" si="78"/>
        <v>2</v>
      </c>
      <c r="AY101" s="757" t="str">
        <f t="shared" si="78"/>
        <v/>
      </c>
      <c r="AZ101" s="1209" cm="1">
        <f t="array" ref="AZ101">IF(Y101="",1,Slookup(MID(X101,1,3)*1,UomConversion!$D$8:$J$500,5,UomConversion!$E$8:$E$500,MID(Y101,1,3)*1,UomConversion!$I$8:$I$500,1))</f>
        <v>24</v>
      </c>
      <c r="BA101" s="1209" cm="1">
        <f t="array" ref="BA101">IF(Z101="",1,Slookup(MID(X101,1,3)*1,UomConversion!$D$8:$J$500,5,UomConversion!$E$8:$E$500,MID(Z101,1,3)*1,UomConversion!$I$8:$I$500,1))</f>
        <v>1</v>
      </c>
      <c r="BB101" s="1217">
        <f t="shared" si="81"/>
        <v>38.400000000000006</v>
      </c>
      <c r="BC101" s="1217">
        <f t="shared" si="82"/>
        <v>-29.599999999999998</v>
      </c>
      <c r="BD101" s="1217"/>
    </row>
    <row r="102" spans="2:56" s="1120" customFormat="1" ht="24.95" customHeight="1">
      <c r="B102" s="445"/>
      <c r="C102" s="843">
        <v>83</v>
      </c>
      <c r="D102" s="843"/>
      <c r="E102" s="843"/>
      <c r="F102" s="1116" t="s">
        <v>2482</v>
      </c>
      <c r="G102" s="1117" t="s">
        <v>2482</v>
      </c>
      <c r="H102" s="868" t="s">
        <v>3059</v>
      </c>
      <c r="I102" s="1118" t="s">
        <v>3059</v>
      </c>
      <c r="J102" s="1138" t="s">
        <v>2956</v>
      </c>
      <c r="K102" s="1138" t="s">
        <v>2974</v>
      </c>
      <c r="L102" s="870" t="s">
        <v>2722</v>
      </c>
      <c r="M102" s="868"/>
      <c r="N102" s="1118"/>
      <c r="O102" s="1119">
        <v>24</v>
      </c>
      <c r="P102" s="884">
        <v>1.25</v>
      </c>
      <c r="Q102" s="885"/>
      <c r="R102" s="843" t="s">
        <v>1897</v>
      </c>
      <c r="S102" s="843">
        <v>0</v>
      </c>
      <c r="T102" s="843">
        <v>1</v>
      </c>
      <c r="U102" s="843">
        <v>0</v>
      </c>
      <c r="V102" s="843">
        <v>0</v>
      </c>
      <c r="W102" s="843">
        <v>1</v>
      </c>
      <c r="X102" s="870" t="s">
        <v>2915</v>
      </c>
      <c r="Y102" s="843" t="str">
        <f>IF(OR(ISNA(MATCH(MID(X102,1,3)*1,UomConversion!$D$8:$D$500,0)),H102=""),"",IF(AV102="","",AV102))</f>
        <v>002.pcs</v>
      </c>
      <c r="Z102" s="843" t="str">
        <f>IF(AND(AU102&gt;0,COUNTIFS(UomConversion!$D$8:$D$500,MID(X102,1,3)*1,UomConversion!$J$8:$J$500,1)&gt;1),TEXT(AU102,"000")&amp;"."&amp;VLOOKUP(AU102,uom_list,5,FALSE),"")</f>
        <v/>
      </c>
      <c r="AA102" s="843">
        <f t="shared" si="75"/>
        <v>2</v>
      </c>
      <c r="AB102" s="843" t="str">
        <f t="shared" si="79"/>
        <v>32,2</v>
      </c>
      <c r="AC102" s="843">
        <f t="shared" ref="AC102" si="99">import_pro_number_of_price_type</f>
        <v>2</v>
      </c>
      <c r="AD102" s="1214">
        <v>0</v>
      </c>
      <c r="AE102" s="1214">
        <v>1.25</v>
      </c>
      <c r="AF102" s="1215"/>
      <c r="AG102" s="1215"/>
      <c r="AH102" s="1215"/>
      <c r="AI102" s="1215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120" cm="1">
        <f t="array" ref="AU102">IF(H102="","",Slookup(MID(X102,1,3)*1,UomConversion!$D$8:$J$500,2,UomConversion!$I$8:$I$500,1,UomConversion!$J$8:$J$500,1))</f>
        <v>2</v>
      </c>
      <c r="AV102" s="401" t="str">
        <f t="shared" si="77"/>
        <v>002.pcs</v>
      </c>
      <c r="AW102" s="757">
        <f t="shared" si="78"/>
        <v>32</v>
      </c>
      <c r="AX102" s="757">
        <f t="shared" si="78"/>
        <v>2</v>
      </c>
      <c r="AY102" s="757" t="str">
        <f t="shared" si="78"/>
        <v/>
      </c>
      <c r="AZ102" s="1209" cm="1">
        <f t="array" ref="AZ102">IF(Y102="",1,Slookup(MID(X102,1,3)*1,UomConversion!$D$8:$J$500,5,UomConversion!$E$8:$E$500,MID(Y102,1,3)*1,UomConversion!$I$8:$I$500,1))</f>
        <v>24</v>
      </c>
      <c r="BA102" s="1209" cm="1">
        <f t="array" ref="BA102">IF(Z102="",1,Slookup(MID(X102,1,3)*1,UomConversion!$D$8:$J$500,5,UomConversion!$E$8:$E$500,MID(Z102,1,3)*1,UomConversion!$I$8:$I$500,1))</f>
        <v>1</v>
      </c>
      <c r="BB102" s="1217">
        <f t="shared" si="81"/>
        <v>30</v>
      </c>
      <c r="BC102" s="1217">
        <f t="shared" si="82"/>
        <v>-22.75</v>
      </c>
      <c r="BD102" s="1217"/>
    </row>
    <row r="103" spans="2:56" s="1120" customFormat="1" ht="24.95" customHeight="1">
      <c r="B103" s="445"/>
      <c r="C103" s="843">
        <v>84</v>
      </c>
      <c r="D103" s="843"/>
      <c r="E103" s="843"/>
      <c r="F103" s="1116" t="s">
        <v>2484</v>
      </c>
      <c r="G103" s="1117" t="s">
        <v>2484</v>
      </c>
      <c r="H103" s="868" t="s">
        <v>3060</v>
      </c>
      <c r="I103" s="1118" t="s">
        <v>3060</v>
      </c>
      <c r="J103" s="1138" t="s">
        <v>2952</v>
      </c>
      <c r="K103" s="1138" t="s">
        <v>2974</v>
      </c>
      <c r="L103" s="870" t="s">
        <v>2264</v>
      </c>
      <c r="M103" s="868"/>
      <c r="N103" s="1118"/>
      <c r="O103" s="1119">
        <v>14.4</v>
      </c>
      <c r="P103" s="884">
        <v>2</v>
      </c>
      <c r="Q103" s="885"/>
      <c r="R103" s="843" t="s">
        <v>36</v>
      </c>
      <c r="S103" s="843">
        <v>0</v>
      </c>
      <c r="T103" s="843">
        <v>1</v>
      </c>
      <c r="U103" s="843">
        <v>0</v>
      </c>
      <c r="V103" s="843">
        <v>0</v>
      </c>
      <c r="W103" s="843">
        <v>1</v>
      </c>
      <c r="X103" s="870" t="s">
        <v>2778</v>
      </c>
      <c r="Y103" s="843" t="str">
        <f>IF(OR(ISNA(MATCH(MID(X103,1,3)*1,UomConversion!$D$8:$D$500,0)),H103=""),"",IF(AV103="","",AV103))</f>
        <v>002.pcs</v>
      </c>
      <c r="Z103" s="843" t="str">
        <f>IF(AND(AU103&gt;0,COUNTIFS(UomConversion!$D$8:$D$500,MID(X103,1,3)*1,UomConversion!$J$8:$J$500,1)&gt;1),TEXT(AU103,"000")&amp;"."&amp;VLOOKUP(AU103,uom_list,5,FALSE),"")</f>
        <v/>
      </c>
      <c r="AA103" s="843">
        <f t="shared" si="75"/>
        <v>2</v>
      </c>
      <c r="AB103" s="843" t="str">
        <f t="shared" si="79"/>
        <v>26,2</v>
      </c>
      <c r="AC103" s="843">
        <f t="shared" ref="AC103" si="100">import_pro_number_of_price_type</f>
        <v>2</v>
      </c>
      <c r="AD103" s="1214">
        <v>0</v>
      </c>
      <c r="AE103" s="1214">
        <v>2</v>
      </c>
      <c r="AF103" s="1215"/>
      <c r="AG103" s="1215"/>
      <c r="AH103" s="1215"/>
      <c r="AI103" s="1215"/>
      <c r="AJ103" s="1216"/>
      <c r="AK103" s="1216"/>
      <c r="AL103" s="1216"/>
      <c r="AM103" s="1216"/>
      <c r="AN103" s="1216"/>
      <c r="AO103" s="1216"/>
      <c r="AP103" s="1216"/>
      <c r="AQ103" s="1216"/>
      <c r="AR103" s="1216"/>
      <c r="AS103" s="1216"/>
      <c r="AT103" s="1216"/>
      <c r="AU103" s="1120" cm="1">
        <f t="array" ref="AU103">IF(H103="","",Slookup(MID(X103,1,3)*1,UomConversion!$D$8:$J$500,2,UomConversion!$I$8:$I$500,1,UomConversion!$J$8:$J$500,1))</f>
        <v>2</v>
      </c>
      <c r="AV103" s="401" t="str">
        <f t="shared" si="77"/>
        <v>002.pcs</v>
      </c>
      <c r="AW103" s="757">
        <f t="shared" si="78"/>
        <v>26</v>
      </c>
      <c r="AX103" s="757">
        <f t="shared" si="78"/>
        <v>2</v>
      </c>
      <c r="AY103" s="757" t="str">
        <f t="shared" si="78"/>
        <v/>
      </c>
      <c r="AZ103" s="1209" cm="1">
        <f t="array" ref="AZ103">IF(Y103="",1,Slookup(MID(X103,1,3)*1,UomConversion!$D$8:$J$500,5,UomConversion!$E$8:$E$500,MID(Y103,1,3)*1,UomConversion!$I$8:$I$500,1))</f>
        <v>12</v>
      </c>
      <c r="BA103" s="1209" cm="1">
        <f t="array" ref="BA103">IF(Z103="",1,Slookup(MID(X103,1,3)*1,UomConversion!$D$8:$J$500,5,UomConversion!$E$8:$E$500,MID(Z103,1,3)*1,UomConversion!$I$8:$I$500,1))</f>
        <v>1</v>
      </c>
      <c r="BB103" s="1217">
        <f t="shared" si="81"/>
        <v>24</v>
      </c>
      <c r="BC103" s="1217">
        <f t="shared" si="82"/>
        <v>-12.4</v>
      </c>
      <c r="BD103" s="1217"/>
    </row>
    <row r="104" spans="2:56" s="1120" customFormat="1" ht="24.95" customHeight="1">
      <c r="B104" s="445"/>
      <c r="C104" s="843">
        <v>85</v>
      </c>
      <c r="D104" s="843"/>
      <c r="E104" s="843"/>
      <c r="F104" s="1116" t="s">
        <v>2486</v>
      </c>
      <c r="G104" s="1117" t="s">
        <v>2486</v>
      </c>
      <c r="H104" s="868" t="s">
        <v>3061</v>
      </c>
      <c r="I104" s="1118" t="s">
        <v>3061</v>
      </c>
      <c r="J104" s="1138" t="s">
        <v>2955</v>
      </c>
      <c r="K104" s="1138" t="s">
        <v>2972</v>
      </c>
      <c r="L104" s="870" t="s">
        <v>2760</v>
      </c>
      <c r="M104" s="868"/>
      <c r="N104" s="1118"/>
      <c r="O104" s="1119">
        <v>1</v>
      </c>
      <c r="P104" s="884">
        <v>1.5</v>
      </c>
      <c r="Q104" s="885"/>
      <c r="R104" s="843">
        <v>1</v>
      </c>
      <c r="S104" s="843">
        <v>0</v>
      </c>
      <c r="T104" s="843">
        <v>1</v>
      </c>
      <c r="U104" s="843">
        <v>0</v>
      </c>
      <c r="V104" s="843">
        <v>0</v>
      </c>
      <c r="W104" s="843">
        <v>1</v>
      </c>
      <c r="X104" s="870" t="s">
        <v>2912</v>
      </c>
      <c r="Y104" s="843" t="str">
        <f>IF(OR(ISNA(MATCH(MID(X104,1,3)*1,UomConversion!$D$8:$D$500,0)),H104=""),"",IF(AV104="","",AV104))</f>
        <v/>
      </c>
      <c r="Z104" s="843" t="str">
        <f>IF(AND(AU104&gt;0,COUNTIFS(UomConversion!$D$8:$D$500,MID(X104,1,3)*1,UomConversion!$J$8:$J$500,1)&gt;1),TEXT(AU104,"000")&amp;"."&amp;VLOOKUP(AU104,uom_list,5,FALSE),"")</f>
        <v/>
      </c>
      <c r="AA104" s="843">
        <f t="shared" si="75"/>
        <v>1</v>
      </c>
      <c r="AB104" s="843" t="str">
        <f t="shared" si="79"/>
        <v>52</v>
      </c>
      <c r="AC104" s="843">
        <f t="shared" ref="AC104" si="101">import_pro_number_of_price_type</f>
        <v>2</v>
      </c>
      <c r="AD104" s="1214">
        <v>0</v>
      </c>
      <c r="AE104" s="1214">
        <v>1.5</v>
      </c>
      <c r="AF104" s="1215"/>
      <c r="AG104" s="1215"/>
      <c r="AH104" s="1215"/>
      <c r="AI104" s="1215"/>
      <c r="AJ104" s="1216"/>
      <c r="AK104" s="1216"/>
      <c r="AL104" s="1216"/>
      <c r="AM104" s="1216"/>
      <c r="AN104" s="1216"/>
      <c r="AO104" s="1216"/>
      <c r="AP104" s="1216"/>
      <c r="AQ104" s="1216"/>
      <c r="AR104" s="1216"/>
      <c r="AS104" s="1216"/>
      <c r="AT104" s="1216"/>
      <c r="AU104" s="1120" cm="1">
        <f t="array" ref="AU104">IF(H104="","",Slookup(MID(X104,1,3)*1,UomConversion!$D$8:$J$500,2,UomConversion!$I$8:$I$500,1,UomConversion!$J$8:$J$500,1))</f>
        <v>0</v>
      </c>
      <c r="AV104" s="401" t="str">
        <f t="shared" si="77"/>
        <v/>
      </c>
      <c r="AW104" s="757">
        <f t="shared" si="78"/>
        <v>52</v>
      </c>
      <c r="AX104" s="757" t="str">
        <f t="shared" si="78"/>
        <v/>
      </c>
      <c r="AY104" s="757" t="str">
        <f t="shared" si="78"/>
        <v/>
      </c>
      <c r="AZ104" s="1209" cm="1">
        <f t="array" ref="AZ104">IF(Y104="",1,Slookup(MID(X104,1,3)*1,UomConversion!$D$8:$J$500,5,UomConversion!$E$8:$E$500,MID(Y104,1,3)*1,UomConversion!$I$8:$I$500,1))</f>
        <v>1</v>
      </c>
      <c r="BA104" s="1209" cm="1">
        <f t="array" ref="BA104">IF(Z104="",1,Slookup(MID(X104,1,3)*1,UomConversion!$D$8:$J$500,5,UomConversion!$E$8:$E$500,MID(Z104,1,3)*1,UomConversion!$I$8:$I$500,1))</f>
        <v>1</v>
      </c>
      <c r="BB104" s="1217">
        <f t="shared" si="81"/>
        <v>1.5</v>
      </c>
      <c r="BC104" s="1217">
        <f t="shared" si="82"/>
        <v>0.5</v>
      </c>
      <c r="BD104" s="1217"/>
    </row>
    <row r="105" spans="2:56" s="1120" customFormat="1" ht="24.95" customHeight="1">
      <c r="B105" s="445"/>
      <c r="C105" s="843">
        <v>86</v>
      </c>
      <c r="D105" s="843"/>
      <c r="E105" s="843"/>
      <c r="F105" s="1116" t="s">
        <v>2488</v>
      </c>
      <c r="G105" s="1117" t="s">
        <v>2488</v>
      </c>
      <c r="H105" s="868" t="s">
        <v>3062</v>
      </c>
      <c r="I105" s="1118" t="s">
        <v>3062</v>
      </c>
      <c r="J105" s="1138" t="s">
        <v>2956</v>
      </c>
      <c r="K105" s="1138" t="s">
        <v>2972</v>
      </c>
      <c r="L105" s="870" t="s">
        <v>2847</v>
      </c>
      <c r="M105" s="868"/>
      <c r="N105" s="1118"/>
      <c r="O105" s="1119">
        <v>92.16</v>
      </c>
      <c r="P105" s="884">
        <v>0.5</v>
      </c>
      <c r="Q105" s="885"/>
      <c r="R105" s="843" t="s">
        <v>2887</v>
      </c>
      <c r="S105" s="843">
        <v>0</v>
      </c>
      <c r="T105" s="843">
        <v>1</v>
      </c>
      <c r="U105" s="843">
        <v>0</v>
      </c>
      <c r="V105" s="843">
        <v>0</v>
      </c>
      <c r="W105" s="843">
        <v>1</v>
      </c>
      <c r="X105" s="870" t="s">
        <v>2916</v>
      </c>
      <c r="Y105" s="843" t="str">
        <f>IF(OR(ISNA(MATCH(MID(X105,1,3)*1,UomConversion!$D$8:$D$500,0)),H105=""),"",IF(AV105="","",AV105))</f>
        <v>002.pcs</v>
      </c>
      <c r="Z105" s="843" t="str">
        <f>IF(AND(AU105&gt;0,COUNTIFS(UomConversion!$D$8:$D$500,MID(X105,1,3)*1,UomConversion!$J$8:$J$500,1)&gt;1),TEXT(AU105,"000")&amp;"."&amp;VLOOKUP(AU105,uom_list,5,FALSE),"")</f>
        <v/>
      </c>
      <c r="AA105" s="843">
        <f t="shared" si="75"/>
        <v>2</v>
      </c>
      <c r="AB105" s="843" t="str">
        <f t="shared" si="79"/>
        <v>40,2</v>
      </c>
      <c r="AC105" s="843">
        <f t="shared" ref="AC105" si="102">import_pro_number_of_price_type</f>
        <v>2</v>
      </c>
      <c r="AD105" s="1214">
        <v>0</v>
      </c>
      <c r="AE105" s="1214">
        <v>0.5</v>
      </c>
      <c r="AF105" s="1215"/>
      <c r="AG105" s="1215"/>
      <c r="AH105" s="1215"/>
      <c r="AI105" s="1215"/>
      <c r="AJ105" s="1216"/>
      <c r="AK105" s="1216"/>
      <c r="AL105" s="1216"/>
      <c r="AM105" s="1216"/>
      <c r="AN105" s="1216"/>
      <c r="AO105" s="1216"/>
      <c r="AP105" s="1216"/>
      <c r="AQ105" s="1216"/>
      <c r="AR105" s="1216"/>
      <c r="AS105" s="1216"/>
      <c r="AT105" s="1216"/>
      <c r="AU105" s="1120" cm="1">
        <f t="array" ref="AU105">IF(H105="","",Slookup(MID(X105,1,3)*1,UomConversion!$D$8:$J$500,2,UomConversion!$I$8:$I$500,1,UomConversion!$J$8:$J$500,1))</f>
        <v>2</v>
      </c>
      <c r="AV105" s="401" t="str">
        <f t="shared" si="77"/>
        <v>002.pcs</v>
      </c>
      <c r="AW105" s="757">
        <f t="shared" si="78"/>
        <v>40</v>
      </c>
      <c r="AX105" s="757">
        <f t="shared" si="78"/>
        <v>2</v>
      </c>
      <c r="AY105" s="757" t="str">
        <f t="shared" si="78"/>
        <v/>
      </c>
      <c r="AZ105" s="1209" cm="1">
        <f t="array" ref="AZ105">IF(Y105="",1,Slookup(MID(X105,1,3)*1,UomConversion!$D$8:$J$500,5,UomConversion!$E$8:$E$500,MID(Y105,1,3)*1,UomConversion!$I$8:$I$500,1))</f>
        <v>288</v>
      </c>
      <c r="BA105" s="1209" cm="1">
        <f t="array" ref="BA105">IF(Z105="",1,Slookup(MID(X105,1,3)*1,UomConversion!$D$8:$J$500,5,UomConversion!$E$8:$E$500,MID(Z105,1,3)*1,UomConversion!$I$8:$I$500,1))</f>
        <v>1</v>
      </c>
      <c r="BB105" s="1217">
        <f t="shared" si="81"/>
        <v>144</v>
      </c>
      <c r="BC105" s="1217">
        <f t="shared" si="82"/>
        <v>-91.66</v>
      </c>
      <c r="BD105" s="1217"/>
    </row>
    <row r="106" spans="2:56" s="1120" customFormat="1" ht="24.95" customHeight="1">
      <c r="B106" s="445"/>
      <c r="C106" s="843">
        <v>87</v>
      </c>
      <c r="D106" s="843"/>
      <c r="E106" s="843"/>
      <c r="F106" s="1116" t="s">
        <v>2490</v>
      </c>
      <c r="G106" s="1117" t="s">
        <v>2490</v>
      </c>
      <c r="H106" s="868" t="s">
        <v>3063</v>
      </c>
      <c r="I106" s="1118" t="s">
        <v>3063</v>
      </c>
      <c r="J106" s="1138" t="s">
        <v>2956</v>
      </c>
      <c r="K106" s="1138" t="s">
        <v>2972</v>
      </c>
      <c r="L106" s="870" t="s">
        <v>2848</v>
      </c>
      <c r="M106" s="868"/>
      <c r="N106" s="1118"/>
      <c r="O106" s="1119">
        <v>0.317</v>
      </c>
      <c r="P106" s="884">
        <v>0.5</v>
      </c>
      <c r="Q106" s="885"/>
      <c r="R106" s="843" t="s">
        <v>2888</v>
      </c>
      <c r="S106" s="843">
        <v>0</v>
      </c>
      <c r="T106" s="843">
        <v>1</v>
      </c>
      <c r="U106" s="843">
        <v>0</v>
      </c>
      <c r="V106" s="843">
        <v>0</v>
      </c>
      <c r="W106" s="843">
        <v>1</v>
      </c>
      <c r="X106" s="870" t="s">
        <v>2917</v>
      </c>
      <c r="Y106" s="843" t="str">
        <f>IF(OR(ISNA(MATCH(MID(X106,1,3)*1,UomConversion!$D$8:$D$500,0)),H106=""),"",IF(AV106="","",AV106))</f>
        <v>002.pcs</v>
      </c>
      <c r="Z106" s="843" t="str">
        <f>IF(AND(AU106&gt;0,COUNTIFS(UomConversion!$D$8:$D$500,MID(X106,1,3)*1,UomConversion!$J$8:$J$500,1)&gt;1),TEXT(AU106,"000")&amp;"."&amp;VLOOKUP(AU106,uom_list,5,FALSE),"")</f>
        <v/>
      </c>
      <c r="AA106" s="843">
        <f t="shared" si="75"/>
        <v>2</v>
      </c>
      <c r="AB106" s="843" t="str">
        <f t="shared" si="79"/>
        <v>41,2</v>
      </c>
      <c r="AC106" s="843">
        <f t="shared" ref="AC106" si="103">import_pro_number_of_price_type</f>
        <v>2</v>
      </c>
      <c r="AD106" s="1214">
        <v>0</v>
      </c>
      <c r="AE106" s="1214">
        <v>0.5</v>
      </c>
      <c r="AF106" s="1215"/>
      <c r="AG106" s="1215"/>
      <c r="AH106" s="1215"/>
      <c r="AI106" s="1215"/>
      <c r="AJ106" s="1216"/>
      <c r="AK106" s="1216"/>
      <c r="AL106" s="1216"/>
      <c r="AM106" s="1216"/>
      <c r="AN106" s="1216"/>
      <c r="AO106" s="1216"/>
      <c r="AP106" s="1216"/>
      <c r="AQ106" s="1216"/>
      <c r="AR106" s="1216"/>
      <c r="AS106" s="1216"/>
      <c r="AT106" s="1216"/>
      <c r="AU106" s="1120" cm="1">
        <f t="array" ref="AU106">IF(H106="","",Slookup(MID(X106,1,3)*1,UomConversion!$D$8:$J$500,2,UomConversion!$I$8:$I$500,1,UomConversion!$J$8:$J$500,1))</f>
        <v>2</v>
      </c>
      <c r="AV106" s="401" t="str">
        <f t="shared" si="77"/>
        <v>002.pcs</v>
      </c>
      <c r="AW106" s="757">
        <f t="shared" si="78"/>
        <v>41</v>
      </c>
      <c r="AX106" s="757">
        <f t="shared" si="78"/>
        <v>2</v>
      </c>
      <c r="AY106" s="757" t="str">
        <f t="shared" si="78"/>
        <v/>
      </c>
      <c r="AZ106" s="1209" cm="1">
        <f t="array" ref="AZ106">IF(Y106="",1,Slookup(MID(X106,1,3)*1,UomConversion!$D$8:$J$500,5,UomConversion!$E$8:$E$500,MID(Y106,1,3)*1,UomConversion!$I$8:$I$500,1))</f>
        <v>378</v>
      </c>
      <c r="BA106" s="1209" cm="1">
        <f t="array" ref="BA106">IF(Z106="",1,Slookup(MID(X106,1,3)*1,UomConversion!$D$8:$J$500,5,UomConversion!$E$8:$E$500,MID(Z106,1,3)*1,UomConversion!$I$8:$I$500,1))</f>
        <v>1</v>
      </c>
      <c r="BB106" s="1217">
        <f t="shared" si="81"/>
        <v>189</v>
      </c>
      <c r="BC106" s="1217">
        <f t="shared" si="82"/>
        <v>0.183</v>
      </c>
      <c r="BD106" s="1217"/>
    </row>
    <row r="107" spans="2:56" s="1120" customFormat="1" ht="24.95" customHeight="1">
      <c r="B107" s="445"/>
      <c r="C107" s="843">
        <v>88</v>
      </c>
      <c r="D107" s="843"/>
      <c r="E107" s="843"/>
      <c r="F107" s="1116" t="s">
        <v>2492</v>
      </c>
      <c r="G107" s="1117" t="s">
        <v>2492</v>
      </c>
      <c r="H107" s="868" t="s">
        <v>3064</v>
      </c>
      <c r="I107" s="1118" t="s">
        <v>3064</v>
      </c>
      <c r="J107" s="1138" t="s">
        <v>2956</v>
      </c>
      <c r="K107" s="1138" t="s">
        <v>2972</v>
      </c>
      <c r="L107" s="870" t="s">
        <v>2845</v>
      </c>
      <c r="M107" s="868"/>
      <c r="N107" s="1118"/>
      <c r="O107" s="1119">
        <v>82.08</v>
      </c>
      <c r="P107" s="884">
        <v>0.5</v>
      </c>
      <c r="Q107" s="885"/>
      <c r="R107" s="843" t="s">
        <v>2889</v>
      </c>
      <c r="S107" s="843">
        <v>0</v>
      </c>
      <c r="T107" s="843">
        <v>1</v>
      </c>
      <c r="U107" s="843">
        <v>0</v>
      </c>
      <c r="V107" s="843">
        <v>0</v>
      </c>
      <c r="W107" s="843">
        <v>1</v>
      </c>
      <c r="X107" s="870" t="s">
        <v>2918</v>
      </c>
      <c r="Y107" s="843" t="str">
        <f>IF(OR(ISNA(MATCH(MID(X107,1,3)*1,UomConversion!$D$8:$D$500,0)),H107=""),"",IF(AV107="","",AV107))</f>
        <v>002.pcs</v>
      </c>
      <c r="Z107" s="843" t="str">
        <f>IF(AND(AU107&gt;0,COUNTIFS(UomConversion!$D$8:$D$500,MID(X107,1,3)*1,UomConversion!$J$8:$J$500,1)&gt;1),TEXT(AU107,"000")&amp;"."&amp;VLOOKUP(AU107,uom_list,5,FALSE),"")</f>
        <v/>
      </c>
      <c r="AA107" s="843">
        <f t="shared" si="75"/>
        <v>2</v>
      </c>
      <c r="AB107" s="843" t="str">
        <f t="shared" si="79"/>
        <v>38,2</v>
      </c>
      <c r="AC107" s="843">
        <f t="shared" ref="AC107" si="104">import_pro_number_of_price_type</f>
        <v>2</v>
      </c>
      <c r="AD107" s="1214">
        <v>0</v>
      </c>
      <c r="AE107" s="1214">
        <v>0.5</v>
      </c>
      <c r="AF107" s="1215"/>
      <c r="AG107" s="1215"/>
      <c r="AH107" s="1215"/>
      <c r="AI107" s="1215"/>
      <c r="AJ107" s="1216"/>
      <c r="AK107" s="1216"/>
      <c r="AL107" s="1216"/>
      <c r="AM107" s="1216"/>
      <c r="AN107" s="1216"/>
      <c r="AO107" s="1216"/>
      <c r="AP107" s="1216"/>
      <c r="AQ107" s="1216"/>
      <c r="AR107" s="1216"/>
      <c r="AS107" s="1216"/>
      <c r="AT107" s="1216"/>
      <c r="AU107" s="1120" cm="1">
        <f t="array" ref="AU107">IF(H107="","",Slookup(MID(X107,1,3)*1,UomConversion!$D$8:$J$500,2,UomConversion!$I$8:$I$500,1,UomConversion!$J$8:$J$500,1))</f>
        <v>2</v>
      </c>
      <c r="AV107" s="401" t="str">
        <f t="shared" si="77"/>
        <v>002.pcs</v>
      </c>
      <c r="AW107" s="757">
        <f t="shared" si="78"/>
        <v>38</v>
      </c>
      <c r="AX107" s="757">
        <f t="shared" si="78"/>
        <v>2</v>
      </c>
      <c r="AY107" s="757" t="str">
        <f t="shared" si="78"/>
        <v/>
      </c>
      <c r="AZ107" s="1209" cm="1">
        <f t="array" ref="AZ107">IF(Y107="",1,Slookup(MID(X107,1,3)*1,UomConversion!$D$8:$J$500,5,UomConversion!$E$8:$E$500,MID(Y107,1,3)*1,UomConversion!$I$8:$I$500,1))</f>
        <v>216</v>
      </c>
      <c r="BA107" s="1209" cm="1">
        <f t="array" ref="BA107">IF(Z107="",1,Slookup(MID(X107,1,3)*1,UomConversion!$D$8:$J$500,5,UomConversion!$E$8:$E$500,MID(Z107,1,3)*1,UomConversion!$I$8:$I$500,1))</f>
        <v>1</v>
      </c>
      <c r="BB107" s="1217">
        <f t="shared" si="81"/>
        <v>108</v>
      </c>
      <c r="BC107" s="1217">
        <f t="shared" si="82"/>
        <v>-81.58</v>
      </c>
      <c r="BD107" s="1217"/>
    </row>
    <row r="108" spans="2:56" s="1120" customFormat="1" ht="24.95" customHeight="1">
      <c r="B108" s="445"/>
      <c r="C108" s="843">
        <v>89</v>
      </c>
      <c r="D108" s="843"/>
      <c r="E108" s="843"/>
      <c r="F108" s="1116" t="s">
        <v>2494</v>
      </c>
      <c r="G108" s="1117" t="s">
        <v>2494</v>
      </c>
      <c r="H108" s="868" t="s">
        <v>3065</v>
      </c>
      <c r="I108" s="1118" t="s">
        <v>3065</v>
      </c>
      <c r="J108" s="1138" t="s">
        <v>2956</v>
      </c>
      <c r="K108" s="1138" t="s">
        <v>2972</v>
      </c>
      <c r="L108" s="870" t="s">
        <v>2846</v>
      </c>
      <c r="M108" s="868"/>
      <c r="N108" s="1118"/>
      <c r="O108" s="1119">
        <v>99.1</v>
      </c>
      <c r="P108" s="884">
        <v>0.5</v>
      </c>
      <c r="Q108" s="885"/>
      <c r="R108" s="843" t="s">
        <v>2890</v>
      </c>
      <c r="S108" s="843">
        <v>0</v>
      </c>
      <c r="T108" s="843">
        <v>1</v>
      </c>
      <c r="U108" s="843">
        <v>0</v>
      </c>
      <c r="V108" s="843">
        <v>0</v>
      </c>
      <c r="W108" s="843">
        <v>1</v>
      </c>
      <c r="X108" s="870" t="s">
        <v>2919</v>
      </c>
      <c r="Y108" s="843" t="str">
        <f>IF(OR(ISNA(MATCH(MID(X108,1,3)*1,UomConversion!$D$8:$D$500,0)),H108=""),"",IF(AV108="","",AV108))</f>
        <v>002.pcs</v>
      </c>
      <c r="Z108" s="843" t="str">
        <f>IF(AND(AU108&gt;0,COUNTIFS(UomConversion!$D$8:$D$500,MID(X108,1,3)*1,UomConversion!$J$8:$J$500,1)&gt;1),TEXT(AU108,"000")&amp;"."&amp;VLOOKUP(AU108,uom_list,5,FALSE),"")</f>
        <v/>
      </c>
      <c r="AA108" s="843">
        <f t="shared" si="75"/>
        <v>2</v>
      </c>
      <c r="AB108" s="843" t="str">
        <f t="shared" si="79"/>
        <v>39,2</v>
      </c>
      <c r="AC108" s="843">
        <f t="shared" ref="AC108" si="105">import_pro_number_of_price_type</f>
        <v>2</v>
      </c>
      <c r="AD108" s="1214">
        <v>0</v>
      </c>
      <c r="AE108" s="1214">
        <v>0.5</v>
      </c>
      <c r="AF108" s="1215"/>
      <c r="AG108" s="1215"/>
      <c r="AH108" s="1215"/>
      <c r="AI108" s="1215"/>
      <c r="AJ108" s="1216"/>
      <c r="AK108" s="1216"/>
      <c r="AL108" s="1216"/>
      <c r="AM108" s="1216"/>
      <c r="AN108" s="1216"/>
      <c r="AO108" s="1216"/>
      <c r="AP108" s="1216"/>
      <c r="AQ108" s="1216"/>
      <c r="AR108" s="1216"/>
      <c r="AS108" s="1216"/>
      <c r="AT108" s="1216"/>
      <c r="AU108" s="1120" cm="1">
        <f t="array" ref="AU108">IF(H108="","",Slookup(MID(X108,1,3)*1,UomConversion!$D$8:$J$500,2,UomConversion!$I$8:$I$500,1,UomConversion!$J$8:$J$500,1))</f>
        <v>2</v>
      </c>
      <c r="AV108" s="401" t="str">
        <f t="shared" si="77"/>
        <v>002.pcs</v>
      </c>
      <c r="AW108" s="757">
        <f t="shared" si="78"/>
        <v>39</v>
      </c>
      <c r="AX108" s="757">
        <f t="shared" si="78"/>
        <v>2</v>
      </c>
      <c r="AY108" s="757" t="str">
        <f t="shared" si="78"/>
        <v/>
      </c>
      <c r="AZ108" s="1209" cm="1">
        <f t="array" ref="AZ108">IF(Y108="",1,Slookup(MID(X108,1,3)*1,UomConversion!$D$8:$J$500,5,UomConversion!$E$8:$E$500,MID(Y108,1,3)*1,UomConversion!$I$8:$I$500,1))</f>
        <v>270</v>
      </c>
      <c r="BA108" s="1209" cm="1">
        <f t="array" ref="BA108">IF(Z108="",1,Slookup(MID(X108,1,3)*1,UomConversion!$D$8:$J$500,5,UomConversion!$E$8:$E$500,MID(Z108,1,3)*1,UomConversion!$I$8:$I$500,1))</f>
        <v>1</v>
      </c>
      <c r="BB108" s="1217">
        <f t="shared" si="81"/>
        <v>135</v>
      </c>
      <c r="BC108" s="1217">
        <f t="shared" si="82"/>
        <v>-98.6</v>
      </c>
      <c r="BD108" s="1217"/>
    </row>
    <row r="109" spans="2:56" s="1120" customFormat="1" ht="24.95" customHeight="1">
      <c r="B109" s="445"/>
      <c r="C109" s="843">
        <v>90</v>
      </c>
      <c r="D109" s="843"/>
      <c r="E109" s="843"/>
      <c r="F109" s="1116" t="s">
        <v>2496</v>
      </c>
      <c r="G109" s="1117" t="s">
        <v>2496</v>
      </c>
      <c r="H109" s="868" t="s">
        <v>3066</v>
      </c>
      <c r="I109" s="1118" t="s">
        <v>3066</v>
      </c>
      <c r="J109" s="1138" t="s">
        <v>2951</v>
      </c>
      <c r="K109" s="1138" t="s">
        <v>2974</v>
      </c>
      <c r="L109" s="870" t="s">
        <v>2724</v>
      </c>
      <c r="M109" s="868"/>
      <c r="N109" s="1118"/>
      <c r="O109" s="1119">
        <v>18</v>
      </c>
      <c r="P109" s="884">
        <v>0.5</v>
      </c>
      <c r="Q109" s="885"/>
      <c r="R109" s="843" t="s">
        <v>2891</v>
      </c>
      <c r="S109" s="843">
        <v>0</v>
      </c>
      <c r="T109" s="843">
        <v>1</v>
      </c>
      <c r="U109" s="843">
        <v>0</v>
      </c>
      <c r="V109" s="843">
        <v>0</v>
      </c>
      <c r="W109" s="843">
        <v>1</v>
      </c>
      <c r="X109" s="870" t="s">
        <v>2920</v>
      </c>
      <c r="Y109" s="843" t="str">
        <f>IF(OR(ISNA(MATCH(MID(X109,1,3)*1,UomConversion!$D$8:$D$500,0)),H109=""),"",IF(AV109="","",AV109))</f>
        <v>002.pcs</v>
      </c>
      <c r="Z109" s="843" t="str">
        <f>IF(AND(AU109&gt;0,COUNTIFS(UomConversion!$D$8:$D$500,MID(X109,1,3)*1,UomConversion!$J$8:$J$500,1)&gt;1),TEXT(AU109,"000")&amp;"."&amp;VLOOKUP(AU109,uom_list,5,FALSE),"")</f>
        <v/>
      </c>
      <c r="AA109" s="843">
        <f t="shared" si="75"/>
        <v>2</v>
      </c>
      <c r="AB109" s="843" t="str">
        <f t="shared" si="79"/>
        <v>35,2</v>
      </c>
      <c r="AC109" s="843">
        <f t="shared" ref="AC109" si="106">import_pro_number_of_price_type</f>
        <v>2</v>
      </c>
      <c r="AD109" s="1214">
        <v>0</v>
      </c>
      <c r="AE109" s="1214">
        <v>0.5</v>
      </c>
      <c r="AF109" s="1215"/>
      <c r="AG109" s="1215"/>
      <c r="AH109" s="1215"/>
      <c r="AI109" s="1215"/>
      <c r="AJ109" s="1216"/>
      <c r="AK109" s="1216"/>
      <c r="AL109" s="1216"/>
      <c r="AM109" s="1216"/>
      <c r="AN109" s="1216"/>
      <c r="AO109" s="1216"/>
      <c r="AP109" s="1216"/>
      <c r="AQ109" s="1216"/>
      <c r="AR109" s="1216"/>
      <c r="AS109" s="1216"/>
      <c r="AT109" s="1216"/>
      <c r="AU109" s="1120" cm="1">
        <f t="array" ref="AU109">IF(H109="","",Slookup(MID(X109,1,3)*1,UomConversion!$D$8:$J$500,2,UomConversion!$I$8:$I$500,1,UomConversion!$J$8:$J$500,1))</f>
        <v>2</v>
      </c>
      <c r="AV109" s="401" t="str">
        <f t="shared" si="77"/>
        <v>002.pcs</v>
      </c>
      <c r="AW109" s="757">
        <f t="shared" si="78"/>
        <v>35</v>
      </c>
      <c r="AX109" s="757">
        <f t="shared" si="78"/>
        <v>2</v>
      </c>
      <c r="AY109" s="757" t="str">
        <f t="shared" si="78"/>
        <v/>
      </c>
      <c r="AZ109" s="1209" cm="1">
        <f t="array" ref="AZ109">IF(Y109="",1,Slookup(MID(X109,1,3)*1,UomConversion!$D$8:$J$500,5,UomConversion!$E$8:$E$500,MID(Y109,1,3)*1,UomConversion!$I$8:$I$500,1))</f>
        <v>100</v>
      </c>
      <c r="BA109" s="1209" cm="1">
        <f t="array" ref="BA109">IF(Z109="",1,Slookup(MID(X109,1,3)*1,UomConversion!$D$8:$J$500,5,UomConversion!$E$8:$E$500,MID(Z109,1,3)*1,UomConversion!$I$8:$I$500,1))</f>
        <v>1</v>
      </c>
      <c r="BB109" s="1217">
        <f t="shared" si="81"/>
        <v>50</v>
      </c>
      <c r="BC109" s="1217">
        <f t="shared" si="82"/>
        <v>-17.5</v>
      </c>
      <c r="BD109" s="1217"/>
    </row>
    <row r="110" spans="2:56" s="1120" customFormat="1" ht="24.95" customHeight="1">
      <c r="B110" s="445"/>
      <c r="C110" s="843">
        <v>91</v>
      </c>
      <c r="D110" s="843"/>
      <c r="E110" s="843"/>
      <c r="F110" s="1116" t="s">
        <v>2498</v>
      </c>
      <c r="G110" s="1117" t="s">
        <v>2498</v>
      </c>
      <c r="H110" s="868" t="s">
        <v>3067</v>
      </c>
      <c r="I110" s="1118" t="s">
        <v>3067</v>
      </c>
      <c r="J110" s="1138" t="s">
        <v>2955</v>
      </c>
      <c r="K110" s="1138" t="s">
        <v>2974</v>
      </c>
      <c r="L110" s="870" t="s">
        <v>2844</v>
      </c>
      <c r="M110" s="868"/>
      <c r="N110" s="1118"/>
      <c r="O110" s="1119">
        <v>4</v>
      </c>
      <c r="P110" s="884">
        <v>0.4</v>
      </c>
      <c r="Q110" s="885"/>
      <c r="R110" s="843" t="s">
        <v>45</v>
      </c>
      <c r="S110" s="843">
        <v>0</v>
      </c>
      <c r="T110" s="843">
        <v>1</v>
      </c>
      <c r="U110" s="843">
        <v>0</v>
      </c>
      <c r="V110" s="843">
        <v>0</v>
      </c>
      <c r="W110" s="843">
        <v>1</v>
      </c>
      <c r="X110" s="870" t="s">
        <v>2921</v>
      </c>
      <c r="Y110" s="843" t="str">
        <f>IF(OR(ISNA(MATCH(MID(X110,1,3)*1,UomConversion!$D$8:$D$500,0)),H110=""),"",IF(AV110="","",AV110))</f>
        <v>002.pcs</v>
      </c>
      <c r="Z110" s="843" t="str">
        <f>IF(AND(AU110&gt;0,COUNTIFS(UomConversion!$D$8:$D$500,MID(X110,1,3)*1,UomConversion!$J$8:$J$500,1)&gt;1),TEXT(AU110,"000")&amp;"."&amp;VLOOKUP(AU110,uom_list,5,FALSE),"")</f>
        <v/>
      </c>
      <c r="AA110" s="843">
        <f t="shared" si="75"/>
        <v>2</v>
      </c>
      <c r="AB110" s="843" t="str">
        <f t="shared" si="79"/>
        <v>31,2</v>
      </c>
      <c r="AC110" s="843">
        <f t="shared" ref="AC110" si="107">import_pro_number_of_price_type</f>
        <v>2</v>
      </c>
      <c r="AD110" s="1214">
        <v>0</v>
      </c>
      <c r="AE110" s="1214">
        <v>0.4</v>
      </c>
      <c r="AF110" s="1215"/>
      <c r="AG110" s="1215"/>
      <c r="AH110" s="1215"/>
      <c r="AI110" s="1215"/>
      <c r="AJ110" s="1216"/>
      <c r="AK110" s="1216"/>
      <c r="AL110" s="1216"/>
      <c r="AM110" s="1216"/>
      <c r="AN110" s="1216"/>
      <c r="AO110" s="1216"/>
      <c r="AP110" s="1216"/>
      <c r="AQ110" s="1216"/>
      <c r="AR110" s="1216"/>
      <c r="AS110" s="1216"/>
      <c r="AT110" s="1216"/>
      <c r="AU110" s="1120" cm="1">
        <f t="array" ref="AU110">IF(H110="","",Slookup(MID(X110,1,3)*1,UomConversion!$D$8:$J$500,2,UomConversion!$I$8:$I$500,1,UomConversion!$J$8:$J$500,1))</f>
        <v>2</v>
      </c>
      <c r="AV110" s="401" t="str">
        <f t="shared" si="77"/>
        <v>002.pcs</v>
      </c>
      <c r="AW110" s="757">
        <f t="shared" si="78"/>
        <v>31</v>
      </c>
      <c r="AX110" s="757">
        <f t="shared" si="78"/>
        <v>2</v>
      </c>
      <c r="AY110" s="757" t="str">
        <f t="shared" si="78"/>
        <v/>
      </c>
      <c r="AZ110" s="1209" cm="1">
        <f t="array" ref="AZ110">IF(Y110="",1,Slookup(MID(X110,1,3)*1,UomConversion!$D$8:$J$500,5,UomConversion!$E$8:$E$500,MID(Y110,1,3)*1,UomConversion!$I$8:$I$500,1))</f>
        <v>20</v>
      </c>
      <c r="BA110" s="1209" cm="1">
        <f t="array" ref="BA110">IF(Z110="",1,Slookup(MID(X110,1,3)*1,UomConversion!$D$8:$J$500,5,UomConversion!$E$8:$E$500,MID(Z110,1,3)*1,UomConversion!$I$8:$I$500,1))</f>
        <v>1</v>
      </c>
      <c r="BB110" s="1217">
        <f t="shared" si="81"/>
        <v>8</v>
      </c>
      <c r="BC110" s="1217">
        <f t="shared" si="82"/>
        <v>-3.6</v>
      </c>
      <c r="BD110" s="1217"/>
    </row>
    <row r="111" spans="2:56" s="1120" customFormat="1" ht="24.95" customHeight="1">
      <c r="B111" s="445"/>
      <c r="C111" s="843">
        <v>92</v>
      </c>
      <c r="D111" s="843"/>
      <c r="E111" s="843"/>
      <c r="F111" s="1116" t="s">
        <v>2499</v>
      </c>
      <c r="G111" s="1117" t="s">
        <v>2499</v>
      </c>
      <c r="H111" s="868" t="s">
        <v>3068</v>
      </c>
      <c r="I111" s="1118" t="s">
        <v>3068</v>
      </c>
      <c r="J111" s="1138" t="s">
        <v>2955</v>
      </c>
      <c r="K111" s="1138" t="s">
        <v>2972</v>
      </c>
      <c r="L111" s="870" t="s">
        <v>2760</v>
      </c>
      <c r="M111" s="868"/>
      <c r="N111" s="1118"/>
      <c r="O111" s="1119">
        <v>0.78</v>
      </c>
      <c r="P111" s="884">
        <v>1</v>
      </c>
      <c r="Q111" s="885"/>
      <c r="R111" s="843">
        <v>1</v>
      </c>
      <c r="S111" s="843">
        <v>0</v>
      </c>
      <c r="T111" s="843">
        <v>1</v>
      </c>
      <c r="U111" s="843">
        <v>0</v>
      </c>
      <c r="V111" s="843">
        <v>0</v>
      </c>
      <c r="W111" s="843">
        <v>1</v>
      </c>
      <c r="X111" s="870" t="s">
        <v>2912</v>
      </c>
      <c r="Y111" s="843" t="str">
        <f>IF(OR(ISNA(MATCH(MID(X111,1,3)*1,UomConversion!$D$8:$D$500,0)),H111=""),"",IF(AV111="","",AV111))</f>
        <v/>
      </c>
      <c r="Z111" s="843" t="str">
        <f>IF(AND(AU111&gt;0,COUNTIFS(UomConversion!$D$8:$D$500,MID(X111,1,3)*1,UomConversion!$J$8:$J$500,1)&gt;1),TEXT(AU111,"000")&amp;"."&amp;VLOOKUP(AU111,uom_list,5,FALSE),"")</f>
        <v/>
      </c>
      <c r="AA111" s="843">
        <f t="shared" si="75"/>
        <v>1</v>
      </c>
      <c r="AB111" s="843" t="str">
        <f t="shared" si="79"/>
        <v>52</v>
      </c>
      <c r="AC111" s="843">
        <f t="shared" ref="AC111" si="108">import_pro_number_of_price_type</f>
        <v>2</v>
      </c>
      <c r="AD111" s="1214">
        <v>0</v>
      </c>
      <c r="AE111" s="1214">
        <v>1</v>
      </c>
      <c r="AF111" s="1215"/>
      <c r="AG111" s="1215"/>
      <c r="AH111" s="1215"/>
      <c r="AI111" s="1215"/>
      <c r="AJ111" s="1216"/>
      <c r="AK111" s="1216"/>
      <c r="AL111" s="1216"/>
      <c r="AM111" s="1216"/>
      <c r="AN111" s="1216"/>
      <c r="AO111" s="1216"/>
      <c r="AP111" s="1216"/>
      <c r="AQ111" s="1216"/>
      <c r="AR111" s="1216"/>
      <c r="AS111" s="1216"/>
      <c r="AT111" s="1216"/>
      <c r="AU111" s="1120" cm="1">
        <f t="array" ref="AU111">IF(H111="","",Slookup(MID(X111,1,3)*1,UomConversion!$D$8:$J$500,2,UomConversion!$I$8:$I$500,1,UomConversion!$J$8:$J$500,1))</f>
        <v>0</v>
      </c>
      <c r="AV111" s="401" t="str">
        <f t="shared" si="77"/>
        <v/>
      </c>
      <c r="AW111" s="757">
        <f t="shared" si="78"/>
        <v>52</v>
      </c>
      <c r="AX111" s="757" t="str">
        <f t="shared" si="78"/>
        <v/>
      </c>
      <c r="AY111" s="757" t="str">
        <f t="shared" si="78"/>
        <v/>
      </c>
      <c r="AZ111" s="1209" cm="1">
        <f t="array" ref="AZ111">IF(Y111="",1,Slookup(MID(X111,1,3)*1,UomConversion!$D$8:$J$500,5,UomConversion!$E$8:$E$500,MID(Y111,1,3)*1,UomConversion!$I$8:$I$500,1))</f>
        <v>1</v>
      </c>
      <c r="BA111" s="1209" cm="1">
        <f t="array" ref="BA111">IF(Z111="",1,Slookup(MID(X111,1,3)*1,UomConversion!$D$8:$J$500,5,UomConversion!$E$8:$E$500,MID(Z111,1,3)*1,UomConversion!$I$8:$I$500,1))</f>
        <v>1</v>
      </c>
      <c r="BB111" s="1217">
        <f t="shared" si="81"/>
        <v>1</v>
      </c>
      <c r="BC111" s="1217">
        <f t="shared" si="82"/>
        <v>0.21999999999999997</v>
      </c>
      <c r="BD111" s="1217"/>
    </row>
    <row r="112" spans="2:56" s="1120" customFormat="1" ht="24.95" customHeight="1">
      <c r="B112" s="445"/>
      <c r="C112" s="843">
        <v>93</v>
      </c>
      <c r="D112" s="843"/>
      <c r="E112" s="843"/>
      <c r="F112" s="1116" t="s">
        <v>2501</v>
      </c>
      <c r="G112" s="1117" t="s">
        <v>2501</v>
      </c>
      <c r="H112" s="868" t="s">
        <v>3069</v>
      </c>
      <c r="I112" s="1118" t="s">
        <v>3069</v>
      </c>
      <c r="J112" s="1138" t="s">
        <v>2951</v>
      </c>
      <c r="K112" s="1138" t="s">
        <v>2974</v>
      </c>
      <c r="L112" s="870" t="s">
        <v>2722</v>
      </c>
      <c r="M112" s="868"/>
      <c r="N112" s="1118"/>
      <c r="O112" s="1119">
        <v>11.76</v>
      </c>
      <c r="P112" s="884">
        <v>1</v>
      </c>
      <c r="Q112" s="885"/>
      <c r="R112" s="843" t="s">
        <v>1897</v>
      </c>
      <c r="S112" s="843">
        <v>0</v>
      </c>
      <c r="T112" s="843">
        <v>1</v>
      </c>
      <c r="U112" s="843">
        <v>0</v>
      </c>
      <c r="V112" s="843">
        <v>0</v>
      </c>
      <c r="W112" s="843">
        <v>1</v>
      </c>
      <c r="X112" s="870" t="s">
        <v>2915</v>
      </c>
      <c r="Y112" s="843" t="str">
        <f>IF(OR(ISNA(MATCH(MID(X112,1,3)*1,UomConversion!$D$8:$D$500,0)),H112=""),"",IF(AV112="","",AV112))</f>
        <v>002.pcs</v>
      </c>
      <c r="Z112" s="843" t="str">
        <f>IF(AND(AU112&gt;0,COUNTIFS(UomConversion!$D$8:$D$500,MID(X112,1,3)*1,UomConversion!$J$8:$J$500,1)&gt;1),TEXT(AU112,"000")&amp;"."&amp;VLOOKUP(AU112,uom_list,5,FALSE),"")</f>
        <v/>
      </c>
      <c r="AA112" s="843">
        <f t="shared" si="75"/>
        <v>2</v>
      </c>
      <c r="AB112" s="843" t="str">
        <f t="shared" si="79"/>
        <v>32,2</v>
      </c>
      <c r="AC112" s="843">
        <f t="shared" ref="AC112" si="109">import_pro_number_of_price_type</f>
        <v>2</v>
      </c>
      <c r="AD112" s="1214">
        <v>0</v>
      </c>
      <c r="AE112" s="1214">
        <v>1</v>
      </c>
      <c r="AF112" s="1215"/>
      <c r="AG112" s="1215"/>
      <c r="AH112" s="1215"/>
      <c r="AI112" s="1215"/>
      <c r="AJ112" s="1216"/>
      <c r="AK112" s="1216"/>
      <c r="AL112" s="1216"/>
      <c r="AM112" s="1216"/>
      <c r="AN112" s="1216"/>
      <c r="AO112" s="1216"/>
      <c r="AP112" s="1216"/>
      <c r="AQ112" s="1216"/>
      <c r="AR112" s="1216"/>
      <c r="AS112" s="1216"/>
      <c r="AT112" s="1216"/>
      <c r="AU112" s="1120" cm="1">
        <f t="array" ref="AU112">IF(H112="","",Slookup(MID(X112,1,3)*1,UomConversion!$D$8:$J$500,2,UomConversion!$I$8:$I$500,1,UomConversion!$J$8:$J$500,1))</f>
        <v>2</v>
      </c>
      <c r="AV112" s="401" t="str">
        <f t="shared" si="77"/>
        <v>002.pcs</v>
      </c>
      <c r="AW112" s="757">
        <f t="shared" si="78"/>
        <v>32</v>
      </c>
      <c r="AX112" s="757">
        <f t="shared" si="78"/>
        <v>2</v>
      </c>
      <c r="AY112" s="757" t="str">
        <f t="shared" si="78"/>
        <v/>
      </c>
      <c r="AZ112" s="1209" cm="1">
        <f t="array" ref="AZ112">IF(Y112="",1,Slookup(MID(X112,1,3)*1,UomConversion!$D$8:$J$500,5,UomConversion!$E$8:$E$500,MID(Y112,1,3)*1,UomConversion!$I$8:$I$500,1))</f>
        <v>24</v>
      </c>
      <c r="BA112" s="1209" cm="1">
        <f t="array" ref="BA112">IF(Z112="",1,Slookup(MID(X112,1,3)*1,UomConversion!$D$8:$J$500,5,UomConversion!$E$8:$E$500,MID(Z112,1,3)*1,UomConversion!$I$8:$I$500,1))</f>
        <v>1</v>
      </c>
      <c r="BB112" s="1217">
        <f t="shared" si="81"/>
        <v>24</v>
      </c>
      <c r="BC112" s="1217">
        <f t="shared" si="82"/>
        <v>-10.76</v>
      </c>
      <c r="BD112" s="1217"/>
    </row>
    <row r="113" spans="2:56" s="1120" customFormat="1" ht="24.95" customHeight="1">
      <c r="B113" s="445"/>
      <c r="C113" s="843">
        <v>94</v>
      </c>
      <c r="D113" s="843"/>
      <c r="E113" s="843"/>
      <c r="F113" s="1116" t="s">
        <v>2503</v>
      </c>
      <c r="G113" s="1117" t="s">
        <v>2503</v>
      </c>
      <c r="H113" s="868" t="s">
        <v>3070</v>
      </c>
      <c r="I113" s="1118" t="s">
        <v>3070</v>
      </c>
      <c r="J113" s="1138" t="s">
        <v>2956</v>
      </c>
      <c r="K113" s="1138" t="s">
        <v>2972</v>
      </c>
      <c r="L113" s="870" t="s">
        <v>2843</v>
      </c>
      <c r="M113" s="868"/>
      <c r="N113" s="1118"/>
      <c r="O113" s="1119">
        <v>18</v>
      </c>
      <c r="P113" s="884">
        <v>0.13</v>
      </c>
      <c r="Q113" s="885"/>
      <c r="R113" s="843" t="s">
        <v>2892</v>
      </c>
      <c r="S113" s="843">
        <v>0</v>
      </c>
      <c r="T113" s="843">
        <v>1</v>
      </c>
      <c r="U113" s="843">
        <v>0</v>
      </c>
      <c r="V113" s="843">
        <v>0</v>
      </c>
      <c r="W113" s="843">
        <v>1</v>
      </c>
      <c r="X113" s="870" t="s">
        <v>2922</v>
      </c>
      <c r="Y113" s="843" t="str">
        <f>IF(OR(ISNA(MATCH(MID(X113,1,3)*1,UomConversion!$D$8:$D$500,0)),H113=""),"",IF(AV113="","",AV113))</f>
        <v>002.pcs</v>
      </c>
      <c r="Z113" s="843" t="str">
        <f>IF(AND(AU113&gt;0,COUNTIFS(UomConversion!$D$8:$D$500,MID(X113,1,3)*1,UomConversion!$J$8:$J$500,1)&gt;1),TEXT(AU113,"000")&amp;"."&amp;VLOOKUP(AU113,uom_list,5,FALSE),"")</f>
        <v/>
      </c>
      <c r="AA113" s="843">
        <f t="shared" si="75"/>
        <v>2</v>
      </c>
      <c r="AB113" s="843" t="str">
        <f t="shared" si="79"/>
        <v>37,2</v>
      </c>
      <c r="AC113" s="843">
        <f t="shared" ref="AC113" si="110">import_pro_number_of_price_type</f>
        <v>2</v>
      </c>
      <c r="AD113" s="1214">
        <v>0</v>
      </c>
      <c r="AE113" s="1214">
        <v>0.13</v>
      </c>
      <c r="AF113" s="1215"/>
      <c r="AG113" s="1215"/>
      <c r="AH113" s="1215"/>
      <c r="AI113" s="1215"/>
      <c r="AJ113" s="1216"/>
      <c r="AK113" s="1216"/>
      <c r="AL113" s="1216"/>
      <c r="AM113" s="1216"/>
      <c r="AN113" s="1216"/>
      <c r="AO113" s="1216"/>
      <c r="AP113" s="1216"/>
      <c r="AQ113" s="1216"/>
      <c r="AR113" s="1216"/>
      <c r="AS113" s="1216"/>
      <c r="AT113" s="1216"/>
      <c r="AU113" s="1120" cm="1">
        <f t="array" ref="AU113">IF(H113="","",Slookup(MID(X113,1,3)*1,UomConversion!$D$8:$J$500,2,UomConversion!$I$8:$I$500,1,UomConversion!$J$8:$J$500,1))</f>
        <v>2</v>
      </c>
      <c r="AV113" s="401" t="str">
        <f t="shared" si="77"/>
        <v>002.pcs</v>
      </c>
      <c r="AW113" s="757">
        <f t="shared" si="78"/>
        <v>37</v>
      </c>
      <c r="AX113" s="757">
        <f t="shared" si="78"/>
        <v>2</v>
      </c>
      <c r="AY113" s="757" t="str">
        <f t="shared" si="78"/>
        <v/>
      </c>
      <c r="AZ113" s="1209" cm="1">
        <f t="array" ref="AZ113">IF(Y113="",1,Slookup(MID(X113,1,3)*1,UomConversion!$D$8:$J$500,5,UomConversion!$E$8:$E$500,MID(Y113,1,3)*1,UomConversion!$I$8:$I$500,1))</f>
        <v>180</v>
      </c>
      <c r="BA113" s="1209" cm="1">
        <f t="array" ref="BA113">IF(Z113="",1,Slookup(MID(X113,1,3)*1,UomConversion!$D$8:$J$500,5,UomConversion!$E$8:$E$500,MID(Z113,1,3)*1,UomConversion!$I$8:$I$500,1))</f>
        <v>1</v>
      </c>
      <c r="BB113" s="1217">
        <f t="shared" si="81"/>
        <v>23.400000000000002</v>
      </c>
      <c r="BC113" s="1217">
        <f t="shared" si="82"/>
        <v>-17.87</v>
      </c>
      <c r="BD113" s="1217"/>
    </row>
    <row r="114" spans="2:56" s="1120" customFormat="1" ht="24.95" customHeight="1">
      <c r="B114" s="445"/>
      <c r="C114" s="843">
        <v>95</v>
      </c>
      <c r="D114" s="843"/>
      <c r="E114" s="843"/>
      <c r="F114" s="1116" t="s">
        <v>2505</v>
      </c>
      <c r="G114" s="1117" t="s">
        <v>2505</v>
      </c>
      <c r="H114" s="868" t="s">
        <v>3071</v>
      </c>
      <c r="I114" s="1118" t="s">
        <v>3071</v>
      </c>
      <c r="J114" s="1138" t="s">
        <v>2952</v>
      </c>
      <c r="K114" s="1138" t="s">
        <v>2974</v>
      </c>
      <c r="L114" s="870" t="s">
        <v>2264</v>
      </c>
      <c r="M114" s="868"/>
      <c r="N114" s="1118"/>
      <c r="O114" s="1119">
        <v>4.5599999999999996</v>
      </c>
      <c r="P114" s="884">
        <v>0.75</v>
      </c>
      <c r="Q114" s="885"/>
      <c r="R114" s="843" t="s">
        <v>36</v>
      </c>
      <c r="S114" s="843">
        <v>0</v>
      </c>
      <c r="T114" s="843">
        <v>1</v>
      </c>
      <c r="U114" s="843">
        <v>0</v>
      </c>
      <c r="V114" s="843">
        <v>0</v>
      </c>
      <c r="W114" s="843">
        <v>1</v>
      </c>
      <c r="X114" s="870" t="s">
        <v>2778</v>
      </c>
      <c r="Y114" s="843" t="str">
        <f>IF(OR(ISNA(MATCH(MID(X114,1,3)*1,UomConversion!$D$8:$D$500,0)),H114=""),"",IF(AV114="","",AV114))</f>
        <v>002.pcs</v>
      </c>
      <c r="Z114" s="843" t="str">
        <f>IF(AND(AU114&gt;0,COUNTIFS(UomConversion!$D$8:$D$500,MID(X114,1,3)*1,UomConversion!$J$8:$J$500,1)&gt;1),TEXT(AU114,"000")&amp;"."&amp;VLOOKUP(AU114,uom_list,5,FALSE),"")</f>
        <v/>
      </c>
      <c r="AA114" s="843">
        <f t="shared" si="75"/>
        <v>2</v>
      </c>
      <c r="AB114" s="843" t="str">
        <f t="shared" si="79"/>
        <v>26,2</v>
      </c>
      <c r="AC114" s="843">
        <f t="shared" ref="AC114" si="111">import_pro_number_of_price_type</f>
        <v>2</v>
      </c>
      <c r="AD114" s="1214">
        <v>0</v>
      </c>
      <c r="AE114" s="1214">
        <v>0.75</v>
      </c>
      <c r="AF114" s="1215"/>
      <c r="AG114" s="1215"/>
      <c r="AH114" s="1215"/>
      <c r="AI114" s="1215"/>
      <c r="AJ114" s="1216"/>
      <c r="AK114" s="1216"/>
      <c r="AL114" s="1216"/>
      <c r="AM114" s="1216"/>
      <c r="AN114" s="1216"/>
      <c r="AO114" s="1216"/>
      <c r="AP114" s="1216"/>
      <c r="AQ114" s="1216"/>
      <c r="AR114" s="1216"/>
      <c r="AS114" s="1216"/>
      <c r="AT114" s="1216"/>
      <c r="AU114" s="1120" cm="1">
        <f t="array" ref="AU114">IF(H114="","",Slookup(MID(X114,1,3)*1,UomConversion!$D$8:$J$500,2,UomConversion!$I$8:$I$500,1,UomConversion!$J$8:$J$500,1))</f>
        <v>2</v>
      </c>
      <c r="AV114" s="401" t="str">
        <f t="shared" si="77"/>
        <v>002.pcs</v>
      </c>
      <c r="AW114" s="757">
        <f t="shared" si="78"/>
        <v>26</v>
      </c>
      <c r="AX114" s="757">
        <f t="shared" si="78"/>
        <v>2</v>
      </c>
      <c r="AY114" s="757" t="str">
        <f t="shared" si="78"/>
        <v/>
      </c>
      <c r="AZ114" s="1209" cm="1">
        <f t="array" ref="AZ114">IF(Y114="",1,Slookup(MID(X114,1,3)*1,UomConversion!$D$8:$J$500,5,UomConversion!$E$8:$E$500,MID(Y114,1,3)*1,UomConversion!$I$8:$I$500,1))</f>
        <v>12</v>
      </c>
      <c r="BA114" s="1209" cm="1">
        <f t="array" ref="BA114">IF(Z114="",1,Slookup(MID(X114,1,3)*1,UomConversion!$D$8:$J$500,5,UomConversion!$E$8:$E$500,MID(Z114,1,3)*1,UomConversion!$I$8:$I$500,1))</f>
        <v>1</v>
      </c>
      <c r="BB114" s="1217">
        <f t="shared" si="81"/>
        <v>9</v>
      </c>
      <c r="BC114" s="1217">
        <f t="shared" si="82"/>
        <v>-3.8099999999999996</v>
      </c>
      <c r="BD114" s="1217"/>
    </row>
    <row r="115" spans="2:56" s="1120" customFormat="1" ht="24.95" customHeight="1">
      <c r="B115" s="445"/>
      <c r="C115" s="843">
        <v>96</v>
      </c>
      <c r="D115" s="843"/>
      <c r="E115" s="843"/>
      <c r="F115" s="1116" t="s">
        <v>2507</v>
      </c>
      <c r="G115" s="1117" t="s">
        <v>2507</v>
      </c>
      <c r="H115" s="868" t="s">
        <v>3072</v>
      </c>
      <c r="I115" s="1118" t="s">
        <v>3072</v>
      </c>
      <c r="J115" s="1138" t="s">
        <v>2951</v>
      </c>
      <c r="K115" s="1138" t="s">
        <v>2974</v>
      </c>
      <c r="L115" s="870" t="s">
        <v>2264</v>
      </c>
      <c r="M115" s="868"/>
      <c r="N115" s="1118"/>
      <c r="O115" s="1119">
        <v>3.24</v>
      </c>
      <c r="P115" s="884">
        <v>0.38</v>
      </c>
      <c r="Q115" s="885"/>
      <c r="R115" s="843" t="s">
        <v>36</v>
      </c>
      <c r="S115" s="843">
        <v>0</v>
      </c>
      <c r="T115" s="843">
        <v>1</v>
      </c>
      <c r="U115" s="843">
        <v>0</v>
      </c>
      <c r="V115" s="843">
        <v>0</v>
      </c>
      <c r="W115" s="843">
        <v>1</v>
      </c>
      <c r="X115" s="870" t="s">
        <v>2778</v>
      </c>
      <c r="Y115" s="843" t="str">
        <f>IF(OR(ISNA(MATCH(MID(X115,1,3)*1,UomConversion!$D$8:$D$500,0)),H115=""),"",IF(AV115="","",AV115))</f>
        <v>002.pcs</v>
      </c>
      <c r="Z115" s="843" t="str">
        <f>IF(AND(AU115&gt;0,COUNTIFS(UomConversion!$D$8:$D$500,MID(X115,1,3)*1,UomConversion!$J$8:$J$500,1)&gt;1),TEXT(AU115,"000")&amp;"."&amp;VLOOKUP(AU115,uom_list,5,FALSE),"")</f>
        <v/>
      </c>
      <c r="AA115" s="843">
        <f t="shared" si="75"/>
        <v>2</v>
      </c>
      <c r="AB115" s="843" t="str">
        <f t="shared" si="79"/>
        <v>26,2</v>
      </c>
      <c r="AC115" s="843">
        <f t="shared" ref="AC115" si="112">import_pro_number_of_price_type</f>
        <v>2</v>
      </c>
      <c r="AD115" s="1214">
        <v>0</v>
      </c>
      <c r="AE115" s="1214">
        <v>0.38</v>
      </c>
      <c r="AF115" s="1215"/>
      <c r="AG115" s="1215"/>
      <c r="AH115" s="1215"/>
      <c r="AI115" s="1215"/>
      <c r="AJ115" s="1216"/>
      <c r="AK115" s="1216"/>
      <c r="AL115" s="1216"/>
      <c r="AM115" s="1216"/>
      <c r="AN115" s="1216"/>
      <c r="AO115" s="1216"/>
      <c r="AP115" s="1216"/>
      <c r="AQ115" s="1216"/>
      <c r="AR115" s="1216"/>
      <c r="AS115" s="1216"/>
      <c r="AT115" s="1216"/>
      <c r="AU115" s="1120" cm="1">
        <f t="array" ref="AU115">IF(H115="","",Slookup(MID(X115,1,3)*1,UomConversion!$D$8:$J$500,2,UomConversion!$I$8:$I$500,1,UomConversion!$J$8:$J$500,1))</f>
        <v>2</v>
      </c>
      <c r="AV115" s="401" t="str">
        <f t="shared" si="77"/>
        <v>002.pcs</v>
      </c>
      <c r="AW115" s="757">
        <f t="shared" si="78"/>
        <v>26</v>
      </c>
      <c r="AX115" s="757">
        <f t="shared" si="78"/>
        <v>2</v>
      </c>
      <c r="AY115" s="757" t="str">
        <f t="shared" si="78"/>
        <v/>
      </c>
      <c r="AZ115" s="1209" cm="1">
        <f t="array" ref="AZ115">IF(Y115="",1,Slookup(MID(X115,1,3)*1,UomConversion!$D$8:$J$500,5,UomConversion!$E$8:$E$500,MID(Y115,1,3)*1,UomConversion!$I$8:$I$500,1))</f>
        <v>12</v>
      </c>
      <c r="BA115" s="1209" cm="1">
        <f t="array" ref="BA115">IF(Z115="",1,Slookup(MID(X115,1,3)*1,UomConversion!$D$8:$J$500,5,UomConversion!$E$8:$E$500,MID(Z115,1,3)*1,UomConversion!$I$8:$I$500,1))</f>
        <v>1</v>
      </c>
      <c r="BB115" s="1217">
        <f t="shared" si="81"/>
        <v>4.5600000000000005</v>
      </c>
      <c r="BC115" s="1217">
        <f t="shared" si="82"/>
        <v>-2.8600000000000003</v>
      </c>
      <c r="BD115" s="1217"/>
    </row>
    <row r="116" spans="2:56" s="1120" customFormat="1" ht="24.95" customHeight="1">
      <c r="B116" s="445"/>
      <c r="C116" s="843">
        <v>97</v>
      </c>
      <c r="D116" s="843"/>
      <c r="E116" s="843"/>
      <c r="F116" s="1116" t="s">
        <v>2509</v>
      </c>
      <c r="G116" s="1117" t="s">
        <v>2509</v>
      </c>
      <c r="H116" s="868" t="s">
        <v>3073</v>
      </c>
      <c r="I116" s="1118" t="s">
        <v>3073</v>
      </c>
      <c r="J116" s="1138" t="s">
        <v>2951</v>
      </c>
      <c r="K116" s="1138" t="s">
        <v>2974</v>
      </c>
      <c r="L116" s="870" t="s">
        <v>2264</v>
      </c>
      <c r="M116" s="868"/>
      <c r="N116" s="1118"/>
      <c r="O116" s="1119">
        <v>3.6</v>
      </c>
      <c r="P116" s="884">
        <v>0.5</v>
      </c>
      <c r="Q116" s="885"/>
      <c r="R116" s="843" t="s">
        <v>36</v>
      </c>
      <c r="S116" s="843">
        <v>0</v>
      </c>
      <c r="T116" s="843">
        <v>1</v>
      </c>
      <c r="U116" s="843">
        <v>0</v>
      </c>
      <c r="V116" s="843">
        <v>0</v>
      </c>
      <c r="W116" s="843">
        <v>1</v>
      </c>
      <c r="X116" s="870" t="s">
        <v>2778</v>
      </c>
      <c r="Y116" s="843" t="str">
        <f>IF(OR(ISNA(MATCH(MID(X116,1,3)*1,UomConversion!$D$8:$D$500,0)),H116=""),"",IF(AV116="","",AV116))</f>
        <v>002.pcs</v>
      </c>
      <c r="Z116" s="843" t="str">
        <f>IF(AND(AU116&gt;0,COUNTIFS(UomConversion!$D$8:$D$500,MID(X116,1,3)*1,UomConversion!$J$8:$J$500,1)&gt;1),TEXT(AU116,"000")&amp;"."&amp;VLOOKUP(AU116,uom_list,5,FALSE),"")</f>
        <v/>
      </c>
      <c r="AA116" s="843">
        <f t="shared" si="75"/>
        <v>2</v>
      </c>
      <c r="AB116" s="843" t="str">
        <f t="shared" si="79"/>
        <v>26,2</v>
      </c>
      <c r="AC116" s="843">
        <f t="shared" ref="AC116" si="113">import_pro_number_of_price_type</f>
        <v>2</v>
      </c>
      <c r="AD116" s="1214">
        <v>0</v>
      </c>
      <c r="AE116" s="1214">
        <v>0.5</v>
      </c>
      <c r="AF116" s="1215"/>
      <c r="AG116" s="1215"/>
      <c r="AH116" s="1215"/>
      <c r="AI116" s="1215"/>
      <c r="AJ116" s="1216"/>
      <c r="AK116" s="1216"/>
      <c r="AL116" s="1216"/>
      <c r="AM116" s="1216"/>
      <c r="AN116" s="1216"/>
      <c r="AO116" s="1216"/>
      <c r="AP116" s="1216"/>
      <c r="AQ116" s="1216"/>
      <c r="AR116" s="1216"/>
      <c r="AS116" s="1216"/>
      <c r="AT116" s="1216"/>
      <c r="AU116" s="1120" cm="1">
        <f t="array" ref="AU116">IF(H116="","",Slookup(MID(X116,1,3)*1,UomConversion!$D$8:$J$500,2,UomConversion!$I$8:$I$500,1,UomConversion!$J$8:$J$500,1))</f>
        <v>2</v>
      </c>
      <c r="AV116" s="401" t="str">
        <f t="shared" si="77"/>
        <v>002.pcs</v>
      </c>
      <c r="AW116" s="757">
        <f t="shared" ref="AW116:AY147" si="114">IF(X116="","",MID(X116,1,3)*1)</f>
        <v>26</v>
      </c>
      <c r="AX116" s="757">
        <f t="shared" si="114"/>
        <v>2</v>
      </c>
      <c r="AY116" s="757" t="str">
        <f t="shared" si="114"/>
        <v/>
      </c>
      <c r="AZ116" s="1209" cm="1">
        <f t="array" ref="AZ116">IF(Y116="",1,Slookup(MID(X116,1,3)*1,UomConversion!$D$8:$J$500,5,UomConversion!$E$8:$E$500,MID(Y116,1,3)*1,UomConversion!$I$8:$I$500,1))</f>
        <v>12</v>
      </c>
      <c r="BA116" s="1209" cm="1">
        <f t="array" ref="BA116">IF(Z116="",1,Slookup(MID(X116,1,3)*1,UomConversion!$D$8:$J$500,5,UomConversion!$E$8:$E$500,MID(Z116,1,3)*1,UomConversion!$I$8:$I$500,1))</f>
        <v>1</v>
      </c>
      <c r="BB116" s="1217">
        <f t="shared" si="81"/>
        <v>6</v>
      </c>
      <c r="BC116" s="1217">
        <f t="shared" si="82"/>
        <v>-3.1</v>
      </c>
      <c r="BD116" s="1217"/>
    </row>
    <row r="117" spans="2:56" s="1120" customFormat="1" ht="24.95" customHeight="1">
      <c r="B117" s="445"/>
      <c r="C117" s="843">
        <v>98</v>
      </c>
      <c r="D117" s="843"/>
      <c r="E117" s="843"/>
      <c r="F117" s="1116" t="s">
        <v>2511</v>
      </c>
      <c r="G117" s="1117" t="s">
        <v>2511</v>
      </c>
      <c r="H117" s="868" t="s">
        <v>3074</v>
      </c>
      <c r="I117" s="1118" t="s">
        <v>3074</v>
      </c>
      <c r="J117" s="1138" t="s">
        <v>2952</v>
      </c>
      <c r="K117" s="1138" t="s">
        <v>2974</v>
      </c>
      <c r="L117" s="870" t="s">
        <v>2722</v>
      </c>
      <c r="M117" s="868"/>
      <c r="N117" s="1118"/>
      <c r="O117" s="1119">
        <v>9.6</v>
      </c>
      <c r="P117" s="884">
        <v>0.75</v>
      </c>
      <c r="Q117" s="885"/>
      <c r="R117" s="843" t="s">
        <v>1897</v>
      </c>
      <c r="S117" s="843">
        <v>0</v>
      </c>
      <c r="T117" s="843">
        <v>1</v>
      </c>
      <c r="U117" s="843">
        <v>0</v>
      </c>
      <c r="V117" s="843">
        <v>0</v>
      </c>
      <c r="W117" s="843">
        <v>1</v>
      </c>
      <c r="X117" s="870" t="s">
        <v>2915</v>
      </c>
      <c r="Y117" s="843" t="str">
        <f>IF(OR(ISNA(MATCH(MID(X117,1,3)*1,UomConversion!$D$8:$D$500,0)),H117=""),"",IF(AV117="","",AV117))</f>
        <v>002.pcs</v>
      </c>
      <c r="Z117" s="843" t="str">
        <f>IF(AND(AU117&gt;0,COUNTIFS(UomConversion!$D$8:$D$500,MID(X117,1,3)*1,UomConversion!$J$8:$J$500,1)&gt;1),TEXT(AU117,"000")&amp;"."&amp;VLOOKUP(AU117,uom_list,5,FALSE),"")</f>
        <v/>
      </c>
      <c r="AA117" s="843">
        <f t="shared" si="75"/>
        <v>2</v>
      </c>
      <c r="AB117" s="843" t="str">
        <f t="shared" si="79"/>
        <v>32,2</v>
      </c>
      <c r="AC117" s="843">
        <f t="shared" ref="AC117" si="115">import_pro_number_of_price_type</f>
        <v>2</v>
      </c>
      <c r="AD117" s="1214">
        <v>0</v>
      </c>
      <c r="AE117" s="1214">
        <v>0.75</v>
      </c>
      <c r="AF117" s="1215"/>
      <c r="AG117" s="1215"/>
      <c r="AH117" s="1215"/>
      <c r="AI117" s="1215"/>
      <c r="AJ117" s="1216"/>
      <c r="AK117" s="1216"/>
      <c r="AL117" s="1216"/>
      <c r="AM117" s="1216"/>
      <c r="AN117" s="1216"/>
      <c r="AO117" s="1216"/>
      <c r="AP117" s="1216"/>
      <c r="AQ117" s="1216"/>
      <c r="AR117" s="1216"/>
      <c r="AS117" s="1216"/>
      <c r="AT117" s="1216"/>
      <c r="AU117" s="1120" cm="1">
        <f t="array" ref="AU117">IF(H117="","",Slookup(MID(X117,1,3)*1,UomConversion!$D$8:$J$500,2,UomConversion!$I$8:$I$500,1,UomConversion!$J$8:$J$500,1))</f>
        <v>2</v>
      </c>
      <c r="AV117" s="401" t="str">
        <f t="shared" si="77"/>
        <v>002.pcs</v>
      </c>
      <c r="AW117" s="757">
        <f t="shared" si="114"/>
        <v>32</v>
      </c>
      <c r="AX117" s="757">
        <f t="shared" si="114"/>
        <v>2</v>
      </c>
      <c r="AY117" s="757" t="str">
        <f t="shared" si="114"/>
        <v/>
      </c>
      <c r="AZ117" s="1209" cm="1">
        <f t="array" ref="AZ117">IF(Y117="",1,Slookup(MID(X117,1,3)*1,UomConversion!$D$8:$J$500,5,UomConversion!$E$8:$E$500,MID(Y117,1,3)*1,UomConversion!$I$8:$I$500,1))</f>
        <v>24</v>
      </c>
      <c r="BA117" s="1209" cm="1">
        <f t="array" ref="BA117">IF(Z117="",1,Slookup(MID(X117,1,3)*1,UomConversion!$D$8:$J$500,5,UomConversion!$E$8:$E$500,MID(Z117,1,3)*1,UomConversion!$I$8:$I$500,1))</f>
        <v>1</v>
      </c>
      <c r="BB117" s="1217">
        <f t="shared" si="81"/>
        <v>18</v>
      </c>
      <c r="BC117" s="1217">
        <f t="shared" si="82"/>
        <v>-8.85</v>
      </c>
      <c r="BD117" s="1217"/>
    </row>
    <row r="118" spans="2:56" s="1120" customFormat="1" ht="24.95" customHeight="1">
      <c r="B118" s="445"/>
      <c r="C118" s="843">
        <v>99</v>
      </c>
      <c r="D118" s="843"/>
      <c r="E118" s="843"/>
      <c r="F118" s="1116" t="s">
        <v>2514</v>
      </c>
      <c r="G118" s="1117" t="s">
        <v>2514</v>
      </c>
      <c r="H118" s="868" t="s">
        <v>3075</v>
      </c>
      <c r="I118" s="1118" t="s">
        <v>3075</v>
      </c>
      <c r="J118" s="1138" t="s">
        <v>2951</v>
      </c>
      <c r="K118" s="1138" t="s">
        <v>2974</v>
      </c>
      <c r="L118" s="870" t="s">
        <v>2844</v>
      </c>
      <c r="M118" s="868"/>
      <c r="N118" s="1118"/>
      <c r="O118" s="1119">
        <v>4.8</v>
      </c>
      <c r="P118" s="884">
        <v>0.5</v>
      </c>
      <c r="Q118" s="885"/>
      <c r="R118" s="843" t="s">
        <v>45</v>
      </c>
      <c r="S118" s="843">
        <v>0</v>
      </c>
      <c r="T118" s="843">
        <v>1</v>
      </c>
      <c r="U118" s="843">
        <v>0</v>
      </c>
      <c r="V118" s="843">
        <v>0</v>
      </c>
      <c r="W118" s="843">
        <v>1</v>
      </c>
      <c r="X118" s="870" t="s">
        <v>2921</v>
      </c>
      <c r="Y118" s="843" t="str">
        <f>IF(OR(ISNA(MATCH(MID(X118,1,3)*1,UomConversion!$D$8:$D$500,0)),H118=""),"",IF(AV118="","",AV118))</f>
        <v>002.pcs</v>
      </c>
      <c r="Z118" s="843" t="str">
        <f>IF(AND(AU118&gt;0,COUNTIFS(UomConversion!$D$8:$D$500,MID(X118,1,3)*1,UomConversion!$J$8:$J$500,1)&gt;1),TEXT(AU118,"000")&amp;"."&amp;VLOOKUP(AU118,uom_list,5,FALSE),"")</f>
        <v/>
      </c>
      <c r="AA118" s="843">
        <f t="shared" si="75"/>
        <v>2</v>
      </c>
      <c r="AB118" s="843" t="str">
        <f t="shared" si="79"/>
        <v>31,2</v>
      </c>
      <c r="AC118" s="843">
        <f t="shared" ref="AC118" si="116">import_pro_number_of_price_type</f>
        <v>2</v>
      </c>
      <c r="AD118" s="1214">
        <v>0</v>
      </c>
      <c r="AE118" s="1214">
        <v>0.5</v>
      </c>
      <c r="AF118" s="1215"/>
      <c r="AG118" s="1215"/>
      <c r="AH118" s="1215"/>
      <c r="AI118" s="1215"/>
      <c r="AJ118" s="1216"/>
      <c r="AK118" s="1216"/>
      <c r="AL118" s="1216"/>
      <c r="AM118" s="1216"/>
      <c r="AN118" s="1216"/>
      <c r="AO118" s="1216"/>
      <c r="AP118" s="1216"/>
      <c r="AQ118" s="1216"/>
      <c r="AR118" s="1216"/>
      <c r="AS118" s="1216"/>
      <c r="AT118" s="1216"/>
      <c r="AU118" s="1120" cm="1">
        <f t="array" ref="AU118">IF(H118="","",Slookup(MID(X118,1,3)*1,UomConversion!$D$8:$J$500,2,UomConversion!$I$8:$I$500,1,UomConversion!$J$8:$J$500,1))</f>
        <v>2</v>
      </c>
      <c r="AV118" s="401" t="str">
        <f t="shared" si="77"/>
        <v>002.pcs</v>
      </c>
      <c r="AW118" s="757">
        <f t="shared" si="114"/>
        <v>31</v>
      </c>
      <c r="AX118" s="757">
        <f t="shared" si="114"/>
        <v>2</v>
      </c>
      <c r="AY118" s="757" t="str">
        <f t="shared" si="114"/>
        <v/>
      </c>
      <c r="AZ118" s="1209" cm="1">
        <f t="array" ref="AZ118">IF(Y118="",1,Slookup(MID(X118,1,3)*1,UomConversion!$D$8:$J$500,5,UomConversion!$E$8:$E$500,MID(Y118,1,3)*1,UomConversion!$I$8:$I$500,1))</f>
        <v>20</v>
      </c>
      <c r="BA118" s="1209" cm="1">
        <f t="array" ref="BA118">IF(Z118="",1,Slookup(MID(X118,1,3)*1,UomConversion!$D$8:$J$500,5,UomConversion!$E$8:$E$500,MID(Z118,1,3)*1,UomConversion!$I$8:$I$500,1))</f>
        <v>1</v>
      </c>
      <c r="BB118" s="1217">
        <f t="shared" si="81"/>
        <v>10</v>
      </c>
      <c r="BC118" s="1217">
        <f t="shared" si="82"/>
        <v>-4.3</v>
      </c>
      <c r="BD118" s="1217"/>
    </row>
    <row r="119" spans="2:56" s="1120" customFormat="1" ht="24.95" customHeight="1">
      <c r="B119" s="445"/>
      <c r="C119" s="843">
        <v>100</v>
      </c>
      <c r="D119" s="843"/>
      <c r="E119" s="843"/>
      <c r="F119" s="1116" t="s">
        <v>2516</v>
      </c>
      <c r="G119" s="1117" t="s">
        <v>2516</v>
      </c>
      <c r="H119" s="868" t="s">
        <v>3076</v>
      </c>
      <c r="I119" s="1118" t="s">
        <v>3076</v>
      </c>
      <c r="J119" s="1138" t="s">
        <v>2952</v>
      </c>
      <c r="K119" s="1138" t="s">
        <v>2974</v>
      </c>
      <c r="L119" s="870" t="s">
        <v>2264</v>
      </c>
      <c r="M119" s="868"/>
      <c r="N119" s="1118"/>
      <c r="O119" s="1119">
        <v>66</v>
      </c>
      <c r="P119" s="884">
        <v>6</v>
      </c>
      <c r="Q119" s="885"/>
      <c r="R119" s="843" t="s">
        <v>36</v>
      </c>
      <c r="S119" s="843">
        <v>0</v>
      </c>
      <c r="T119" s="843">
        <v>1</v>
      </c>
      <c r="U119" s="843">
        <v>0</v>
      </c>
      <c r="V119" s="843">
        <v>0</v>
      </c>
      <c r="W119" s="843">
        <v>1</v>
      </c>
      <c r="X119" s="870" t="s">
        <v>2778</v>
      </c>
      <c r="Y119" s="843" t="str">
        <f>IF(OR(ISNA(MATCH(MID(X119,1,3)*1,UomConversion!$D$8:$D$500,0)),H119=""),"",IF(AV119="","",AV119))</f>
        <v>002.pcs</v>
      </c>
      <c r="Z119" s="843" t="str">
        <f>IF(AND(AU119&gt;0,COUNTIFS(UomConversion!$D$8:$D$500,MID(X119,1,3)*1,UomConversion!$J$8:$J$500,1)&gt;1),TEXT(AU119,"000")&amp;"."&amp;VLOOKUP(AU119,uom_list,5,FALSE),"")</f>
        <v/>
      </c>
      <c r="AA119" s="843">
        <f t="shared" si="75"/>
        <v>2</v>
      </c>
      <c r="AB119" s="843" t="str">
        <f t="shared" si="79"/>
        <v>26,2</v>
      </c>
      <c r="AC119" s="843">
        <f t="shared" ref="AC119" si="117">import_pro_number_of_price_type</f>
        <v>2</v>
      </c>
      <c r="AD119" s="1214">
        <v>0</v>
      </c>
      <c r="AE119" s="1214">
        <v>6</v>
      </c>
      <c r="AF119" s="1215"/>
      <c r="AG119" s="1215"/>
      <c r="AH119" s="1215"/>
      <c r="AI119" s="1215"/>
      <c r="AJ119" s="1216"/>
      <c r="AK119" s="1216"/>
      <c r="AL119" s="1216"/>
      <c r="AM119" s="1216"/>
      <c r="AN119" s="1216"/>
      <c r="AO119" s="1216"/>
      <c r="AP119" s="1216"/>
      <c r="AQ119" s="1216"/>
      <c r="AR119" s="1216"/>
      <c r="AS119" s="1216"/>
      <c r="AT119" s="1216"/>
      <c r="AU119" s="1120" cm="1">
        <f t="array" ref="AU119">IF(H119="","",Slookup(MID(X119,1,3)*1,UomConversion!$D$8:$J$500,2,UomConversion!$I$8:$I$500,1,UomConversion!$J$8:$J$500,1))</f>
        <v>2</v>
      </c>
      <c r="AV119" s="401" t="str">
        <f t="shared" si="77"/>
        <v>002.pcs</v>
      </c>
      <c r="AW119" s="757">
        <f t="shared" si="114"/>
        <v>26</v>
      </c>
      <c r="AX119" s="757">
        <f t="shared" si="114"/>
        <v>2</v>
      </c>
      <c r="AY119" s="757" t="str">
        <f t="shared" si="114"/>
        <v/>
      </c>
      <c r="AZ119" s="1209" cm="1">
        <f t="array" ref="AZ119">IF(Y119="",1,Slookup(MID(X119,1,3)*1,UomConversion!$D$8:$J$500,5,UomConversion!$E$8:$E$500,MID(Y119,1,3)*1,UomConversion!$I$8:$I$500,1))</f>
        <v>12</v>
      </c>
      <c r="BA119" s="1209" cm="1">
        <f t="array" ref="BA119">IF(Z119="",1,Slookup(MID(X119,1,3)*1,UomConversion!$D$8:$J$500,5,UomConversion!$E$8:$E$500,MID(Z119,1,3)*1,UomConversion!$I$8:$I$500,1))</f>
        <v>1</v>
      </c>
      <c r="BB119" s="1217">
        <f t="shared" si="81"/>
        <v>72</v>
      </c>
      <c r="BC119" s="1217">
        <f t="shared" si="82"/>
        <v>-60</v>
      </c>
      <c r="BD119" s="1217"/>
    </row>
    <row r="120" spans="2:56" s="1120" customFormat="1" ht="24.95" customHeight="1">
      <c r="B120" s="445"/>
      <c r="C120" s="843">
        <v>101</v>
      </c>
      <c r="D120" s="843"/>
      <c r="E120" s="843"/>
      <c r="F120" s="1116" t="s">
        <v>2518</v>
      </c>
      <c r="G120" s="1117" t="s">
        <v>2518</v>
      </c>
      <c r="H120" s="868" t="s">
        <v>3077</v>
      </c>
      <c r="I120" s="1118" t="s">
        <v>3077</v>
      </c>
      <c r="J120" s="1138" t="s">
        <v>2957</v>
      </c>
      <c r="K120" s="1138" t="s">
        <v>2975</v>
      </c>
      <c r="L120" s="870" t="s">
        <v>2742</v>
      </c>
      <c r="M120" s="868" t="s">
        <v>2174</v>
      </c>
      <c r="N120" s="1118"/>
      <c r="O120" s="1119">
        <v>5</v>
      </c>
      <c r="P120" s="884">
        <v>5.5</v>
      </c>
      <c r="Q120" s="885"/>
      <c r="R120" s="843">
        <v>4500</v>
      </c>
      <c r="S120" s="843">
        <v>0</v>
      </c>
      <c r="T120" s="843">
        <v>1</v>
      </c>
      <c r="U120" s="843">
        <v>0</v>
      </c>
      <c r="V120" s="843">
        <v>0</v>
      </c>
      <c r="W120" s="843">
        <v>1</v>
      </c>
      <c r="X120" s="870" t="s">
        <v>2923</v>
      </c>
      <c r="Y120" s="843" t="str">
        <f>IF(OR(ISNA(MATCH(MID(X120,1,3)*1,UomConversion!$D$8:$D$500,0)),H120=""),"",IF(AV120="","",AV120))</f>
        <v>011.g</v>
      </c>
      <c r="Z120" s="843" t="str">
        <f>IF(AND(AU120&gt;0,COUNTIFS(UomConversion!$D$8:$D$500,MID(X120,1,3)*1,UomConversion!$J$8:$J$500,1)&gt;1),TEXT(AU120,"000")&amp;"."&amp;VLOOKUP(AU120,uom_list,5,FALSE),"")</f>
        <v/>
      </c>
      <c r="AA120" s="843">
        <f t="shared" si="75"/>
        <v>2</v>
      </c>
      <c r="AB120" s="843" t="str">
        <f t="shared" si="79"/>
        <v>46,11</v>
      </c>
      <c r="AC120" s="843">
        <f t="shared" ref="AC120" si="118">import_pro_number_of_price_type</f>
        <v>2</v>
      </c>
      <c r="AD120" s="1219">
        <v>0</v>
      </c>
      <c r="AE120" s="1214">
        <v>1E-3</v>
      </c>
      <c r="AF120" s="1215"/>
      <c r="AG120" s="1215"/>
      <c r="AH120" s="1215"/>
      <c r="AI120" s="1215"/>
      <c r="AJ120" s="1216"/>
      <c r="AK120" s="1216"/>
      <c r="AL120" s="1216"/>
      <c r="AM120" s="1216"/>
      <c r="AN120" s="1216"/>
      <c r="AO120" s="1216"/>
      <c r="AP120" s="1216"/>
      <c r="AQ120" s="1216"/>
      <c r="AR120" s="1216"/>
      <c r="AS120" s="1216"/>
      <c r="AT120" s="1216"/>
      <c r="AU120" s="1120" cm="1">
        <f t="array" ref="AU120">IF(H120="","",Slookup(MID(X120,1,3)*1,UomConversion!$D$8:$J$500,2,UomConversion!$I$8:$I$500,1,UomConversion!$J$8:$J$500,1))</f>
        <v>11</v>
      </c>
      <c r="AV120" s="401" t="str">
        <f t="shared" si="77"/>
        <v>011.g</v>
      </c>
      <c r="AW120" s="757">
        <f t="shared" si="114"/>
        <v>46</v>
      </c>
      <c r="AX120" s="757">
        <f t="shared" si="114"/>
        <v>11</v>
      </c>
      <c r="AY120" s="757" t="str">
        <f t="shared" si="114"/>
        <v/>
      </c>
      <c r="AZ120" s="1209" cm="1">
        <f t="array" ref="AZ120">IF(Y120="",1,Slookup(MID(X120,1,3)*1,UomConversion!$D$8:$J$500,5,UomConversion!$E$8:$E$500,MID(Y120,1,3)*1,UomConversion!$I$8:$I$500,1))</f>
        <v>4500</v>
      </c>
      <c r="BA120" s="1209" cm="1">
        <f t="array" ref="BA120">IF(Z120="",1,Slookup(MID(X120,1,3)*1,UomConversion!$D$8:$J$500,5,UomConversion!$E$8:$E$500,MID(Z120,1,3)*1,UomConversion!$I$8:$I$500,1))</f>
        <v>1</v>
      </c>
      <c r="BB120" s="1217">
        <f t="shared" si="81"/>
        <v>4.5</v>
      </c>
      <c r="BC120" s="1217">
        <f t="shared" si="82"/>
        <v>0.5</v>
      </c>
      <c r="BD120" s="1221"/>
    </row>
    <row r="121" spans="2:56" s="1120" customFormat="1" ht="24.95" customHeight="1">
      <c r="B121" s="445"/>
      <c r="C121" s="843">
        <v>102</v>
      </c>
      <c r="D121" s="843"/>
      <c r="E121" s="843"/>
      <c r="F121" s="1116" t="s">
        <v>2520</v>
      </c>
      <c r="G121" s="1117" t="s">
        <v>2520</v>
      </c>
      <c r="H121" s="868" t="s">
        <v>3078</v>
      </c>
      <c r="I121" s="1118" t="s">
        <v>3078</v>
      </c>
      <c r="J121" s="1138" t="s">
        <v>2957</v>
      </c>
      <c r="K121" s="1138" t="s">
        <v>2974</v>
      </c>
      <c r="L121" s="870" t="s">
        <v>2725</v>
      </c>
      <c r="M121" s="868" t="s">
        <v>2174</v>
      </c>
      <c r="N121" s="1118"/>
      <c r="O121" s="1119">
        <v>108</v>
      </c>
      <c r="P121" s="884">
        <v>5</v>
      </c>
      <c r="Q121" s="885"/>
      <c r="R121" s="843" t="s">
        <v>1897</v>
      </c>
      <c r="S121" s="843">
        <v>0</v>
      </c>
      <c r="T121" s="843">
        <v>1</v>
      </c>
      <c r="U121" s="843">
        <v>0</v>
      </c>
      <c r="V121" s="843">
        <v>0</v>
      </c>
      <c r="W121" s="843">
        <v>1</v>
      </c>
      <c r="X121" s="870" t="s">
        <v>2924</v>
      </c>
      <c r="Y121" s="843" t="str">
        <f>IF(OR(ISNA(MATCH(MID(X121,1,3)*1,UomConversion!$D$8:$D$500,0)),H121=""),"",IF(AV121="","",AV121))</f>
        <v>003.Pack</v>
      </c>
      <c r="Z121" s="843" t="str">
        <f>IF(AND(AU121&gt;0,COUNTIFS(UomConversion!$D$8:$D$500,MID(X121,1,3)*1,UomConversion!$J$8:$J$500,1)&gt;1),TEXT(AU121,"000")&amp;"."&amp;VLOOKUP(AU121,uom_list,5,FALSE),"")</f>
        <v/>
      </c>
      <c r="AA121" s="843">
        <f t="shared" si="75"/>
        <v>2</v>
      </c>
      <c r="AB121" s="843" t="str">
        <f t="shared" si="79"/>
        <v>44,3</v>
      </c>
      <c r="AC121" s="843">
        <f t="shared" ref="AC121" si="119">import_pro_number_of_price_type</f>
        <v>2</v>
      </c>
      <c r="AD121" s="1214">
        <v>0</v>
      </c>
      <c r="AE121" s="1214">
        <v>5</v>
      </c>
      <c r="AF121" s="1215"/>
      <c r="AG121" s="1215"/>
      <c r="AH121" s="1215"/>
      <c r="AI121" s="1215"/>
      <c r="AJ121" s="1216"/>
      <c r="AK121" s="1216"/>
      <c r="AL121" s="1216"/>
      <c r="AM121" s="1216"/>
      <c r="AN121" s="1216"/>
      <c r="AO121" s="1216"/>
      <c r="AP121" s="1216"/>
      <c r="AQ121" s="1216"/>
      <c r="AR121" s="1216"/>
      <c r="AS121" s="1216"/>
      <c r="AT121" s="1216"/>
      <c r="AU121" s="1120" cm="1">
        <f t="array" ref="AU121">IF(H121="","",Slookup(MID(X121,1,3)*1,UomConversion!$D$8:$J$500,2,UomConversion!$I$8:$I$500,1,UomConversion!$J$8:$J$500,1))</f>
        <v>3</v>
      </c>
      <c r="AV121" s="401" t="str">
        <f t="shared" si="77"/>
        <v>003.Pack</v>
      </c>
      <c r="AW121" s="757">
        <f t="shared" si="114"/>
        <v>44</v>
      </c>
      <c r="AX121" s="757">
        <f t="shared" si="114"/>
        <v>3</v>
      </c>
      <c r="AY121" s="757" t="str">
        <f t="shared" si="114"/>
        <v/>
      </c>
      <c r="AZ121" s="1209" cm="1">
        <f t="array" ref="AZ121">IF(Y121="",1,Slookup(MID(X121,1,3)*1,UomConversion!$D$8:$J$500,5,UomConversion!$E$8:$E$500,MID(Y121,1,3)*1,UomConversion!$I$8:$I$500,1))</f>
        <v>24</v>
      </c>
      <c r="BA121" s="1209" cm="1">
        <f t="array" ref="BA121">IF(Z121="",1,Slookup(MID(X121,1,3)*1,UomConversion!$D$8:$J$500,5,UomConversion!$E$8:$E$500,MID(Z121,1,3)*1,UomConversion!$I$8:$I$500,1))</f>
        <v>1</v>
      </c>
      <c r="BB121" s="1217">
        <f t="shared" si="81"/>
        <v>120</v>
      </c>
      <c r="BC121" s="1217">
        <f t="shared" si="82"/>
        <v>-103</v>
      </c>
      <c r="BD121" s="1217"/>
    </row>
    <row r="122" spans="2:56" s="1120" customFormat="1" ht="24.95" customHeight="1">
      <c r="B122" s="445"/>
      <c r="C122" s="843">
        <v>103</v>
      </c>
      <c r="D122" s="843"/>
      <c r="E122" s="843"/>
      <c r="F122" s="1116" t="s">
        <v>2522</v>
      </c>
      <c r="G122" s="1117" t="s">
        <v>2522</v>
      </c>
      <c r="H122" s="868" t="s">
        <v>3079</v>
      </c>
      <c r="I122" s="1118" t="s">
        <v>3079</v>
      </c>
      <c r="J122" s="1138" t="s">
        <v>2958</v>
      </c>
      <c r="K122" s="1138" t="s">
        <v>2976</v>
      </c>
      <c r="L122" s="870" t="s">
        <v>2264</v>
      </c>
      <c r="M122" s="868" t="s">
        <v>2174</v>
      </c>
      <c r="N122" s="1118"/>
      <c r="O122" s="1119">
        <v>9</v>
      </c>
      <c r="P122" s="884">
        <v>1</v>
      </c>
      <c r="Q122" s="885"/>
      <c r="R122" s="843" t="s">
        <v>36</v>
      </c>
      <c r="S122" s="843">
        <v>0</v>
      </c>
      <c r="T122" s="843">
        <v>1</v>
      </c>
      <c r="U122" s="843">
        <v>0</v>
      </c>
      <c r="V122" s="843">
        <v>0</v>
      </c>
      <c r="W122" s="843">
        <v>1</v>
      </c>
      <c r="X122" s="870" t="s">
        <v>2778</v>
      </c>
      <c r="Y122" s="843" t="str">
        <f>IF(OR(ISNA(MATCH(MID(X122,1,3)*1,UomConversion!$D$8:$D$500,0)),H122=""),"",IF(AV122="","",AV122))</f>
        <v>002.pcs</v>
      </c>
      <c r="Z122" s="843" t="str">
        <f>IF(AND(AU122&gt;0,COUNTIFS(UomConversion!$D$8:$D$500,MID(X122,1,3)*1,UomConversion!$J$8:$J$500,1)&gt;1),TEXT(AU122,"000")&amp;"."&amp;VLOOKUP(AU122,uom_list,5,FALSE),"")</f>
        <v/>
      </c>
      <c r="AA122" s="843">
        <f t="shared" si="75"/>
        <v>2</v>
      </c>
      <c r="AB122" s="843" t="str">
        <f t="shared" si="79"/>
        <v>26,2</v>
      </c>
      <c r="AC122" s="843">
        <f t="shared" ref="AC122" si="120">import_pro_number_of_price_type</f>
        <v>2</v>
      </c>
      <c r="AD122" s="1214">
        <v>0</v>
      </c>
      <c r="AE122" s="1214">
        <v>1</v>
      </c>
      <c r="AF122" s="1215"/>
      <c r="AG122" s="1215"/>
      <c r="AH122" s="1215"/>
      <c r="AI122" s="1215"/>
      <c r="AJ122" s="1216"/>
      <c r="AK122" s="1216"/>
      <c r="AL122" s="1216"/>
      <c r="AM122" s="1216"/>
      <c r="AN122" s="1216"/>
      <c r="AO122" s="1216"/>
      <c r="AP122" s="1216"/>
      <c r="AQ122" s="1216"/>
      <c r="AR122" s="1216"/>
      <c r="AS122" s="1216"/>
      <c r="AT122" s="1216"/>
      <c r="AU122" s="1120" cm="1">
        <f t="array" ref="AU122">IF(H122="","",Slookup(MID(X122,1,3)*1,UomConversion!$D$8:$J$500,2,UomConversion!$I$8:$I$500,1,UomConversion!$J$8:$J$500,1))</f>
        <v>2</v>
      </c>
      <c r="AV122" s="401" t="str">
        <f t="shared" si="77"/>
        <v>002.pcs</v>
      </c>
      <c r="AW122" s="757">
        <f t="shared" si="114"/>
        <v>26</v>
      </c>
      <c r="AX122" s="757">
        <f t="shared" si="114"/>
        <v>2</v>
      </c>
      <c r="AY122" s="757" t="str">
        <f t="shared" si="114"/>
        <v/>
      </c>
      <c r="AZ122" s="1209" cm="1">
        <f t="array" ref="AZ122">IF(Y122="",1,Slookup(MID(X122,1,3)*1,UomConversion!$D$8:$J$500,5,UomConversion!$E$8:$E$500,MID(Y122,1,3)*1,UomConversion!$I$8:$I$500,1))</f>
        <v>12</v>
      </c>
      <c r="BA122" s="1209" cm="1">
        <f t="array" ref="BA122">IF(Z122="",1,Slookup(MID(X122,1,3)*1,UomConversion!$D$8:$J$500,5,UomConversion!$E$8:$E$500,MID(Z122,1,3)*1,UomConversion!$I$8:$I$500,1))</f>
        <v>1</v>
      </c>
      <c r="BB122" s="1217">
        <f t="shared" si="81"/>
        <v>12</v>
      </c>
      <c r="BC122" s="1217">
        <f t="shared" si="82"/>
        <v>-8</v>
      </c>
      <c r="BD122" s="1217"/>
    </row>
    <row r="123" spans="2:56" s="1120" customFormat="1" ht="24.95" customHeight="1">
      <c r="B123" s="445"/>
      <c r="C123" s="843">
        <v>104</v>
      </c>
      <c r="D123" s="843"/>
      <c r="E123" s="843"/>
      <c r="F123" s="1116" t="s">
        <v>2524</v>
      </c>
      <c r="G123" s="1117" t="s">
        <v>2524</v>
      </c>
      <c r="H123" s="868" t="s">
        <v>3080</v>
      </c>
      <c r="I123" s="1118" t="s">
        <v>3080</v>
      </c>
      <c r="J123" s="1138" t="s">
        <v>2958</v>
      </c>
      <c r="K123" s="1138" t="s">
        <v>2976</v>
      </c>
      <c r="L123" s="870" t="s">
        <v>2264</v>
      </c>
      <c r="M123" s="868" t="s">
        <v>2174</v>
      </c>
      <c r="N123" s="1118"/>
      <c r="O123" s="1119">
        <v>11.4</v>
      </c>
      <c r="P123" s="884">
        <v>1.1000000000000001</v>
      </c>
      <c r="Q123" s="885"/>
      <c r="R123" s="843" t="s">
        <v>36</v>
      </c>
      <c r="S123" s="843">
        <v>0</v>
      </c>
      <c r="T123" s="843">
        <v>1</v>
      </c>
      <c r="U123" s="843">
        <v>0</v>
      </c>
      <c r="V123" s="843">
        <v>0</v>
      </c>
      <c r="W123" s="843">
        <v>1</v>
      </c>
      <c r="X123" s="870" t="s">
        <v>2778</v>
      </c>
      <c r="Y123" s="843" t="str">
        <f>IF(OR(ISNA(MATCH(MID(X123,1,3)*1,UomConversion!$D$8:$D$500,0)),H123=""),"",IF(AV123="","",AV123))</f>
        <v>002.pcs</v>
      </c>
      <c r="Z123" s="843" t="str">
        <f>IF(AND(AU123&gt;0,COUNTIFS(UomConversion!$D$8:$D$500,MID(X123,1,3)*1,UomConversion!$J$8:$J$500,1)&gt;1),TEXT(AU123,"000")&amp;"."&amp;VLOOKUP(AU123,uom_list,5,FALSE),"")</f>
        <v/>
      </c>
      <c r="AA123" s="843">
        <f t="shared" si="75"/>
        <v>2</v>
      </c>
      <c r="AB123" s="843" t="str">
        <f t="shared" si="79"/>
        <v>26,2</v>
      </c>
      <c r="AC123" s="843">
        <f t="shared" ref="AC123" si="121">import_pro_number_of_price_type</f>
        <v>2</v>
      </c>
      <c r="AD123" s="1214">
        <v>0</v>
      </c>
      <c r="AE123" s="1214">
        <v>1.1000000000000001</v>
      </c>
      <c r="AF123" s="1215"/>
      <c r="AG123" s="1215"/>
      <c r="AH123" s="1215"/>
      <c r="AI123" s="1215"/>
      <c r="AJ123" s="1216"/>
      <c r="AK123" s="1216"/>
      <c r="AL123" s="1216"/>
      <c r="AM123" s="1216"/>
      <c r="AN123" s="1216"/>
      <c r="AO123" s="1216"/>
      <c r="AP123" s="1216"/>
      <c r="AQ123" s="1216"/>
      <c r="AR123" s="1216"/>
      <c r="AS123" s="1216"/>
      <c r="AT123" s="1216"/>
      <c r="AU123" s="1120" cm="1">
        <f t="array" ref="AU123">IF(H123="","",Slookup(MID(X123,1,3)*1,UomConversion!$D$8:$J$500,2,UomConversion!$I$8:$I$500,1,UomConversion!$J$8:$J$500,1))</f>
        <v>2</v>
      </c>
      <c r="AV123" s="401" t="str">
        <f t="shared" si="77"/>
        <v>002.pcs</v>
      </c>
      <c r="AW123" s="757">
        <f t="shared" si="114"/>
        <v>26</v>
      </c>
      <c r="AX123" s="757">
        <f t="shared" si="114"/>
        <v>2</v>
      </c>
      <c r="AY123" s="757" t="str">
        <f t="shared" si="114"/>
        <v/>
      </c>
      <c r="AZ123" s="1209" cm="1">
        <f t="array" ref="AZ123">IF(Y123="",1,Slookup(MID(X123,1,3)*1,UomConversion!$D$8:$J$500,5,UomConversion!$E$8:$E$500,MID(Y123,1,3)*1,UomConversion!$I$8:$I$500,1))</f>
        <v>12</v>
      </c>
      <c r="BA123" s="1209" cm="1">
        <f t="array" ref="BA123">IF(Z123="",1,Slookup(MID(X123,1,3)*1,UomConversion!$D$8:$J$500,5,UomConversion!$E$8:$E$500,MID(Z123,1,3)*1,UomConversion!$I$8:$I$500,1))</f>
        <v>1</v>
      </c>
      <c r="BB123" s="1217">
        <f t="shared" si="81"/>
        <v>13.200000000000001</v>
      </c>
      <c r="BC123" s="1217">
        <f t="shared" si="82"/>
        <v>-10.3</v>
      </c>
      <c r="BD123" s="1217"/>
    </row>
    <row r="124" spans="2:56" s="1120" customFormat="1" ht="24.95" customHeight="1">
      <c r="B124" s="445"/>
      <c r="C124" s="843">
        <v>105</v>
      </c>
      <c r="D124" s="843"/>
      <c r="E124" s="843"/>
      <c r="F124" s="1116" t="s">
        <v>2526</v>
      </c>
      <c r="G124" s="1117" t="s">
        <v>2526</v>
      </c>
      <c r="H124" s="868" t="s">
        <v>3081</v>
      </c>
      <c r="I124" s="1118" t="s">
        <v>3081</v>
      </c>
      <c r="J124" s="1138" t="s">
        <v>2958</v>
      </c>
      <c r="K124" s="1138" t="s">
        <v>2976</v>
      </c>
      <c r="L124" s="870" t="s">
        <v>2264</v>
      </c>
      <c r="M124" s="868" t="s">
        <v>2174</v>
      </c>
      <c r="N124" s="1118"/>
      <c r="O124" s="1119">
        <v>13.2</v>
      </c>
      <c r="P124" s="884">
        <v>1.25</v>
      </c>
      <c r="Q124" s="885"/>
      <c r="R124" s="843" t="s">
        <v>36</v>
      </c>
      <c r="S124" s="843">
        <v>0</v>
      </c>
      <c r="T124" s="843">
        <v>1</v>
      </c>
      <c r="U124" s="843">
        <v>0</v>
      </c>
      <c r="V124" s="843">
        <v>0</v>
      </c>
      <c r="W124" s="843">
        <v>1</v>
      </c>
      <c r="X124" s="870" t="s">
        <v>2778</v>
      </c>
      <c r="Y124" s="843" t="str">
        <f>IF(OR(ISNA(MATCH(MID(X124,1,3)*1,UomConversion!$D$8:$D$500,0)),H124=""),"",IF(AV124="","",AV124))</f>
        <v>002.pcs</v>
      </c>
      <c r="Z124" s="843" t="str">
        <f>IF(AND(AU124&gt;0,COUNTIFS(UomConversion!$D$8:$D$500,MID(X124,1,3)*1,UomConversion!$J$8:$J$500,1)&gt;1),TEXT(AU124,"000")&amp;"."&amp;VLOOKUP(AU124,uom_list,5,FALSE),"")</f>
        <v/>
      </c>
      <c r="AA124" s="843">
        <f t="shared" si="75"/>
        <v>2</v>
      </c>
      <c r="AB124" s="843" t="str">
        <f t="shared" si="79"/>
        <v>26,2</v>
      </c>
      <c r="AC124" s="843">
        <f t="shared" ref="AC124" si="122">import_pro_number_of_price_type</f>
        <v>2</v>
      </c>
      <c r="AD124" s="1214">
        <v>0</v>
      </c>
      <c r="AE124" s="1214">
        <v>1.25</v>
      </c>
      <c r="AF124" s="1215"/>
      <c r="AG124" s="1215"/>
      <c r="AH124" s="1215"/>
      <c r="AI124" s="1215"/>
      <c r="AJ124" s="1216"/>
      <c r="AK124" s="1216"/>
      <c r="AL124" s="1216"/>
      <c r="AM124" s="1216"/>
      <c r="AN124" s="1216"/>
      <c r="AO124" s="1216"/>
      <c r="AP124" s="1216"/>
      <c r="AQ124" s="1216"/>
      <c r="AR124" s="1216"/>
      <c r="AS124" s="1216"/>
      <c r="AT124" s="1216"/>
      <c r="AU124" s="1120" cm="1">
        <f t="array" ref="AU124">IF(H124="","",Slookup(MID(X124,1,3)*1,UomConversion!$D$8:$J$500,2,UomConversion!$I$8:$I$500,1,UomConversion!$J$8:$J$500,1))</f>
        <v>2</v>
      </c>
      <c r="AV124" s="401" t="str">
        <f t="shared" si="77"/>
        <v>002.pcs</v>
      </c>
      <c r="AW124" s="757">
        <f t="shared" si="114"/>
        <v>26</v>
      </c>
      <c r="AX124" s="757">
        <f t="shared" si="114"/>
        <v>2</v>
      </c>
      <c r="AY124" s="757" t="str">
        <f t="shared" si="114"/>
        <v/>
      </c>
      <c r="AZ124" s="1209" cm="1">
        <f t="array" ref="AZ124">IF(Y124="",1,Slookup(MID(X124,1,3)*1,UomConversion!$D$8:$J$500,5,UomConversion!$E$8:$E$500,MID(Y124,1,3)*1,UomConversion!$I$8:$I$500,1))</f>
        <v>12</v>
      </c>
      <c r="BA124" s="1209" cm="1">
        <f t="array" ref="BA124">IF(Z124="",1,Slookup(MID(X124,1,3)*1,UomConversion!$D$8:$J$500,5,UomConversion!$E$8:$E$500,MID(Z124,1,3)*1,UomConversion!$I$8:$I$500,1))</f>
        <v>1</v>
      </c>
      <c r="BB124" s="1217">
        <f t="shared" si="81"/>
        <v>15</v>
      </c>
      <c r="BC124" s="1217">
        <f t="shared" si="82"/>
        <v>-11.95</v>
      </c>
      <c r="BD124" s="1217"/>
    </row>
    <row r="125" spans="2:56" s="1120" customFormat="1" ht="24.95" customHeight="1">
      <c r="B125" s="445"/>
      <c r="C125" s="843">
        <v>106</v>
      </c>
      <c r="D125" s="843"/>
      <c r="E125" s="843"/>
      <c r="F125" s="1116" t="s">
        <v>2528</v>
      </c>
      <c r="G125" s="1117" t="s">
        <v>2528</v>
      </c>
      <c r="H125" s="868" t="s">
        <v>3082</v>
      </c>
      <c r="I125" s="1118" t="s">
        <v>3082</v>
      </c>
      <c r="J125" s="1138" t="s">
        <v>2958</v>
      </c>
      <c r="K125" s="1138" t="s">
        <v>2976</v>
      </c>
      <c r="L125" s="870" t="s">
        <v>2264</v>
      </c>
      <c r="M125" s="868" t="s">
        <v>2174</v>
      </c>
      <c r="N125" s="1118"/>
      <c r="O125" s="1119">
        <v>14.4</v>
      </c>
      <c r="P125" s="884">
        <v>1.5</v>
      </c>
      <c r="Q125" s="885"/>
      <c r="R125" s="843" t="s">
        <v>36</v>
      </c>
      <c r="S125" s="843">
        <v>0</v>
      </c>
      <c r="T125" s="843">
        <v>1</v>
      </c>
      <c r="U125" s="843">
        <v>0</v>
      </c>
      <c r="V125" s="843">
        <v>0</v>
      </c>
      <c r="W125" s="843">
        <v>1</v>
      </c>
      <c r="X125" s="870" t="s">
        <v>2778</v>
      </c>
      <c r="Y125" s="843" t="str">
        <f>IF(OR(ISNA(MATCH(MID(X125,1,3)*1,UomConversion!$D$8:$D$500,0)),H125=""),"",IF(AV125="","",AV125))</f>
        <v>002.pcs</v>
      </c>
      <c r="Z125" s="843" t="str">
        <f>IF(AND(AU125&gt;0,COUNTIFS(UomConversion!$D$8:$D$500,MID(X125,1,3)*1,UomConversion!$J$8:$J$500,1)&gt;1),TEXT(AU125,"000")&amp;"."&amp;VLOOKUP(AU125,uom_list,5,FALSE),"")</f>
        <v/>
      </c>
      <c r="AA125" s="843">
        <f t="shared" si="75"/>
        <v>2</v>
      </c>
      <c r="AB125" s="843" t="str">
        <f t="shared" si="79"/>
        <v>26,2</v>
      </c>
      <c r="AC125" s="843">
        <f t="shared" ref="AC125" si="123">import_pro_number_of_price_type</f>
        <v>2</v>
      </c>
      <c r="AD125" s="1214">
        <v>0</v>
      </c>
      <c r="AE125" s="1214">
        <v>1.5</v>
      </c>
      <c r="AF125" s="1215"/>
      <c r="AG125" s="1215"/>
      <c r="AH125" s="1215"/>
      <c r="AI125" s="1215"/>
      <c r="AJ125" s="1216"/>
      <c r="AK125" s="1216"/>
      <c r="AL125" s="1216"/>
      <c r="AM125" s="1216"/>
      <c r="AN125" s="1216"/>
      <c r="AO125" s="1216"/>
      <c r="AP125" s="1216"/>
      <c r="AQ125" s="1216"/>
      <c r="AR125" s="1216"/>
      <c r="AS125" s="1216"/>
      <c r="AT125" s="1216"/>
      <c r="AU125" s="1120" cm="1">
        <f t="array" ref="AU125">IF(H125="","",Slookup(MID(X125,1,3)*1,UomConversion!$D$8:$J$500,2,UomConversion!$I$8:$I$500,1,UomConversion!$J$8:$J$500,1))</f>
        <v>2</v>
      </c>
      <c r="AV125" s="401" t="str">
        <f t="shared" si="77"/>
        <v>002.pcs</v>
      </c>
      <c r="AW125" s="757">
        <f t="shared" si="114"/>
        <v>26</v>
      </c>
      <c r="AX125" s="757">
        <f t="shared" si="114"/>
        <v>2</v>
      </c>
      <c r="AY125" s="757" t="str">
        <f t="shared" si="114"/>
        <v/>
      </c>
      <c r="AZ125" s="1209" cm="1">
        <f t="array" ref="AZ125">IF(Y125="",1,Slookup(MID(X125,1,3)*1,UomConversion!$D$8:$J$500,5,UomConversion!$E$8:$E$500,MID(Y125,1,3)*1,UomConversion!$I$8:$I$500,1))</f>
        <v>12</v>
      </c>
      <c r="BA125" s="1209" cm="1">
        <f t="array" ref="BA125">IF(Z125="",1,Slookup(MID(X125,1,3)*1,UomConversion!$D$8:$J$500,5,UomConversion!$E$8:$E$500,MID(Z125,1,3)*1,UomConversion!$I$8:$I$500,1))</f>
        <v>1</v>
      </c>
      <c r="BB125" s="1217">
        <f t="shared" si="81"/>
        <v>18</v>
      </c>
      <c r="BC125" s="1217">
        <f t="shared" si="82"/>
        <v>-12.9</v>
      </c>
      <c r="BD125" s="1217"/>
    </row>
    <row r="126" spans="2:56" s="1120" customFormat="1" ht="24.95" customHeight="1">
      <c r="B126" s="445"/>
      <c r="C126" s="843">
        <v>107</v>
      </c>
      <c r="D126" s="843"/>
      <c r="E126" s="843"/>
      <c r="F126" s="1116" t="s">
        <v>2530</v>
      </c>
      <c r="G126" s="1117" t="s">
        <v>2530</v>
      </c>
      <c r="H126" s="868" t="s">
        <v>3083</v>
      </c>
      <c r="I126" s="1118" t="s">
        <v>3083</v>
      </c>
      <c r="J126" s="1138" t="s">
        <v>2958</v>
      </c>
      <c r="K126" s="1138" t="s">
        <v>2976</v>
      </c>
      <c r="L126" s="870" t="s">
        <v>2264</v>
      </c>
      <c r="M126" s="868" t="s">
        <v>2174</v>
      </c>
      <c r="N126" s="1118"/>
      <c r="O126" s="1119">
        <v>2.2999999999999998</v>
      </c>
      <c r="P126" s="884">
        <v>2.75</v>
      </c>
      <c r="Q126" s="885"/>
      <c r="R126" s="843" t="s">
        <v>36</v>
      </c>
      <c r="S126" s="843">
        <v>0</v>
      </c>
      <c r="T126" s="843">
        <v>1</v>
      </c>
      <c r="U126" s="843">
        <v>0</v>
      </c>
      <c r="V126" s="843">
        <v>0</v>
      </c>
      <c r="W126" s="843">
        <v>1</v>
      </c>
      <c r="X126" s="870" t="s">
        <v>2778</v>
      </c>
      <c r="Y126" s="843" t="str">
        <f>IF(OR(ISNA(MATCH(MID(X126,1,3)*1,UomConversion!$D$8:$D$500,0)),H126=""),"",IF(AV126="","",AV126))</f>
        <v>002.pcs</v>
      </c>
      <c r="Z126" s="843" t="str">
        <f>IF(AND(AU126&gt;0,COUNTIFS(UomConversion!$D$8:$D$500,MID(X126,1,3)*1,UomConversion!$J$8:$J$500,1)&gt;1),TEXT(AU126,"000")&amp;"."&amp;VLOOKUP(AU126,uom_list,5,FALSE),"")</f>
        <v/>
      </c>
      <c r="AA126" s="843">
        <f t="shared" si="75"/>
        <v>2</v>
      </c>
      <c r="AB126" s="843" t="str">
        <f t="shared" si="79"/>
        <v>26,2</v>
      </c>
      <c r="AC126" s="843">
        <f t="shared" ref="AC126" si="124">import_pro_number_of_price_type</f>
        <v>2</v>
      </c>
      <c r="AD126" s="1214">
        <v>0</v>
      </c>
      <c r="AE126" s="1214">
        <v>2.75</v>
      </c>
      <c r="AF126" s="1215"/>
      <c r="AG126" s="1215"/>
      <c r="AH126" s="1215"/>
      <c r="AI126" s="1215"/>
      <c r="AJ126" s="1216"/>
      <c r="AK126" s="1216"/>
      <c r="AL126" s="1216"/>
      <c r="AM126" s="1216"/>
      <c r="AN126" s="1216"/>
      <c r="AO126" s="1216"/>
      <c r="AP126" s="1216"/>
      <c r="AQ126" s="1216"/>
      <c r="AR126" s="1216"/>
      <c r="AS126" s="1216"/>
      <c r="AT126" s="1216"/>
      <c r="AU126" s="1120" cm="1">
        <f t="array" ref="AU126">IF(H126="","",Slookup(MID(X126,1,3)*1,UomConversion!$D$8:$J$500,2,UomConversion!$I$8:$I$500,1,UomConversion!$J$8:$J$500,1))</f>
        <v>2</v>
      </c>
      <c r="AV126" s="401" t="str">
        <f t="shared" si="77"/>
        <v>002.pcs</v>
      </c>
      <c r="AW126" s="757">
        <f t="shared" si="114"/>
        <v>26</v>
      </c>
      <c r="AX126" s="757">
        <f t="shared" si="114"/>
        <v>2</v>
      </c>
      <c r="AY126" s="757" t="str">
        <f t="shared" si="114"/>
        <v/>
      </c>
      <c r="AZ126" s="1209" cm="1">
        <f t="array" ref="AZ126">IF(Y126="",1,Slookup(MID(X126,1,3)*1,UomConversion!$D$8:$J$500,5,UomConversion!$E$8:$E$500,MID(Y126,1,3)*1,UomConversion!$I$8:$I$500,1))</f>
        <v>12</v>
      </c>
      <c r="BA126" s="1209" cm="1">
        <f t="array" ref="BA126">IF(Z126="",1,Slookup(MID(X126,1,3)*1,UomConversion!$D$8:$J$500,5,UomConversion!$E$8:$E$500,MID(Z126,1,3)*1,UomConversion!$I$8:$I$500,1))</f>
        <v>1</v>
      </c>
      <c r="BB126" s="1217">
        <f t="shared" si="81"/>
        <v>33</v>
      </c>
      <c r="BC126" s="1217">
        <f t="shared" si="82"/>
        <v>0.45000000000000018</v>
      </c>
      <c r="BD126" s="1217"/>
    </row>
    <row r="127" spans="2:56" s="1120" customFormat="1" ht="24.95" customHeight="1">
      <c r="B127" s="445"/>
      <c r="C127" s="843">
        <v>108</v>
      </c>
      <c r="D127" s="843"/>
      <c r="E127" s="843"/>
      <c r="F127" s="1116" t="s">
        <v>2532</v>
      </c>
      <c r="G127" s="1117" t="s">
        <v>2532</v>
      </c>
      <c r="H127" s="868" t="s">
        <v>3084</v>
      </c>
      <c r="I127" s="1118" t="s">
        <v>3084</v>
      </c>
      <c r="J127" s="1138" t="s">
        <v>2958</v>
      </c>
      <c r="K127" s="1138" t="s">
        <v>2976</v>
      </c>
      <c r="L127" s="870" t="s">
        <v>2307</v>
      </c>
      <c r="M127" s="868" t="s">
        <v>2174</v>
      </c>
      <c r="N127" s="1118"/>
      <c r="O127" s="1119">
        <v>2.7</v>
      </c>
      <c r="P127" s="884">
        <v>3</v>
      </c>
      <c r="Q127" s="885"/>
      <c r="R127" s="843">
        <v>1</v>
      </c>
      <c r="S127" s="843">
        <v>0</v>
      </c>
      <c r="T127" s="843">
        <v>1</v>
      </c>
      <c r="U127" s="843">
        <v>0</v>
      </c>
      <c r="V127" s="843">
        <v>0</v>
      </c>
      <c r="W127" s="843">
        <v>1</v>
      </c>
      <c r="X127" s="870" t="s">
        <v>2939</v>
      </c>
      <c r="Y127" s="843" t="str">
        <f>IF(OR(ISNA(MATCH(MID(X127,1,3)*1,UomConversion!$D$8:$D$500,0)),H127=""),"",IF(AV127="","",AV127))</f>
        <v/>
      </c>
      <c r="Z127" s="843" t="str">
        <f>IF(AND(AU127&gt;0,COUNTIFS(UomConversion!$D$8:$D$500,MID(X127,1,3)*1,UomConversion!$J$8:$J$500,1)&gt;1),TEXT(AU127,"000")&amp;"."&amp;VLOOKUP(AU127,uom_list,5,FALSE),"")</f>
        <v/>
      </c>
      <c r="AA127" s="843">
        <f t="shared" si="75"/>
        <v>1</v>
      </c>
      <c r="AB127" s="843" t="str">
        <f t="shared" si="79"/>
        <v>2</v>
      </c>
      <c r="AC127" s="843">
        <f t="shared" ref="AC127" si="125">import_pro_number_of_price_type</f>
        <v>2</v>
      </c>
      <c r="AD127" s="1214">
        <v>0</v>
      </c>
      <c r="AE127" s="1214">
        <v>3</v>
      </c>
      <c r="AF127" s="1215"/>
      <c r="AG127" s="1215"/>
      <c r="AH127" s="1215"/>
      <c r="AI127" s="1215"/>
      <c r="AJ127" s="1216"/>
      <c r="AK127" s="1216"/>
      <c r="AL127" s="1216"/>
      <c r="AM127" s="1216"/>
      <c r="AN127" s="1216"/>
      <c r="AO127" s="1216"/>
      <c r="AP127" s="1216"/>
      <c r="AQ127" s="1216"/>
      <c r="AR127" s="1216"/>
      <c r="AS127" s="1216"/>
      <c r="AT127" s="1216"/>
      <c r="AU127" s="1120" cm="1">
        <f t="array" ref="AU127">IF(H127="","",Slookup(MID(X127,1,3)*1,UomConversion!$D$8:$J$500,2,UomConversion!$I$8:$I$500,1,UomConversion!$J$8:$J$500,1))</f>
        <v>0</v>
      </c>
      <c r="AV127" s="401" t="str">
        <f t="shared" si="77"/>
        <v/>
      </c>
      <c r="AW127" s="757">
        <f t="shared" si="114"/>
        <v>2</v>
      </c>
      <c r="AX127" s="757" t="str">
        <f t="shared" si="114"/>
        <v/>
      </c>
      <c r="AY127" s="757" t="str">
        <f t="shared" si="114"/>
        <v/>
      </c>
      <c r="AZ127" s="1209" cm="1">
        <f t="array" ref="AZ127">IF(Y127="",1,Slookup(MID(X127,1,3)*1,UomConversion!$D$8:$J$500,5,UomConversion!$E$8:$E$500,MID(Y127,1,3)*1,UomConversion!$I$8:$I$500,1))</f>
        <v>1</v>
      </c>
      <c r="BA127" s="1209" cm="1">
        <f t="array" ref="BA127">IF(Z127="",1,Slookup(MID(X127,1,3)*1,UomConversion!$D$8:$J$500,5,UomConversion!$E$8:$E$500,MID(Z127,1,3)*1,UomConversion!$I$8:$I$500,1))</f>
        <v>1</v>
      </c>
      <c r="BB127" s="1217">
        <f t="shared" si="81"/>
        <v>3</v>
      </c>
      <c r="BC127" s="1217">
        <f t="shared" si="82"/>
        <v>0.29999999999999982</v>
      </c>
      <c r="BD127" s="1217"/>
    </row>
    <row r="128" spans="2:56" s="1120" customFormat="1" ht="24.95" customHeight="1">
      <c r="B128" s="445"/>
      <c r="C128" s="843">
        <v>109</v>
      </c>
      <c r="D128" s="843"/>
      <c r="E128" s="843"/>
      <c r="F128" s="1116" t="s">
        <v>2534</v>
      </c>
      <c r="G128" s="1117" t="s">
        <v>2534</v>
      </c>
      <c r="H128" s="868" t="s">
        <v>3085</v>
      </c>
      <c r="I128" s="1118" t="s">
        <v>3085</v>
      </c>
      <c r="J128" s="1138" t="s">
        <v>2958</v>
      </c>
      <c r="K128" s="1138" t="s">
        <v>2976</v>
      </c>
      <c r="L128" s="870" t="s">
        <v>2307</v>
      </c>
      <c r="M128" s="868" t="s">
        <v>2174</v>
      </c>
      <c r="N128" s="1118"/>
      <c r="O128" s="1119">
        <v>3.7</v>
      </c>
      <c r="P128" s="884">
        <v>4</v>
      </c>
      <c r="Q128" s="885"/>
      <c r="R128" s="843">
        <v>1</v>
      </c>
      <c r="S128" s="843">
        <v>0</v>
      </c>
      <c r="T128" s="843">
        <v>1</v>
      </c>
      <c r="U128" s="843">
        <v>0</v>
      </c>
      <c r="V128" s="843">
        <v>0</v>
      </c>
      <c r="W128" s="843">
        <v>1</v>
      </c>
      <c r="X128" s="870" t="s">
        <v>2939</v>
      </c>
      <c r="Y128" s="843" t="str">
        <f>IF(OR(ISNA(MATCH(MID(X128,1,3)*1,UomConversion!$D$8:$D$500,0)),H128=""),"",IF(AV128="","",AV128))</f>
        <v/>
      </c>
      <c r="Z128" s="843" t="str">
        <f>IF(AND(AU128&gt;0,COUNTIFS(UomConversion!$D$8:$D$500,MID(X128,1,3)*1,UomConversion!$J$8:$J$500,1)&gt;1),TEXT(AU128,"000")&amp;"."&amp;VLOOKUP(AU128,uom_list,5,FALSE),"")</f>
        <v/>
      </c>
      <c r="AA128" s="843">
        <f t="shared" si="75"/>
        <v>1</v>
      </c>
      <c r="AB128" s="843" t="str">
        <f t="shared" si="79"/>
        <v>2</v>
      </c>
      <c r="AC128" s="843">
        <f t="shared" ref="AC128" si="126">import_pro_number_of_price_type</f>
        <v>2</v>
      </c>
      <c r="AD128" s="1214">
        <v>0</v>
      </c>
      <c r="AE128" s="1214">
        <v>4</v>
      </c>
      <c r="AF128" s="1215"/>
      <c r="AG128" s="1215"/>
      <c r="AH128" s="1215"/>
      <c r="AI128" s="1215"/>
      <c r="AJ128" s="1216"/>
      <c r="AK128" s="1216"/>
      <c r="AL128" s="1216"/>
      <c r="AM128" s="1216"/>
      <c r="AN128" s="1216"/>
      <c r="AO128" s="1216"/>
      <c r="AP128" s="1216"/>
      <c r="AQ128" s="1216"/>
      <c r="AR128" s="1216"/>
      <c r="AS128" s="1216"/>
      <c r="AT128" s="1216"/>
      <c r="AU128" s="1120" cm="1">
        <f t="array" ref="AU128">IF(H128="","",Slookup(MID(X128,1,3)*1,UomConversion!$D$8:$J$500,2,UomConversion!$I$8:$I$500,1,UomConversion!$J$8:$J$500,1))</f>
        <v>0</v>
      </c>
      <c r="AV128" s="401" t="str">
        <f t="shared" si="77"/>
        <v/>
      </c>
      <c r="AW128" s="757">
        <f t="shared" si="114"/>
        <v>2</v>
      </c>
      <c r="AX128" s="757" t="str">
        <f t="shared" si="114"/>
        <v/>
      </c>
      <c r="AY128" s="757" t="str">
        <f t="shared" si="114"/>
        <v/>
      </c>
      <c r="AZ128" s="1209" cm="1">
        <f t="array" ref="AZ128">IF(Y128="",1,Slookup(MID(X128,1,3)*1,UomConversion!$D$8:$J$500,5,UomConversion!$E$8:$E$500,MID(Y128,1,3)*1,UomConversion!$I$8:$I$500,1))</f>
        <v>1</v>
      </c>
      <c r="BA128" s="1209" cm="1">
        <f t="array" ref="BA128">IF(Z128="",1,Slookup(MID(X128,1,3)*1,UomConversion!$D$8:$J$500,5,UomConversion!$E$8:$E$500,MID(Z128,1,3)*1,UomConversion!$I$8:$I$500,1))</f>
        <v>1</v>
      </c>
      <c r="BB128" s="1217">
        <f t="shared" si="81"/>
        <v>4</v>
      </c>
      <c r="BC128" s="1217">
        <f t="shared" si="82"/>
        <v>0.29999999999999982</v>
      </c>
      <c r="BD128" s="1217"/>
    </row>
    <row r="129" spans="2:56" s="1120" customFormat="1" ht="24.95" customHeight="1">
      <c r="B129" s="445"/>
      <c r="C129" s="843">
        <v>110</v>
      </c>
      <c r="D129" s="843"/>
      <c r="E129" s="843"/>
      <c r="F129" s="1116" t="s">
        <v>2536</v>
      </c>
      <c r="G129" s="1117" t="s">
        <v>2536</v>
      </c>
      <c r="H129" s="868" t="s">
        <v>3086</v>
      </c>
      <c r="I129" s="1118" t="s">
        <v>3086</v>
      </c>
      <c r="J129" s="1138" t="s">
        <v>2959</v>
      </c>
      <c r="K129" s="1138" t="s">
        <v>2976</v>
      </c>
      <c r="L129" s="870" t="s">
        <v>2307</v>
      </c>
      <c r="M129" s="868" t="s">
        <v>2174</v>
      </c>
      <c r="N129" s="1118"/>
      <c r="O129" s="1119">
        <v>0.35</v>
      </c>
      <c r="P129" s="884">
        <v>0.5</v>
      </c>
      <c r="Q129" s="885"/>
      <c r="R129" s="843">
        <v>1</v>
      </c>
      <c r="S129" s="843">
        <v>0</v>
      </c>
      <c r="T129" s="843">
        <v>1</v>
      </c>
      <c r="U129" s="843">
        <v>0</v>
      </c>
      <c r="V129" s="843">
        <v>0</v>
      </c>
      <c r="W129" s="843">
        <v>1</v>
      </c>
      <c r="X129" s="870" t="s">
        <v>2939</v>
      </c>
      <c r="Y129" s="843" t="str">
        <f>IF(OR(ISNA(MATCH(MID(X129,1,3)*1,UomConversion!$D$8:$D$500,0)),H129=""),"",IF(AV129="","",AV129))</f>
        <v/>
      </c>
      <c r="Z129" s="843" t="str">
        <f>IF(AND(AU129&gt;0,COUNTIFS(UomConversion!$D$8:$D$500,MID(X129,1,3)*1,UomConversion!$J$8:$J$500,1)&gt;1),TEXT(AU129,"000")&amp;"."&amp;VLOOKUP(AU129,uom_list,5,FALSE),"")</f>
        <v/>
      </c>
      <c r="AA129" s="843">
        <f t="shared" si="75"/>
        <v>1</v>
      </c>
      <c r="AB129" s="843" t="str">
        <f t="shared" si="79"/>
        <v>2</v>
      </c>
      <c r="AC129" s="843">
        <f t="shared" ref="AC129" si="127">import_pro_number_of_price_type</f>
        <v>2</v>
      </c>
      <c r="AD129" s="1214">
        <v>0</v>
      </c>
      <c r="AE129" s="1214">
        <v>0.5</v>
      </c>
      <c r="AF129" s="1215"/>
      <c r="AG129" s="1215"/>
      <c r="AH129" s="1215"/>
      <c r="AI129" s="1215"/>
      <c r="AJ129" s="1216"/>
      <c r="AK129" s="1216"/>
      <c r="AL129" s="1216"/>
      <c r="AM129" s="1216"/>
      <c r="AN129" s="1216"/>
      <c r="AO129" s="1216"/>
      <c r="AP129" s="1216"/>
      <c r="AQ129" s="1216"/>
      <c r="AR129" s="1216"/>
      <c r="AS129" s="1216"/>
      <c r="AT129" s="1216"/>
      <c r="AU129" s="1120" cm="1">
        <f t="array" ref="AU129">IF(H129="","",Slookup(MID(X129,1,3)*1,UomConversion!$D$8:$J$500,2,UomConversion!$I$8:$I$500,1,UomConversion!$J$8:$J$500,1))</f>
        <v>0</v>
      </c>
      <c r="AV129" s="401" t="str">
        <f t="shared" si="77"/>
        <v/>
      </c>
      <c r="AW129" s="757">
        <f t="shared" si="114"/>
        <v>2</v>
      </c>
      <c r="AX129" s="757" t="str">
        <f t="shared" si="114"/>
        <v/>
      </c>
      <c r="AY129" s="757" t="str">
        <f t="shared" si="114"/>
        <v/>
      </c>
      <c r="AZ129" s="1209" cm="1">
        <f t="array" ref="AZ129">IF(Y129="",1,Slookup(MID(X129,1,3)*1,UomConversion!$D$8:$J$500,5,UomConversion!$E$8:$E$500,MID(Y129,1,3)*1,UomConversion!$I$8:$I$500,1))</f>
        <v>1</v>
      </c>
      <c r="BA129" s="1209" cm="1">
        <f t="array" ref="BA129">IF(Z129="",1,Slookup(MID(X129,1,3)*1,UomConversion!$D$8:$J$500,5,UomConversion!$E$8:$E$500,MID(Z129,1,3)*1,UomConversion!$I$8:$I$500,1))</f>
        <v>1</v>
      </c>
      <c r="BB129" s="1217">
        <f t="shared" si="81"/>
        <v>0.5</v>
      </c>
      <c r="BC129" s="1217">
        <f t="shared" si="82"/>
        <v>0.15000000000000002</v>
      </c>
      <c r="BD129" s="1217"/>
    </row>
    <row r="130" spans="2:56" s="1120" customFormat="1" ht="24.95" customHeight="1">
      <c r="B130" s="445"/>
      <c r="C130" s="843">
        <v>111</v>
      </c>
      <c r="D130" s="843"/>
      <c r="E130" s="843"/>
      <c r="F130" s="1116" t="s">
        <v>2538</v>
      </c>
      <c r="G130" s="1117" t="s">
        <v>2538</v>
      </c>
      <c r="H130" s="868" t="s">
        <v>3087</v>
      </c>
      <c r="I130" s="1118" t="s">
        <v>3087</v>
      </c>
      <c r="J130" s="1138" t="s">
        <v>2959</v>
      </c>
      <c r="K130" s="1138" t="s">
        <v>2976</v>
      </c>
      <c r="L130" s="870" t="s">
        <v>2307</v>
      </c>
      <c r="M130" s="868" t="s">
        <v>2174</v>
      </c>
      <c r="N130" s="1118"/>
      <c r="O130" s="1119">
        <v>0.4</v>
      </c>
      <c r="P130" s="884">
        <v>0.5</v>
      </c>
      <c r="Q130" s="885"/>
      <c r="R130" s="843">
        <v>1</v>
      </c>
      <c r="S130" s="843">
        <v>0</v>
      </c>
      <c r="T130" s="843">
        <v>1</v>
      </c>
      <c r="U130" s="843">
        <v>0</v>
      </c>
      <c r="V130" s="843">
        <v>0</v>
      </c>
      <c r="W130" s="843">
        <v>1</v>
      </c>
      <c r="X130" s="870" t="s">
        <v>2939</v>
      </c>
      <c r="Y130" s="843" t="str">
        <f>IF(OR(ISNA(MATCH(MID(X130,1,3)*1,UomConversion!$D$8:$D$500,0)),H130=""),"",IF(AV130="","",AV130))</f>
        <v/>
      </c>
      <c r="Z130" s="843" t="str">
        <f>IF(AND(AU130&gt;0,COUNTIFS(UomConversion!$D$8:$D$500,MID(X130,1,3)*1,UomConversion!$J$8:$J$500,1)&gt;1),TEXT(AU130,"000")&amp;"."&amp;VLOOKUP(AU130,uom_list,5,FALSE),"")</f>
        <v/>
      </c>
      <c r="AA130" s="843">
        <f t="shared" si="75"/>
        <v>1</v>
      </c>
      <c r="AB130" s="843" t="str">
        <f t="shared" si="79"/>
        <v>2</v>
      </c>
      <c r="AC130" s="843">
        <f t="shared" ref="AC130" si="128">import_pro_number_of_price_type</f>
        <v>2</v>
      </c>
      <c r="AD130" s="1214">
        <v>0</v>
      </c>
      <c r="AE130" s="1214">
        <v>0.5</v>
      </c>
      <c r="AF130" s="1215"/>
      <c r="AG130" s="1215"/>
      <c r="AH130" s="1215"/>
      <c r="AI130" s="1215"/>
      <c r="AJ130" s="1216"/>
      <c r="AK130" s="1216"/>
      <c r="AL130" s="1216"/>
      <c r="AM130" s="1216"/>
      <c r="AN130" s="1216"/>
      <c r="AO130" s="1216"/>
      <c r="AP130" s="1216"/>
      <c r="AQ130" s="1216"/>
      <c r="AR130" s="1216"/>
      <c r="AS130" s="1216"/>
      <c r="AT130" s="1216"/>
      <c r="AU130" s="1120" cm="1">
        <f t="array" ref="AU130">IF(H130="","",Slookup(MID(X130,1,3)*1,UomConversion!$D$8:$J$500,2,UomConversion!$I$8:$I$500,1,UomConversion!$J$8:$J$500,1))</f>
        <v>0</v>
      </c>
      <c r="AV130" s="401" t="str">
        <f t="shared" si="77"/>
        <v/>
      </c>
      <c r="AW130" s="757">
        <f t="shared" si="114"/>
        <v>2</v>
      </c>
      <c r="AX130" s="757" t="str">
        <f t="shared" si="114"/>
        <v/>
      </c>
      <c r="AY130" s="757" t="str">
        <f t="shared" si="114"/>
        <v/>
      </c>
      <c r="AZ130" s="1209" cm="1">
        <f t="array" ref="AZ130">IF(Y130="",1,Slookup(MID(X130,1,3)*1,UomConversion!$D$8:$J$500,5,UomConversion!$E$8:$E$500,MID(Y130,1,3)*1,UomConversion!$I$8:$I$500,1))</f>
        <v>1</v>
      </c>
      <c r="BA130" s="1209" cm="1">
        <f t="array" ref="BA130">IF(Z130="",1,Slookup(MID(X130,1,3)*1,UomConversion!$D$8:$J$500,5,UomConversion!$E$8:$E$500,MID(Z130,1,3)*1,UomConversion!$I$8:$I$500,1))</f>
        <v>1</v>
      </c>
      <c r="BB130" s="1217">
        <f t="shared" si="81"/>
        <v>0.5</v>
      </c>
      <c r="BC130" s="1217">
        <f t="shared" si="82"/>
        <v>9.9999999999999978E-2</v>
      </c>
      <c r="BD130" s="1217"/>
    </row>
    <row r="131" spans="2:56" s="1120" customFormat="1" ht="24.95" customHeight="1">
      <c r="B131" s="445"/>
      <c r="C131" s="843">
        <v>112</v>
      </c>
      <c r="D131" s="843"/>
      <c r="E131" s="843"/>
      <c r="F131" s="1116" t="s">
        <v>2540</v>
      </c>
      <c r="G131" s="1117" t="s">
        <v>2540</v>
      </c>
      <c r="H131" s="868" t="s">
        <v>3088</v>
      </c>
      <c r="I131" s="1118" t="s">
        <v>3088</v>
      </c>
      <c r="J131" s="1138" t="s">
        <v>2959</v>
      </c>
      <c r="K131" s="1138" t="s">
        <v>2976</v>
      </c>
      <c r="L131" s="870" t="s">
        <v>2307</v>
      </c>
      <c r="M131" s="868" t="s">
        <v>2174</v>
      </c>
      <c r="N131" s="1118"/>
      <c r="O131" s="1119">
        <v>2.6</v>
      </c>
      <c r="P131" s="884">
        <v>3</v>
      </c>
      <c r="Q131" s="885"/>
      <c r="R131" s="843">
        <v>1</v>
      </c>
      <c r="S131" s="843">
        <v>0</v>
      </c>
      <c r="T131" s="843">
        <v>1</v>
      </c>
      <c r="U131" s="843">
        <v>0</v>
      </c>
      <c r="V131" s="843">
        <v>0</v>
      </c>
      <c r="W131" s="843">
        <v>1</v>
      </c>
      <c r="X131" s="870" t="s">
        <v>2939</v>
      </c>
      <c r="Y131" s="843" t="str">
        <f>IF(OR(ISNA(MATCH(MID(X131,1,3)*1,UomConversion!$D$8:$D$500,0)),H131=""),"",IF(AV131="","",AV131))</f>
        <v/>
      </c>
      <c r="Z131" s="843" t="str">
        <f>IF(AND(AU131&gt;0,COUNTIFS(UomConversion!$D$8:$D$500,MID(X131,1,3)*1,UomConversion!$J$8:$J$500,1)&gt;1),TEXT(AU131,"000")&amp;"."&amp;VLOOKUP(AU131,uom_list,5,FALSE),"")</f>
        <v/>
      </c>
      <c r="AA131" s="843">
        <f t="shared" si="75"/>
        <v>1</v>
      </c>
      <c r="AB131" s="843" t="str">
        <f t="shared" si="79"/>
        <v>2</v>
      </c>
      <c r="AC131" s="843">
        <f t="shared" ref="AC131" si="129">import_pro_number_of_price_type</f>
        <v>2</v>
      </c>
      <c r="AD131" s="1214">
        <v>0</v>
      </c>
      <c r="AE131" s="1214">
        <v>3</v>
      </c>
      <c r="AF131" s="1215"/>
      <c r="AG131" s="1215"/>
      <c r="AH131" s="1215"/>
      <c r="AI131" s="1215"/>
      <c r="AJ131" s="1216"/>
      <c r="AK131" s="1216"/>
      <c r="AL131" s="1216"/>
      <c r="AM131" s="1216"/>
      <c r="AN131" s="1216"/>
      <c r="AO131" s="1216"/>
      <c r="AP131" s="1216"/>
      <c r="AQ131" s="1216"/>
      <c r="AR131" s="1216"/>
      <c r="AS131" s="1216"/>
      <c r="AT131" s="1216"/>
      <c r="AU131" s="1120" cm="1">
        <f t="array" ref="AU131">IF(H131="","",Slookup(MID(X131,1,3)*1,UomConversion!$D$8:$J$500,2,UomConversion!$I$8:$I$500,1,UomConversion!$J$8:$J$500,1))</f>
        <v>0</v>
      </c>
      <c r="AV131" s="401" t="str">
        <f t="shared" si="77"/>
        <v/>
      </c>
      <c r="AW131" s="757">
        <f t="shared" si="114"/>
        <v>2</v>
      </c>
      <c r="AX131" s="757" t="str">
        <f t="shared" si="114"/>
        <v/>
      </c>
      <c r="AY131" s="757" t="str">
        <f t="shared" si="114"/>
        <v/>
      </c>
      <c r="AZ131" s="1209" cm="1">
        <f t="array" ref="AZ131">IF(Y131="",1,Slookup(MID(X131,1,3)*1,UomConversion!$D$8:$J$500,5,UomConversion!$E$8:$E$500,MID(Y131,1,3)*1,UomConversion!$I$8:$I$500,1))</f>
        <v>1</v>
      </c>
      <c r="BA131" s="1209" cm="1">
        <f t="array" ref="BA131">IF(Z131="",1,Slookup(MID(X131,1,3)*1,UomConversion!$D$8:$J$500,5,UomConversion!$E$8:$E$500,MID(Z131,1,3)*1,UomConversion!$I$8:$I$500,1))</f>
        <v>1</v>
      </c>
      <c r="BB131" s="1217">
        <f t="shared" si="81"/>
        <v>3</v>
      </c>
      <c r="BC131" s="1217">
        <f t="shared" si="82"/>
        <v>0.39999999999999991</v>
      </c>
      <c r="BD131" s="1217"/>
    </row>
    <row r="132" spans="2:56" s="1120" customFormat="1" ht="24.95" customHeight="1">
      <c r="B132" s="445"/>
      <c r="C132" s="843">
        <v>113</v>
      </c>
      <c r="D132" s="843"/>
      <c r="E132" s="843"/>
      <c r="F132" s="1116" t="s">
        <v>2542</v>
      </c>
      <c r="G132" s="1117" t="s">
        <v>2542</v>
      </c>
      <c r="H132" s="868" t="s">
        <v>3089</v>
      </c>
      <c r="I132" s="1118" t="s">
        <v>3089</v>
      </c>
      <c r="J132" s="1138" t="s">
        <v>2960</v>
      </c>
      <c r="K132" s="1138" t="s">
        <v>2976</v>
      </c>
      <c r="L132" s="870" t="s">
        <v>2307</v>
      </c>
      <c r="M132" s="868" t="s">
        <v>2174</v>
      </c>
      <c r="N132" s="1118"/>
      <c r="O132" s="1119">
        <v>1.3</v>
      </c>
      <c r="P132" s="884">
        <v>1.75</v>
      </c>
      <c r="Q132" s="885"/>
      <c r="R132" s="843">
        <v>1</v>
      </c>
      <c r="S132" s="843">
        <v>0</v>
      </c>
      <c r="T132" s="843">
        <v>1</v>
      </c>
      <c r="U132" s="843">
        <v>0</v>
      </c>
      <c r="V132" s="843">
        <v>0</v>
      </c>
      <c r="W132" s="843">
        <v>1</v>
      </c>
      <c r="X132" s="870" t="s">
        <v>2939</v>
      </c>
      <c r="Y132" s="843" t="str">
        <f>IF(OR(ISNA(MATCH(MID(X132,1,3)*1,UomConversion!$D$8:$D$500,0)),H132=""),"",IF(AV132="","",AV132))</f>
        <v/>
      </c>
      <c r="Z132" s="843" t="str">
        <f>IF(AND(AU132&gt;0,COUNTIFS(UomConversion!$D$8:$D$500,MID(X132,1,3)*1,UomConversion!$J$8:$J$500,1)&gt;1),TEXT(AU132,"000")&amp;"."&amp;VLOOKUP(AU132,uom_list,5,FALSE),"")</f>
        <v/>
      </c>
      <c r="AA132" s="843">
        <f t="shared" si="75"/>
        <v>1</v>
      </c>
      <c r="AB132" s="843" t="str">
        <f t="shared" si="79"/>
        <v>2</v>
      </c>
      <c r="AC132" s="843">
        <f t="shared" ref="AC132" si="130">import_pro_number_of_price_type</f>
        <v>2</v>
      </c>
      <c r="AD132" s="1214">
        <v>0</v>
      </c>
      <c r="AE132" s="1214">
        <v>1.75</v>
      </c>
      <c r="AF132" s="1215"/>
      <c r="AG132" s="1215"/>
      <c r="AH132" s="1215"/>
      <c r="AI132" s="1215"/>
      <c r="AJ132" s="1216"/>
      <c r="AK132" s="1216"/>
      <c r="AL132" s="1216"/>
      <c r="AM132" s="1216"/>
      <c r="AN132" s="1216"/>
      <c r="AO132" s="1216"/>
      <c r="AP132" s="1216"/>
      <c r="AQ132" s="1216"/>
      <c r="AR132" s="1216"/>
      <c r="AS132" s="1216"/>
      <c r="AT132" s="1216"/>
      <c r="AU132" s="1120" cm="1">
        <f t="array" ref="AU132">IF(H132="","",Slookup(MID(X132,1,3)*1,UomConversion!$D$8:$J$500,2,UomConversion!$I$8:$I$500,1,UomConversion!$J$8:$J$500,1))</f>
        <v>0</v>
      </c>
      <c r="AV132" s="401" t="str">
        <f t="shared" si="77"/>
        <v/>
      </c>
      <c r="AW132" s="757">
        <f t="shared" si="114"/>
        <v>2</v>
      </c>
      <c r="AX132" s="757" t="str">
        <f t="shared" si="114"/>
        <v/>
      </c>
      <c r="AY132" s="757" t="str">
        <f t="shared" si="114"/>
        <v/>
      </c>
      <c r="AZ132" s="1209" cm="1">
        <f t="array" ref="AZ132">IF(Y132="",1,Slookup(MID(X132,1,3)*1,UomConversion!$D$8:$J$500,5,UomConversion!$E$8:$E$500,MID(Y132,1,3)*1,UomConversion!$I$8:$I$500,1))</f>
        <v>1</v>
      </c>
      <c r="BA132" s="1209" cm="1">
        <f t="array" ref="BA132">IF(Z132="",1,Slookup(MID(X132,1,3)*1,UomConversion!$D$8:$J$500,5,UomConversion!$E$8:$E$500,MID(Z132,1,3)*1,UomConversion!$I$8:$I$500,1))</f>
        <v>1</v>
      </c>
      <c r="BB132" s="1217">
        <f t="shared" si="81"/>
        <v>1.75</v>
      </c>
      <c r="BC132" s="1217">
        <f t="shared" si="82"/>
        <v>0.44999999999999996</v>
      </c>
      <c r="BD132" s="1217"/>
    </row>
    <row r="133" spans="2:56" s="1120" customFormat="1" ht="24.95" customHeight="1">
      <c r="B133" s="445"/>
      <c r="C133" s="843">
        <v>114</v>
      </c>
      <c r="D133" s="843"/>
      <c r="E133" s="843"/>
      <c r="F133" s="1116" t="s">
        <v>2544</v>
      </c>
      <c r="G133" s="1117" t="s">
        <v>2544</v>
      </c>
      <c r="H133" s="868" t="s">
        <v>3090</v>
      </c>
      <c r="I133" s="1118" t="s">
        <v>3090</v>
      </c>
      <c r="J133" s="1138" t="s">
        <v>2960</v>
      </c>
      <c r="K133" s="1138" t="s">
        <v>2976</v>
      </c>
      <c r="L133" s="870" t="s">
        <v>2307</v>
      </c>
      <c r="M133" s="868" t="s">
        <v>2174</v>
      </c>
      <c r="N133" s="1118"/>
      <c r="O133" s="1119">
        <v>1.5</v>
      </c>
      <c r="P133" s="884">
        <v>2</v>
      </c>
      <c r="Q133" s="885"/>
      <c r="R133" s="843">
        <v>1</v>
      </c>
      <c r="S133" s="843">
        <v>0</v>
      </c>
      <c r="T133" s="843">
        <v>1</v>
      </c>
      <c r="U133" s="843">
        <v>0</v>
      </c>
      <c r="V133" s="843">
        <v>0</v>
      </c>
      <c r="W133" s="843">
        <v>1</v>
      </c>
      <c r="X133" s="870" t="s">
        <v>2939</v>
      </c>
      <c r="Y133" s="843" t="str">
        <f>IF(OR(ISNA(MATCH(MID(X133,1,3)*1,UomConversion!$D$8:$D$500,0)),H133=""),"",IF(AV133="","",AV133))</f>
        <v/>
      </c>
      <c r="Z133" s="843" t="str">
        <f>IF(AND(AU133&gt;0,COUNTIFS(UomConversion!$D$8:$D$500,MID(X133,1,3)*1,UomConversion!$J$8:$J$500,1)&gt;1),TEXT(AU133,"000")&amp;"."&amp;VLOOKUP(AU133,uom_list,5,FALSE),"")</f>
        <v/>
      </c>
      <c r="AA133" s="843">
        <f t="shared" si="75"/>
        <v>1</v>
      </c>
      <c r="AB133" s="843" t="str">
        <f t="shared" si="79"/>
        <v>2</v>
      </c>
      <c r="AC133" s="843">
        <f t="shared" ref="AC133" si="131">import_pro_number_of_price_type</f>
        <v>2</v>
      </c>
      <c r="AD133" s="1214">
        <v>0</v>
      </c>
      <c r="AE133" s="1214">
        <v>2</v>
      </c>
      <c r="AF133" s="1215"/>
      <c r="AG133" s="1215"/>
      <c r="AH133" s="1215"/>
      <c r="AI133" s="1215"/>
      <c r="AJ133" s="1216"/>
      <c r="AK133" s="1216"/>
      <c r="AL133" s="1216"/>
      <c r="AM133" s="1216"/>
      <c r="AN133" s="1216"/>
      <c r="AO133" s="1216"/>
      <c r="AP133" s="1216"/>
      <c r="AQ133" s="1216"/>
      <c r="AR133" s="1216"/>
      <c r="AS133" s="1216"/>
      <c r="AT133" s="1216"/>
      <c r="AU133" s="1120" cm="1">
        <f t="array" ref="AU133">IF(H133="","",Slookup(MID(X133,1,3)*1,UomConversion!$D$8:$J$500,2,UomConversion!$I$8:$I$500,1,UomConversion!$J$8:$J$500,1))</f>
        <v>0</v>
      </c>
      <c r="AV133" s="401" t="str">
        <f t="shared" si="77"/>
        <v/>
      </c>
      <c r="AW133" s="757">
        <f t="shared" si="114"/>
        <v>2</v>
      </c>
      <c r="AX133" s="757" t="str">
        <f t="shared" si="114"/>
        <v/>
      </c>
      <c r="AY133" s="757" t="str">
        <f t="shared" si="114"/>
        <v/>
      </c>
      <c r="AZ133" s="1209" cm="1">
        <f t="array" ref="AZ133">IF(Y133="",1,Slookup(MID(X133,1,3)*1,UomConversion!$D$8:$J$500,5,UomConversion!$E$8:$E$500,MID(Y133,1,3)*1,UomConversion!$I$8:$I$500,1))</f>
        <v>1</v>
      </c>
      <c r="BA133" s="1209" cm="1">
        <f t="array" ref="BA133">IF(Z133="",1,Slookup(MID(X133,1,3)*1,UomConversion!$D$8:$J$500,5,UomConversion!$E$8:$E$500,MID(Z133,1,3)*1,UomConversion!$I$8:$I$500,1))</f>
        <v>1</v>
      </c>
      <c r="BB133" s="1217">
        <f t="shared" si="81"/>
        <v>2</v>
      </c>
      <c r="BC133" s="1217">
        <f t="shared" si="82"/>
        <v>0.5</v>
      </c>
      <c r="BD133" s="1217"/>
    </row>
    <row r="134" spans="2:56" s="1120" customFormat="1" ht="24.95" customHeight="1">
      <c r="B134" s="445"/>
      <c r="C134" s="843">
        <v>115</v>
      </c>
      <c r="D134" s="843"/>
      <c r="E134" s="843"/>
      <c r="F134" s="1116" t="s">
        <v>2546</v>
      </c>
      <c r="G134" s="1117" t="s">
        <v>2546</v>
      </c>
      <c r="H134" s="868" t="s">
        <v>3091</v>
      </c>
      <c r="I134" s="1118" t="s">
        <v>3091</v>
      </c>
      <c r="J134" s="1138" t="s">
        <v>2961</v>
      </c>
      <c r="K134" s="1138" t="s">
        <v>2976</v>
      </c>
      <c r="L134" s="870" t="s">
        <v>2307</v>
      </c>
      <c r="M134" s="868" t="s">
        <v>2174</v>
      </c>
      <c r="N134" s="1118"/>
      <c r="O134" s="1119">
        <v>0.85</v>
      </c>
      <c r="P134" s="884">
        <v>1.5</v>
      </c>
      <c r="Q134" s="885"/>
      <c r="R134" s="843">
        <v>1</v>
      </c>
      <c r="S134" s="843">
        <v>0</v>
      </c>
      <c r="T134" s="843">
        <v>1</v>
      </c>
      <c r="U134" s="843">
        <v>0</v>
      </c>
      <c r="V134" s="843">
        <v>0</v>
      </c>
      <c r="W134" s="843">
        <v>1</v>
      </c>
      <c r="X134" s="870" t="s">
        <v>2939</v>
      </c>
      <c r="Y134" s="843" t="str">
        <f>IF(OR(ISNA(MATCH(MID(X134,1,3)*1,UomConversion!$D$8:$D$500,0)),H134=""),"",IF(AV134="","",AV134))</f>
        <v/>
      </c>
      <c r="Z134" s="843" t="str">
        <f>IF(AND(AU134&gt;0,COUNTIFS(UomConversion!$D$8:$D$500,MID(X134,1,3)*1,UomConversion!$J$8:$J$500,1)&gt;1),TEXT(AU134,"000")&amp;"."&amp;VLOOKUP(AU134,uom_list,5,FALSE),"")</f>
        <v/>
      </c>
      <c r="AA134" s="843">
        <f t="shared" si="75"/>
        <v>1</v>
      </c>
      <c r="AB134" s="843" t="str">
        <f t="shared" si="79"/>
        <v>2</v>
      </c>
      <c r="AC134" s="843">
        <f t="shared" ref="AC134" si="132">import_pro_number_of_price_type</f>
        <v>2</v>
      </c>
      <c r="AD134" s="1214">
        <v>0</v>
      </c>
      <c r="AE134" s="1214">
        <v>1.5</v>
      </c>
      <c r="AF134" s="1215"/>
      <c r="AG134" s="1215"/>
      <c r="AH134" s="1215"/>
      <c r="AI134" s="1215"/>
      <c r="AJ134" s="1216"/>
      <c r="AK134" s="1216"/>
      <c r="AL134" s="1216"/>
      <c r="AM134" s="1216"/>
      <c r="AN134" s="1216"/>
      <c r="AO134" s="1216"/>
      <c r="AP134" s="1216"/>
      <c r="AQ134" s="1216"/>
      <c r="AR134" s="1216"/>
      <c r="AS134" s="1216"/>
      <c r="AT134" s="1216"/>
      <c r="AU134" s="1120" cm="1">
        <f t="array" ref="AU134">IF(H134="","",Slookup(MID(X134,1,3)*1,UomConversion!$D$8:$J$500,2,UomConversion!$I$8:$I$500,1,UomConversion!$J$8:$J$500,1))</f>
        <v>0</v>
      </c>
      <c r="AV134" s="401" t="str">
        <f t="shared" si="77"/>
        <v/>
      </c>
      <c r="AW134" s="757">
        <f t="shared" si="114"/>
        <v>2</v>
      </c>
      <c r="AX134" s="757" t="str">
        <f t="shared" si="114"/>
        <v/>
      </c>
      <c r="AY134" s="757" t="str">
        <f t="shared" si="114"/>
        <v/>
      </c>
      <c r="AZ134" s="1209" cm="1">
        <f t="array" ref="AZ134">IF(Y134="",1,Slookup(MID(X134,1,3)*1,UomConversion!$D$8:$J$500,5,UomConversion!$E$8:$E$500,MID(Y134,1,3)*1,UomConversion!$I$8:$I$500,1))</f>
        <v>1</v>
      </c>
      <c r="BA134" s="1209" cm="1">
        <f t="array" ref="BA134">IF(Z134="",1,Slookup(MID(X134,1,3)*1,UomConversion!$D$8:$J$500,5,UomConversion!$E$8:$E$500,MID(Z134,1,3)*1,UomConversion!$I$8:$I$500,1))</f>
        <v>1</v>
      </c>
      <c r="BB134" s="1217">
        <f t="shared" si="81"/>
        <v>1.5</v>
      </c>
      <c r="BC134" s="1217">
        <f t="shared" si="82"/>
        <v>0.65</v>
      </c>
      <c r="BD134" s="1217"/>
    </row>
    <row r="135" spans="2:56" s="1120" customFormat="1" ht="24.95" customHeight="1">
      <c r="B135" s="445"/>
      <c r="C135" s="843">
        <v>116</v>
      </c>
      <c r="D135" s="843"/>
      <c r="E135" s="843"/>
      <c r="F135" s="1116" t="s">
        <v>2548</v>
      </c>
      <c r="G135" s="1117" t="s">
        <v>2548</v>
      </c>
      <c r="H135" s="868" t="s">
        <v>3092</v>
      </c>
      <c r="I135" s="1118" t="s">
        <v>3092</v>
      </c>
      <c r="J135" s="1138" t="s">
        <v>2961</v>
      </c>
      <c r="K135" s="1138" t="s">
        <v>2976</v>
      </c>
      <c r="L135" s="870" t="s">
        <v>2307</v>
      </c>
      <c r="M135" s="868" t="s">
        <v>2174</v>
      </c>
      <c r="N135" s="1118"/>
      <c r="O135" s="1119">
        <v>0.95</v>
      </c>
      <c r="P135" s="884">
        <v>1.5</v>
      </c>
      <c r="Q135" s="885"/>
      <c r="R135" s="843">
        <v>1</v>
      </c>
      <c r="S135" s="843">
        <v>0</v>
      </c>
      <c r="T135" s="843">
        <v>1</v>
      </c>
      <c r="U135" s="843">
        <v>0</v>
      </c>
      <c r="V135" s="843">
        <v>0</v>
      </c>
      <c r="W135" s="843">
        <v>1</v>
      </c>
      <c r="X135" s="870" t="s">
        <v>2939</v>
      </c>
      <c r="Y135" s="843" t="str">
        <f>IF(OR(ISNA(MATCH(MID(X135,1,3)*1,UomConversion!$D$8:$D$500,0)),H135=""),"",IF(AV135="","",AV135))</f>
        <v/>
      </c>
      <c r="Z135" s="843" t="str">
        <f>IF(AND(AU135&gt;0,COUNTIFS(UomConversion!$D$8:$D$500,MID(X135,1,3)*1,UomConversion!$J$8:$J$500,1)&gt;1),TEXT(AU135,"000")&amp;"."&amp;VLOOKUP(AU135,uom_list,5,FALSE),"")</f>
        <v/>
      </c>
      <c r="AA135" s="843">
        <f t="shared" si="75"/>
        <v>1</v>
      </c>
      <c r="AB135" s="843" t="str">
        <f t="shared" si="79"/>
        <v>2</v>
      </c>
      <c r="AC135" s="843">
        <f t="shared" ref="AC135" si="133">import_pro_number_of_price_type</f>
        <v>2</v>
      </c>
      <c r="AD135" s="1214">
        <v>0</v>
      </c>
      <c r="AE135" s="1214">
        <v>1.5</v>
      </c>
      <c r="AF135" s="1215"/>
      <c r="AG135" s="1215"/>
      <c r="AH135" s="1215"/>
      <c r="AI135" s="1215"/>
      <c r="AJ135" s="1216"/>
      <c r="AK135" s="1216"/>
      <c r="AL135" s="1216"/>
      <c r="AM135" s="1216"/>
      <c r="AN135" s="1216"/>
      <c r="AO135" s="1216"/>
      <c r="AP135" s="1216"/>
      <c r="AQ135" s="1216"/>
      <c r="AR135" s="1216"/>
      <c r="AS135" s="1216"/>
      <c r="AT135" s="1216"/>
      <c r="AU135" s="1120" cm="1">
        <f t="array" ref="AU135">IF(H135="","",Slookup(MID(X135,1,3)*1,UomConversion!$D$8:$J$500,2,UomConversion!$I$8:$I$500,1,UomConversion!$J$8:$J$500,1))</f>
        <v>0</v>
      </c>
      <c r="AV135" s="401" t="str">
        <f t="shared" si="77"/>
        <v/>
      </c>
      <c r="AW135" s="757">
        <f t="shared" si="114"/>
        <v>2</v>
      </c>
      <c r="AX135" s="757" t="str">
        <f t="shared" si="114"/>
        <v/>
      </c>
      <c r="AY135" s="757" t="str">
        <f t="shared" si="114"/>
        <v/>
      </c>
      <c r="AZ135" s="1209" cm="1">
        <f t="array" ref="AZ135">IF(Y135="",1,Slookup(MID(X135,1,3)*1,UomConversion!$D$8:$J$500,5,UomConversion!$E$8:$E$500,MID(Y135,1,3)*1,UomConversion!$I$8:$I$500,1))</f>
        <v>1</v>
      </c>
      <c r="BA135" s="1209" cm="1">
        <f t="array" ref="BA135">IF(Z135="",1,Slookup(MID(X135,1,3)*1,UomConversion!$D$8:$J$500,5,UomConversion!$E$8:$E$500,MID(Z135,1,3)*1,UomConversion!$I$8:$I$500,1))</f>
        <v>1</v>
      </c>
      <c r="BB135" s="1217">
        <f t="shared" si="81"/>
        <v>1.5</v>
      </c>
      <c r="BC135" s="1217">
        <f t="shared" si="82"/>
        <v>0.55000000000000004</v>
      </c>
      <c r="BD135" s="1217"/>
    </row>
    <row r="136" spans="2:56" s="1120" customFormat="1" ht="24.95" customHeight="1">
      <c r="B136" s="445"/>
      <c r="C136" s="843">
        <v>117</v>
      </c>
      <c r="D136" s="843"/>
      <c r="E136" s="843"/>
      <c r="F136" s="1116" t="s">
        <v>2550</v>
      </c>
      <c r="G136" s="1117" t="s">
        <v>2550</v>
      </c>
      <c r="H136" s="868" t="s">
        <v>3093</v>
      </c>
      <c r="I136" s="1118" t="s">
        <v>3093</v>
      </c>
      <c r="J136" s="1138" t="s">
        <v>2959</v>
      </c>
      <c r="K136" s="1138" t="s">
        <v>2976</v>
      </c>
      <c r="L136" s="870" t="s">
        <v>2265</v>
      </c>
      <c r="M136" s="868" t="s">
        <v>2174</v>
      </c>
      <c r="N136" s="1118"/>
      <c r="O136" s="1119">
        <v>6.6</v>
      </c>
      <c r="P136" s="884">
        <v>1.35</v>
      </c>
      <c r="Q136" s="885"/>
      <c r="R136" s="843" t="s">
        <v>58</v>
      </c>
      <c r="S136" s="843">
        <v>0</v>
      </c>
      <c r="T136" s="843">
        <v>1</v>
      </c>
      <c r="U136" s="843">
        <v>0</v>
      </c>
      <c r="V136" s="843">
        <v>0</v>
      </c>
      <c r="W136" s="843">
        <v>1</v>
      </c>
      <c r="X136" s="870" t="s">
        <v>2814</v>
      </c>
      <c r="Y136" s="843" t="str">
        <f>IF(OR(ISNA(MATCH(MID(X136,1,3)*1,UomConversion!$D$8:$D$500,0)),H136=""),"",IF(AV136="","",AV136))</f>
        <v>002.pcs</v>
      </c>
      <c r="Z136" s="843" t="str">
        <f>IF(AND(AU136&gt;0,COUNTIFS(UomConversion!$D$8:$D$500,MID(X136,1,3)*1,UomConversion!$J$8:$J$500,1)&gt;1),TEXT(AU136,"000")&amp;"."&amp;VLOOKUP(AU136,uom_list,5,FALSE),"")</f>
        <v/>
      </c>
      <c r="AA136" s="843">
        <f t="shared" si="75"/>
        <v>2</v>
      </c>
      <c r="AB136" s="843" t="str">
        <f t="shared" si="79"/>
        <v>25,2</v>
      </c>
      <c r="AC136" s="843">
        <f t="shared" ref="AC136" si="134">import_pro_number_of_price_type</f>
        <v>2</v>
      </c>
      <c r="AD136" s="1214">
        <v>0</v>
      </c>
      <c r="AE136" s="1214">
        <v>1.35</v>
      </c>
      <c r="AF136" s="1215"/>
      <c r="AG136" s="1215"/>
      <c r="AH136" s="1215"/>
      <c r="AI136" s="1215"/>
      <c r="AJ136" s="1216"/>
      <c r="AK136" s="1216"/>
      <c r="AL136" s="1216"/>
      <c r="AM136" s="1216"/>
      <c r="AN136" s="1216"/>
      <c r="AO136" s="1216"/>
      <c r="AP136" s="1216"/>
      <c r="AQ136" s="1216"/>
      <c r="AR136" s="1216"/>
      <c r="AS136" s="1216"/>
      <c r="AT136" s="1216"/>
      <c r="AU136" s="1120" cm="1">
        <f t="array" ref="AU136">IF(H136="","",Slookup(MID(X136,1,3)*1,UomConversion!$D$8:$J$500,2,UomConversion!$I$8:$I$500,1,UomConversion!$J$8:$J$500,1))</f>
        <v>2</v>
      </c>
      <c r="AV136" s="401" t="str">
        <f t="shared" si="77"/>
        <v>002.pcs</v>
      </c>
      <c r="AW136" s="757">
        <f t="shared" si="114"/>
        <v>25</v>
      </c>
      <c r="AX136" s="757">
        <f t="shared" si="114"/>
        <v>2</v>
      </c>
      <c r="AY136" s="757" t="str">
        <f t="shared" si="114"/>
        <v/>
      </c>
      <c r="AZ136" s="1209" cm="1">
        <f t="array" ref="AZ136">IF(Y136="",1,Slookup(MID(X136,1,3)*1,UomConversion!$D$8:$J$500,5,UomConversion!$E$8:$E$500,MID(Y136,1,3)*1,UomConversion!$I$8:$I$500,1))</f>
        <v>6</v>
      </c>
      <c r="BA136" s="1209" cm="1">
        <f t="array" ref="BA136">IF(Z136="",1,Slookup(MID(X136,1,3)*1,UomConversion!$D$8:$J$500,5,UomConversion!$E$8:$E$500,MID(Z136,1,3)*1,UomConversion!$I$8:$I$500,1))</f>
        <v>1</v>
      </c>
      <c r="BB136" s="1217">
        <f t="shared" si="81"/>
        <v>8.1000000000000014</v>
      </c>
      <c r="BC136" s="1217">
        <f t="shared" si="82"/>
        <v>-5.25</v>
      </c>
      <c r="BD136" s="1217"/>
    </row>
    <row r="137" spans="2:56" s="1120" customFormat="1" ht="24.95" customHeight="1">
      <c r="B137" s="445"/>
      <c r="C137" s="843">
        <v>118</v>
      </c>
      <c r="D137" s="843"/>
      <c r="E137" s="843"/>
      <c r="F137" s="1116" t="s">
        <v>2552</v>
      </c>
      <c r="G137" s="1117" t="s">
        <v>2552</v>
      </c>
      <c r="H137" s="868" t="s">
        <v>3094</v>
      </c>
      <c r="I137" s="1118" t="s">
        <v>3094</v>
      </c>
      <c r="J137" s="1138" t="s">
        <v>2959</v>
      </c>
      <c r="K137" s="1138" t="s">
        <v>2976</v>
      </c>
      <c r="L137" s="870" t="s">
        <v>2265</v>
      </c>
      <c r="M137" s="868" t="s">
        <v>2174</v>
      </c>
      <c r="N137" s="1118"/>
      <c r="O137" s="1119">
        <v>7.2</v>
      </c>
      <c r="P137" s="884">
        <v>1.5</v>
      </c>
      <c r="Q137" s="885"/>
      <c r="R137" s="843" t="s">
        <v>58</v>
      </c>
      <c r="S137" s="843">
        <v>0</v>
      </c>
      <c r="T137" s="843">
        <v>1</v>
      </c>
      <c r="U137" s="843">
        <v>0</v>
      </c>
      <c r="V137" s="843">
        <v>0</v>
      </c>
      <c r="W137" s="843">
        <v>1</v>
      </c>
      <c r="X137" s="870" t="s">
        <v>2814</v>
      </c>
      <c r="Y137" s="843" t="str">
        <f>IF(OR(ISNA(MATCH(MID(X137,1,3)*1,UomConversion!$D$8:$D$500,0)),H137=""),"",IF(AV137="","",AV137))</f>
        <v>002.pcs</v>
      </c>
      <c r="Z137" s="843" t="str">
        <f>IF(AND(AU137&gt;0,COUNTIFS(UomConversion!$D$8:$D$500,MID(X137,1,3)*1,UomConversion!$J$8:$J$500,1)&gt;1),TEXT(AU137,"000")&amp;"."&amp;VLOOKUP(AU137,uom_list,5,FALSE),"")</f>
        <v/>
      </c>
      <c r="AA137" s="843">
        <f t="shared" si="75"/>
        <v>2</v>
      </c>
      <c r="AB137" s="843" t="str">
        <f t="shared" si="79"/>
        <v>25,2</v>
      </c>
      <c r="AC137" s="843">
        <f t="shared" ref="AC137" si="135">import_pro_number_of_price_type</f>
        <v>2</v>
      </c>
      <c r="AD137" s="1214">
        <v>0</v>
      </c>
      <c r="AE137" s="1214">
        <v>1.5</v>
      </c>
      <c r="AF137" s="1215"/>
      <c r="AG137" s="1215"/>
      <c r="AH137" s="1215"/>
      <c r="AI137" s="1215"/>
      <c r="AJ137" s="1216"/>
      <c r="AK137" s="1216"/>
      <c r="AL137" s="1216"/>
      <c r="AM137" s="1216"/>
      <c r="AN137" s="1216"/>
      <c r="AO137" s="1216"/>
      <c r="AP137" s="1216"/>
      <c r="AQ137" s="1216"/>
      <c r="AR137" s="1216"/>
      <c r="AS137" s="1216"/>
      <c r="AT137" s="1216"/>
      <c r="AU137" s="1120" cm="1">
        <f t="array" ref="AU137">IF(H137="","",Slookup(MID(X137,1,3)*1,UomConversion!$D$8:$J$500,2,UomConversion!$I$8:$I$500,1,UomConversion!$J$8:$J$500,1))</f>
        <v>2</v>
      </c>
      <c r="AV137" s="401" t="str">
        <f t="shared" si="77"/>
        <v>002.pcs</v>
      </c>
      <c r="AW137" s="757">
        <f t="shared" si="114"/>
        <v>25</v>
      </c>
      <c r="AX137" s="757">
        <f t="shared" si="114"/>
        <v>2</v>
      </c>
      <c r="AY137" s="757" t="str">
        <f t="shared" si="114"/>
        <v/>
      </c>
      <c r="AZ137" s="1209" cm="1">
        <f t="array" ref="AZ137">IF(Y137="",1,Slookup(MID(X137,1,3)*1,UomConversion!$D$8:$J$500,5,UomConversion!$E$8:$E$500,MID(Y137,1,3)*1,UomConversion!$I$8:$I$500,1))</f>
        <v>6</v>
      </c>
      <c r="BA137" s="1209" cm="1">
        <f t="array" ref="BA137">IF(Z137="",1,Slookup(MID(X137,1,3)*1,UomConversion!$D$8:$J$500,5,UomConversion!$E$8:$E$500,MID(Z137,1,3)*1,UomConversion!$I$8:$I$500,1))</f>
        <v>1</v>
      </c>
      <c r="BB137" s="1217">
        <f t="shared" si="81"/>
        <v>9</v>
      </c>
      <c r="BC137" s="1217">
        <f t="shared" si="82"/>
        <v>-5.7</v>
      </c>
      <c r="BD137" s="1217"/>
    </row>
    <row r="138" spans="2:56" s="1120" customFormat="1" ht="24.95" customHeight="1">
      <c r="B138" s="445"/>
      <c r="C138" s="843">
        <v>119</v>
      </c>
      <c r="D138" s="843"/>
      <c r="E138" s="843"/>
      <c r="F138" s="1116" t="s">
        <v>2554</v>
      </c>
      <c r="G138" s="1117" t="s">
        <v>2554</v>
      </c>
      <c r="H138" s="868" t="s">
        <v>3095</v>
      </c>
      <c r="I138" s="1118" t="s">
        <v>3095</v>
      </c>
      <c r="J138" s="1138" t="s">
        <v>2959</v>
      </c>
      <c r="K138" s="1138" t="s">
        <v>2976</v>
      </c>
      <c r="L138" s="870" t="s">
        <v>2265</v>
      </c>
      <c r="M138" s="868" t="s">
        <v>2174</v>
      </c>
      <c r="N138" s="1118"/>
      <c r="O138" s="1119">
        <v>7.8</v>
      </c>
      <c r="P138" s="884">
        <v>1.75</v>
      </c>
      <c r="Q138" s="885"/>
      <c r="R138" s="843" t="s">
        <v>58</v>
      </c>
      <c r="S138" s="843">
        <v>0</v>
      </c>
      <c r="T138" s="843">
        <v>1</v>
      </c>
      <c r="U138" s="843">
        <v>0</v>
      </c>
      <c r="V138" s="843">
        <v>0</v>
      </c>
      <c r="W138" s="843">
        <v>1</v>
      </c>
      <c r="X138" s="870" t="s">
        <v>2814</v>
      </c>
      <c r="Y138" s="843" t="str">
        <f>IF(OR(ISNA(MATCH(MID(X138,1,3)*1,UomConversion!$D$8:$D$500,0)),H138=""),"",IF(AV138="","",AV138))</f>
        <v>002.pcs</v>
      </c>
      <c r="Z138" s="843" t="str">
        <f>IF(AND(AU138&gt;0,COUNTIFS(UomConversion!$D$8:$D$500,MID(X138,1,3)*1,UomConversion!$J$8:$J$500,1)&gt;1),TEXT(AU138,"000")&amp;"."&amp;VLOOKUP(AU138,uom_list,5,FALSE),"")</f>
        <v/>
      </c>
      <c r="AA138" s="843">
        <f t="shared" si="75"/>
        <v>2</v>
      </c>
      <c r="AB138" s="843" t="str">
        <f t="shared" si="79"/>
        <v>25,2</v>
      </c>
      <c r="AC138" s="843">
        <f t="shared" ref="AC138" si="136">import_pro_number_of_price_type</f>
        <v>2</v>
      </c>
      <c r="AD138" s="1214">
        <v>0</v>
      </c>
      <c r="AE138" s="1214">
        <v>1.75</v>
      </c>
      <c r="AF138" s="1215"/>
      <c r="AG138" s="1215"/>
      <c r="AH138" s="1215"/>
      <c r="AI138" s="1215"/>
      <c r="AJ138" s="1216"/>
      <c r="AK138" s="1216"/>
      <c r="AL138" s="1216"/>
      <c r="AM138" s="1216"/>
      <c r="AN138" s="1216"/>
      <c r="AO138" s="1216"/>
      <c r="AP138" s="1216"/>
      <c r="AQ138" s="1216"/>
      <c r="AR138" s="1216"/>
      <c r="AS138" s="1216"/>
      <c r="AT138" s="1216"/>
      <c r="AU138" s="1120" cm="1">
        <f t="array" ref="AU138">IF(H138="","",Slookup(MID(X138,1,3)*1,UomConversion!$D$8:$J$500,2,UomConversion!$I$8:$I$500,1,UomConversion!$J$8:$J$500,1))</f>
        <v>2</v>
      </c>
      <c r="AV138" s="401" t="str">
        <f t="shared" si="77"/>
        <v>002.pcs</v>
      </c>
      <c r="AW138" s="757">
        <f t="shared" si="114"/>
        <v>25</v>
      </c>
      <c r="AX138" s="757">
        <f t="shared" si="114"/>
        <v>2</v>
      </c>
      <c r="AY138" s="757" t="str">
        <f t="shared" si="114"/>
        <v/>
      </c>
      <c r="AZ138" s="1209" cm="1">
        <f t="array" ref="AZ138">IF(Y138="",1,Slookup(MID(X138,1,3)*1,UomConversion!$D$8:$J$500,5,UomConversion!$E$8:$E$500,MID(Y138,1,3)*1,UomConversion!$I$8:$I$500,1))</f>
        <v>6</v>
      </c>
      <c r="BA138" s="1209" cm="1">
        <f t="array" ref="BA138">IF(Z138="",1,Slookup(MID(X138,1,3)*1,UomConversion!$D$8:$J$500,5,UomConversion!$E$8:$E$500,MID(Z138,1,3)*1,UomConversion!$I$8:$I$500,1))</f>
        <v>1</v>
      </c>
      <c r="BB138" s="1217">
        <f t="shared" si="81"/>
        <v>10.5</v>
      </c>
      <c r="BC138" s="1217">
        <f t="shared" si="82"/>
        <v>-6.05</v>
      </c>
      <c r="BD138" s="1217"/>
    </row>
    <row r="139" spans="2:56" s="1120" customFormat="1" ht="24.95" customHeight="1">
      <c r="B139" s="445"/>
      <c r="C139" s="843">
        <v>120</v>
      </c>
      <c r="D139" s="843"/>
      <c r="E139" s="843"/>
      <c r="F139" s="1116" t="s">
        <v>2556</v>
      </c>
      <c r="G139" s="1117" t="s">
        <v>2556</v>
      </c>
      <c r="H139" s="868" t="s">
        <v>3096</v>
      </c>
      <c r="I139" s="1118" t="s">
        <v>3096</v>
      </c>
      <c r="J139" s="1138" t="s">
        <v>2959</v>
      </c>
      <c r="K139" s="1138" t="s">
        <v>2976</v>
      </c>
      <c r="L139" s="870" t="s">
        <v>2265</v>
      </c>
      <c r="M139" s="868" t="s">
        <v>2174</v>
      </c>
      <c r="N139" s="1118"/>
      <c r="O139" s="1119">
        <v>8.4</v>
      </c>
      <c r="P139" s="884">
        <v>1.8</v>
      </c>
      <c r="Q139" s="885"/>
      <c r="R139" s="843" t="s">
        <v>58</v>
      </c>
      <c r="S139" s="843">
        <v>0</v>
      </c>
      <c r="T139" s="843">
        <v>1</v>
      </c>
      <c r="U139" s="843">
        <v>0</v>
      </c>
      <c r="V139" s="843">
        <v>0</v>
      </c>
      <c r="W139" s="843">
        <v>1</v>
      </c>
      <c r="X139" s="870" t="s">
        <v>2814</v>
      </c>
      <c r="Y139" s="843" t="str">
        <f>IF(OR(ISNA(MATCH(MID(X139,1,3)*1,UomConversion!$D$8:$D$500,0)),H139=""),"",IF(AV139="","",AV139))</f>
        <v>002.pcs</v>
      </c>
      <c r="Z139" s="843" t="str">
        <f>IF(AND(AU139&gt;0,COUNTIFS(UomConversion!$D$8:$D$500,MID(X139,1,3)*1,UomConversion!$J$8:$J$500,1)&gt;1),TEXT(AU139,"000")&amp;"."&amp;VLOOKUP(AU139,uom_list,5,FALSE),"")</f>
        <v/>
      </c>
      <c r="AA139" s="843">
        <f t="shared" si="75"/>
        <v>2</v>
      </c>
      <c r="AB139" s="843" t="str">
        <f t="shared" si="79"/>
        <v>25,2</v>
      </c>
      <c r="AC139" s="843">
        <f t="shared" ref="AC139" si="137">import_pro_number_of_price_type</f>
        <v>2</v>
      </c>
      <c r="AD139" s="1214">
        <v>0</v>
      </c>
      <c r="AE139" s="1214">
        <v>1.8</v>
      </c>
      <c r="AF139" s="1215"/>
      <c r="AG139" s="1215"/>
      <c r="AH139" s="1215"/>
      <c r="AI139" s="1215"/>
      <c r="AJ139" s="1216"/>
      <c r="AK139" s="1216"/>
      <c r="AL139" s="1216"/>
      <c r="AM139" s="1216"/>
      <c r="AN139" s="1216"/>
      <c r="AO139" s="1216"/>
      <c r="AP139" s="1216"/>
      <c r="AQ139" s="1216"/>
      <c r="AR139" s="1216"/>
      <c r="AS139" s="1216"/>
      <c r="AT139" s="1216"/>
      <c r="AU139" s="1120" cm="1">
        <f t="array" ref="AU139">IF(H139="","",Slookup(MID(X139,1,3)*1,UomConversion!$D$8:$J$500,2,UomConversion!$I$8:$I$500,1,UomConversion!$J$8:$J$500,1))</f>
        <v>2</v>
      </c>
      <c r="AV139" s="401" t="str">
        <f t="shared" si="77"/>
        <v>002.pcs</v>
      </c>
      <c r="AW139" s="757">
        <f t="shared" si="114"/>
        <v>25</v>
      </c>
      <c r="AX139" s="757">
        <f t="shared" si="114"/>
        <v>2</v>
      </c>
      <c r="AY139" s="757" t="str">
        <f t="shared" si="114"/>
        <v/>
      </c>
      <c r="AZ139" s="1209" cm="1">
        <f t="array" ref="AZ139">IF(Y139="",1,Slookup(MID(X139,1,3)*1,UomConversion!$D$8:$J$500,5,UomConversion!$E$8:$E$500,MID(Y139,1,3)*1,UomConversion!$I$8:$I$500,1))</f>
        <v>6</v>
      </c>
      <c r="BA139" s="1209" cm="1">
        <f t="array" ref="BA139">IF(Z139="",1,Slookup(MID(X139,1,3)*1,UomConversion!$D$8:$J$500,5,UomConversion!$E$8:$E$500,MID(Z139,1,3)*1,UomConversion!$I$8:$I$500,1))</f>
        <v>1</v>
      </c>
      <c r="BB139" s="1217">
        <f t="shared" si="81"/>
        <v>10.8</v>
      </c>
      <c r="BC139" s="1217">
        <f t="shared" si="82"/>
        <v>-6.6000000000000005</v>
      </c>
      <c r="BD139" s="1217"/>
    </row>
    <row r="140" spans="2:56" s="1120" customFormat="1" ht="24.95" customHeight="1">
      <c r="B140" s="445"/>
      <c r="C140" s="843">
        <v>121</v>
      </c>
      <c r="D140" s="843"/>
      <c r="E140" s="843"/>
      <c r="F140" s="1116" t="s">
        <v>2558</v>
      </c>
      <c r="G140" s="1117" t="s">
        <v>2558</v>
      </c>
      <c r="H140" s="868" t="s">
        <v>3097</v>
      </c>
      <c r="I140" s="1118" t="s">
        <v>3097</v>
      </c>
      <c r="J140" s="1138" t="s">
        <v>2959</v>
      </c>
      <c r="K140" s="1138" t="s">
        <v>2976</v>
      </c>
      <c r="L140" s="870" t="s">
        <v>2265</v>
      </c>
      <c r="M140" s="868" t="s">
        <v>2174</v>
      </c>
      <c r="N140" s="1118"/>
      <c r="O140" s="1119">
        <v>9</v>
      </c>
      <c r="P140" s="884">
        <v>1.8</v>
      </c>
      <c r="Q140" s="885"/>
      <c r="R140" s="843" t="s">
        <v>58</v>
      </c>
      <c r="S140" s="843">
        <v>0</v>
      </c>
      <c r="T140" s="843">
        <v>1</v>
      </c>
      <c r="U140" s="843">
        <v>0</v>
      </c>
      <c r="V140" s="843">
        <v>0</v>
      </c>
      <c r="W140" s="843">
        <v>1</v>
      </c>
      <c r="X140" s="870" t="s">
        <v>2814</v>
      </c>
      <c r="Y140" s="843" t="str">
        <f>IF(OR(ISNA(MATCH(MID(X140,1,3)*1,UomConversion!$D$8:$D$500,0)),H140=""),"",IF(AV140="","",AV140))</f>
        <v>002.pcs</v>
      </c>
      <c r="Z140" s="843" t="str">
        <f>IF(AND(AU140&gt;0,COUNTIFS(UomConversion!$D$8:$D$500,MID(X140,1,3)*1,UomConversion!$J$8:$J$500,1)&gt;1),TEXT(AU140,"000")&amp;"."&amp;VLOOKUP(AU140,uom_list,5,FALSE),"")</f>
        <v/>
      </c>
      <c r="AA140" s="843">
        <f t="shared" si="75"/>
        <v>2</v>
      </c>
      <c r="AB140" s="843" t="str">
        <f t="shared" si="79"/>
        <v>25,2</v>
      </c>
      <c r="AC140" s="843">
        <f t="shared" ref="AC140" si="138">import_pro_number_of_price_type</f>
        <v>2</v>
      </c>
      <c r="AD140" s="1214">
        <v>0</v>
      </c>
      <c r="AE140" s="1214">
        <v>1.8</v>
      </c>
      <c r="AF140" s="1215"/>
      <c r="AG140" s="1215"/>
      <c r="AH140" s="1215"/>
      <c r="AI140" s="1215"/>
      <c r="AJ140" s="1216"/>
      <c r="AK140" s="1216"/>
      <c r="AL140" s="1216"/>
      <c r="AM140" s="1216"/>
      <c r="AN140" s="1216"/>
      <c r="AO140" s="1216"/>
      <c r="AP140" s="1216"/>
      <c r="AQ140" s="1216"/>
      <c r="AR140" s="1216"/>
      <c r="AS140" s="1216"/>
      <c r="AT140" s="1216"/>
      <c r="AU140" s="1120" cm="1">
        <f t="array" ref="AU140">IF(H140="","",Slookup(MID(X140,1,3)*1,UomConversion!$D$8:$J$500,2,UomConversion!$I$8:$I$500,1,UomConversion!$J$8:$J$500,1))</f>
        <v>2</v>
      </c>
      <c r="AV140" s="401" t="str">
        <f t="shared" si="77"/>
        <v>002.pcs</v>
      </c>
      <c r="AW140" s="757">
        <f t="shared" si="114"/>
        <v>25</v>
      </c>
      <c r="AX140" s="757">
        <f t="shared" si="114"/>
        <v>2</v>
      </c>
      <c r="AY140" s="757" t="str">
        <f t="shared" si="114"/>
        <v/>
      </c>
      <c r="AZ140" s="1209" cm="1">
        <f t="array" ref="AZ140">IF(Y140="",1,Slookup(MID(X140,1,3)*1,UomConversion!$D$8:$J$500,5,UomConversion!$E$8:$E$500,MID(Y140,1,3)*1,UomConversion!$I$8:$I$500,1))</f>
        <v>6</v>
      </c>
      <c r="BA140" s="1209" cm="1">
        <f t="array" ref="BA140">IF(Z140="",1,Slookup(MID(X140,1,3)*1,UomConversion!$D$8:$J$500,5,UomConversion!$E$8:$E$500,MID(Z140,1,3)*1,UomConversion!$I$8:$I$500,1))</f>
        <v>1</v>
      </c>
      <c r="BB140" s="1217">
        <f t="shared" si="81"/>
        <v>10.8</v>
      </c>
      <c r="BC140" s="1217">
        <f t="shared" si="82"/>
        <v>-7.2</v>
      </c>
      <c r="BD140" s="1217"/>
    </row>
    <row r="141" spans="2:56" s="1120" customFormat="1" ht="24.95" customHeight="1">
      <c r="B141" s="445"/>
      <c r="C141" s="843">
        <v>122</v>
      </c>
      <c r="D141" s="843"/>
      <c r="E141" s="843"/>
      <c r="F141" s="1116" t="s">
        <v>2560</v>
      </c>
      <c r="G141" s="1117" t="s">
        <v>2560</v>
      </c>
      <c r="H141" s="868" t="s">
        <v>3098</v>
      </c>
      <c r="I141" s="1118" t="s">
        <v>3098</v>
      </c>
      <c r="J141" s="1138" t="s">
        <v>2962</v>
      </c>
      <c r="K141" s="1138" t="s">
        <v>2976</v>
      </c>
      <c r="L141" s="870" t="s">
        <v>2722</v>
      </c>
      <c r="M141" s="868" t="s">
        <v>2174</v>
      </c>
      <c r="N141" s="1118"/>
      <c r="O141" s="1119">
        <v>31.2</v>
      </c>
      <c r="P141" s="884">
        <v>36</v>
      </c>
      <c r="Q141" s="885"/>
      <c r="R141" s="843">
        <v>24</v>
      </c>
      <c r="S141" s="843">
        <v>0</v>
      </c>
      <c r="T141" s="843">
        <v>1</v>
      </c>
      <c r="U141" s="843">
        <v>0</v>
      </c>
      <c r="V141" s="843">
        <v>0</v>
      </c>
      <c r="W141" s="843">
        <v>1</v>
      </c>
      <c r="X141" s="870" t="s">
        <v>2915</v>
      </c>
      <c r="Y141" s="843" t="str">
        <f>IF(OR(ISNA(MATCH(MID(X141,1,3)*1,UomConversion!$D$8:$D$500,0)),H141=""),"",IF(AV141="","",AV141))</f>
        <v>002.pcs</v>
      </c>
      <c r="Z141" s="843" t="str">
        <f>IF(AND(AU141&gt;0,COUNTIFS(UomConversion!$D$8:$D$500,MID(X141,1,3)*1,UomConversion!$J$8:$J$500,1)&gt;1),TEXT(AU141,"000")&amp;"."&amp;VLOOKUP(AU141,uom_list,5,FALSE),"")</f>
        <v/>
      </c>
      <c r="AA141" s="843">
        <f t="shared" si="75"/>
        <v>2</v>
      </c>
      <c r="AB141" s="843" t="str">
        <f t="shared" si="79"/>
        <v>32,2</v>
      </c>
      <c r="AC141" s="843">
        <f t="shared" ref="AC141" si="139">import_pro_number_of_price_type</f>
        <v>2</v>
      </c>
      <c r="AD141" s="1219">
        <v>0</v>
      </c>
      <c r="AE141" s="1219">
        <v>1.5</v>
      </c>
      <c r="AF141" s="1215"/>
      <c r="AG141" s="1215"/>
      <c r="AH141" s="1215"/>
      <c r="AI141" s="1215"/>
      <c r="AJ141" s="1216"/>
      <c r="AK141" s="1216"/>
      <c r="AL141" s="1216"/>
      <c r="AM141" s="1216"/>
      <c r="AN141" s="1216"/>
      <c r="AO141" s="1216"/>
      <c r="AP141" s="1216"/>
      <c r="AQ141" s="1216"/>
      <c r="AR141" s="1216"/>
      <c r="AS141" s="1216"/>
      <c r="AT141" s="1216"/>
      <c r="AU141" s="1120" cm="1">
        <f t="array" ref="AU141">IF(H141="","",Slookup(MID(X141,1,3)*1,UomConversion!$D$8:$J$500,2,UomConversion!$I$8:$I$500,1,UomConversion!$J$8:$J$500,1))</f>
        <v>2</v>
      </c>
      <c r="AV141" s="401" t="str">
        <f t="shared" si="77"/>
        <v>002.pcs</v>
      </c>
      <c r="AW141" s="757">
        <f t="shared" si="114"/>
        <v>32</v>
      </c>
      <c r="AX141" s="757">
        <f t="shared" si="114"/>
        <v>2</v>
      </c>
      <c r="AY141" s="757" t="str">
        <f t="shared" si="114"/>
        <v/>
      </c>
      <c r="AZ141" s="1209" cm="1">
        <f t="array" ref="AZ141">IF(Y141="",1,Slookup(MID(X141,1,3)*1,UomConversion!$D$8:$J$500,5,UomConversion!$E$8:$E$500,MID(Y141,1,3)*1,UomConversion!$I$8:$I$500,1))</f>
        <v>24</v>
      </c>
      <c r="BA141" s="1209" cm="1">
        <f t="array" ref="BA141">IF(Z141="",1,Slookup(MID(X141,1,3)*1,UomConversion!$D$8:$J$500,5,UomConversion!$E$8:$E$500,MID(Z141,1,3)*1,UomConversion!$I$8:$I$500,1))</f>
        <v>1</v>
      </c>
      <c r="BB141" s="1217">
        <f>IF(AA141=1,AE141,IF(AA141=2,AE141*R141,IF(AA141=3,AE141*BA141,0)))</f>
        <v>36</v>
      </c>
      <c r="BC141" s="1217">
        <f t="shared" si="82"/>
        <v>4.8000000000000007</v>
      </c>
      <c r="BD141" s="1217"/>
    </row>
    <row r="142" spans="2:56" s="1120" customFormat="1" ht="24.95" customHeight="1">
      <c r="B142" s="445"/>
      <c r="C142" s="843">
        <v>123</v>
      </c>
      <c r="D142" s="843"/>
      <c r="E142" s="843"/>
      <c r="F142" s="1116" t="s">
        <v>2562</v>
      </c>
      <c r="G142" s="1117" t="s">
        <v>2562</v>
      </c>
      <c r="H142" s="868" t="s">
        <v>3099</v>
      </c>
      <c r="I142" s="1118" t="s">
        <v>3099</v>
      </c>
      <c r="J142" s="1138" t="s">
        <v>2962</v>
      </c>
      <c r="K142" s="1138" t="s">
        <v>2976</v>
      </c>
      <c r="L142" s="870" t="s">
        <v>2723</v>
      </c>
      <c r="M142" s="868" t="s">
        <v>2174</v>
      </c>
      <c r="N142" s="1118"/>
      <c r="O142" s="1119">
        <v>25.92</v>
      </c>
      <c r="P142" s="884">
        <v>1.5</v>
      </c>
      <c r="Q142" s="885"/>
      <c r="R142" s="843" t="s">
        <v>55</v>
      </c>
      <c r="S142" s="843">
        <v>0</v>
      </c>
      <c r="T142" s="843">
        <v>1</v>
      </c>
      <c r="U142" s="843">
        <v>0</v>
      </c>
      <c r="V142" s="843">
        <v>0</v>
      </c>
      <c r="W142" s="843">
        <v>1</v>
      </c>
      <c r="X142" s="870" t="s">
        <v>2925</v>
      </c>
      <c r="Y142" s="843" t="str">
        <f>IF(OR(ISNA(MATCH(MID(X142,1,3)*1,UomConversion!$D$8:$D$500,0)),H142=""),"",IF(AV142="","",AV142))</f>
        <v>002.pcs</v>
      </c>
      <c r="Z142" s="843" t="str">
        <f>IF(AND(AU142&gt;0,COUNTIFS(UomConversion!$D$8:$D$500,MID(X142,1,3)*1,UomConversion!$J$8:$J$500,1)&gt;1),TEXT(AU142,"000")&amp;"."&amp;VLOOKUP(AU142,uom_list,5,FALSE),"")</f>
        <v/>
      </c>
      <c r="AA142" s="843">
        <f t="shared" si="75"/>
        <v>2</v>
      </c>
      <c r="AB142" s="843" t="str">
        <f t="shared" si="79"/>
        <v>33,2</v>
      </c>
      <c r="AC142" s="843">
        <f t="shared" ref="AC142" si="140">import_pro_number_of_price_type</f>
        <v>2</v>
      </c>
      <c r="AD142" s="1214">
        <v>0</v>
      </c>
      <c r="AE142" s="1214">
        <v>1.5</v>
      </c>
      <c r="AF142" s="1215"/>
      <c r="AG142" s="1215"/>
      <c r="AH142" s="1215"/>
      <c r="AI142" s="1215"/>
      <c r="AJ142" s="1216"/>
      <c r="AK142" s="1216"/>
      <c r="AL142" s="1216"/>
      <c r="AM142" s="1216"/>
      <c r="AN142" s="1216"/>
      <c r="AO142" s="1216"/>
      <c r="AP142" s="1216"/>
      <c r="AQ142" s="1216"/>
      <c r="AR142" s="1216"/>
      <c r="AS142" s="1216"/>
      <c r="AT142" s="1216"/>
      <c r="AU142" s="1120" cm="1">
        <f t="array" ref="AU142">IF(H142="","",Slookup(MID(X142,1,3)*1,UomConversion!$D$8:$J$500,2,UomConversion!$I$8:$I$500,1,UomConversion!$J$8:$J$500,1))</f>
        <v>2</v>
      </c>
      <c r="AV142" s="401" t="str">
        <f t="shared" si="77"/>
        <v>002.pcs</v>
      </c>
      <c r="AW142" s="757">
        <f t="shared" si="114"/>
        <v>33</v>
      </c>
      <c r="AX142" s="757">
        <f t="shared" si="114"/>
        <v>2</v>
      </c>
      <c r="AY142" s="757" t="str">
        <f t="shared" si="114"/>
        <v/>
      </c>
      <c r="AZ142" s="1209" cm="1">
        <f t="array" ref="AZ142">IF(Y142="",1,Slookup(MID(X142,1,3)*1,UomConversion!$D$8:$J$500,5,UomConversion!$E$8:$E$500,MID(Y142,1,3)*1,UomConversion!$I$8:$I$500,1))</f>
        <v>25</v>
      </c>
      <c r="BA142" s="1209" cm="1">
        <f t="array" ref="BA142">IF(Z142="",1,Slookup(MID(X142,1,3)*1,UomConversion!$D$8:$J$500,5,UomConversion!$E$8:$E$500,MID(Z142,1,3)*1,UomConversion!$I$8:$I$500,1))</f>
        <v>1</v>
      </c>
      <c r="BB142" s="1217">
        <f t="shared" ref="BB142:BB205" si="141">IF(AA142=1,AE142,IF(AA142=2,AE142*R142,IF(AA142=3,AE142*BA142,0)))</f>
        <v>37.5</v>
      </c>
      <c r="BC142" s="1217">
        <f t="shared" si="82"/>
        <v>-24.42</v>
      </c>
      <c r="BD142" s="1217"/>
    </row>
    <row r="143" spans="2:56" s="1120" customFormat="1" ht="24.95" customHeight="1">
      <c r="B143" s="445"/>
      <c r="C143" s="843">
        <v>124</v>
      </c>
      <c r="D143" s="843"/>
      <c r="E143" s="843"/>
      <c r="F143" s="1116" t="s">
        <v>2564</v>
      </c>
      <c r="G143" s="1117" t="s">
        <v>2564</v>
      </c>
      <c r="H143" s="868" t="s">
        <v>3100</v>
      </c>
      <c r="I143" s="1118" t="s">
        <v>3100</v>
      </c>
      <c r="J143" s="1138" t="s">
        <v>2962</v>
      </c>
      <c r="K143" s="1138" t="s">
        <v>2976</v>
      </c>
      <c r="L143" s="870" t="s">
        <v>2307</v>
      </c>
      <c r="M143" s="868" t="s">
        <v>2174</v>
      </c>
      <c r="N143" s="1118"/>
      <c r="O143" s="1119">
        <v>2</v>
      </c>
      <c r="P143" s="884">
        <v>2.5</v>
      </c>
      <c r="Q143" s="885"/>
      <c r="R143" s="843">
        <v>1</v>
      </c>
      <c r="S143" s="843">
        <v>0</v>
      </c>
      <c r="T143" s="843">
        <v>1</v>
      </c>
      <c r="U143" s="843">
        <v>0</v>
      </c>
      <c r="V143" s="843">
        <v>0</v>
      </c>
      <c r="W143" s="843">
        <v>1</v>
      </c>
      <c r="X143" s="870" t="s">
        <v>2939</v>
      </c>
      <c r="Y143" s="843" t="str">
        <f>IF(OR(ISNA(MATCH(MID(X143,1,3)*1,UomConversion!$D$8:$D$500,0)),H143=""),"",IF(AV143="","",AV143))</f>
        <v/>
      </c>
      <c r="Z143" s="843" t="str">
        <f>IF(AND(AU143&gt;0,COUNTIFS(UomConversion!$D$8:$D$500,MID(X143,1,3)*1,UomConversion!$J$8:$J$500,1)&gt;1),TEXT(AU143,"000")&amp;"."&amp;VLOOKUP(AU143,uom_list,5,FALSE),"")</f>
        <v/>
      </c>
      <c r="AA143" s="843">
        <f t="shared" si="75"/>
        <v>1</v>
      </c>
      <c r="AB143" s="843" t="str">
        <f t="shared" si="79"/>
        <v>2</v>
      </c>
      <c r="AC143" s="843">
        <f t="shared" ref="AC143" si="142">import_pro_number_of_price_type</f>
        <v>2</v>
      </c>
      <c r="AD143" s="1214">
        <v>0</v>
      </c>
      <c r="AE143" s="1214">
        <v>2.5</v>
      </c>
      <c r="AF143" s="1215"/>
      <c r="AG143" s="1215"/>
      <c r="AH143" s="1215"/>
      <c r="AI143" s="1215"/>
      <c r="AJ143" s="1216"/>
      <c r="AK143" s="1216"/>
      <c r="AL143" s="1216"/>
      <c r="AM143" s="1216"/>
      <c r="AN143" s="1216"/>
      <c r="AO143" s="1216"/>
      <c r="AP143" s="1216"/>
      <c r="AQ143" s="1216"/>
      <c r="AR143" s="1216"/>
      <c r="AS143" s="1216"/>
      <c r="AT143" s="1216"/>
      <c r="AU143" s="1120" cm="1">
        <f t="array" ref="AU143">IF(H143="","",Slookup(MID(X143,1,3)*1,UomConversion!$D$8:$J$500,2,UomConversion!$I$8:$I$500,1,UomConversion!$J$8:$J$500,1))</f>
        <v>0</v>
      </c>
      <c r="AV143" s="401" t="str">
        <f t="shared" si="77"/>
        <v/>
      </c>
      <c r="AW143" s="757">
        <f t="shared" si="114"/>
        <v>2</v>
      </c>
      <c r="AX143" s="757" t="str">
        <f t="shared" si="114"/>
        <v/>
      </c>
      <c r="AY143" s="757" t="str">
        <f t="shared" si="114"/>
        <v/>
      </c>
      <c r="AZ143" s="1209" cm="1">
        <f t="array" ref="AZ143">IF(Y143="",1,Slookup(MID(X143,1,3)*1,UomConversion!$D$8:$J$500,5,UomConversion!$E$8:$E$500,MID(Y143,1,3)*1,UomConversion!$I$8:$I$500,1))</f>
        <v>1</v>
      </c>
      <c r="BA143" s="1209" cm="1">
        <f t="array" ref="BA143">IF(Z143="",1,Slookup(MID(X143,1,3)*1,UomConversion!$D$8:$J$500,5,UomConversion!$E$8:$E$500,MID(Z143,1,3)*1,UomConversion!$I$8:$I$500,1))</f>
        <v>1</v>
      </c>
      <c r="BB143" s="1217">
        <f t="shared" si="141"/>
        <v>2.5</v>
      </c>
      <c r="BC143" s="1217">
        <f t="shared" si="82"/>
        <v>0.5</v>
      </c>
      <c r="BD143" s="1217"/>
    </row>
    <row r="144" spans="2:56" s="1120" customFormat="1" ht="24.95" customHeight="1">
      <c r="B144" s="445"/>
      <c r="C144" s="843">
        <v>125</v>
      </c>
      <c r="D144" s="843"/>
      <c r="E144" s="843"/>
      <c r="F144" s="1116" t="s">
        <v>2566</v>
      </c>
      <c r="G144" s="1117" t="s">
        <v>2566</v>
      </c>
      <c r="H144" s="868" t="s">
        <v>3101</v>
      </c>
      <c r="I144" s="1118" t="s">
        <v>3101</v>
      </c>
      <c r="J144" s="1138" t="s">
        <v>2962</v>
      </c>
      <c r="K144" s="1138" t="s">
        <v>2976</v>
      </c>
      <c r="L144" s="870" t="s">
        <v>2724</v>
      </c>
      <c r="M144" s="868" t="s">
        <v>2174</v>
      </c>
      <c r="N144" s="1118"/>
      <c r="O144" s="1119">
        <v>4</v>
      </c>
      <c r="P144" s="884">
        <v>0.04</v>
      </c>
      <c r="Q144" s="885"/>
      <c r="R144" s="843" t="s">
        <v>2891</v>
      </c>
      <c r="S144" s="843">
        <v>0</v>
      </c>
      <c r="T144" s="843">
        <v>1</v>
      </c>
      <c r="U144" s="843">
        <v>0</v>
      </c>
      <c r="V144" s="843">
        <v>0</v>
      </c>
      <c r="W144" s="843">
        <v>1</v>
      </c>
      <c r="X144" s="870" t="s">
        <v>2920</v>
      </c>
      <c r="Y144" s="843" t="str">
        <f>IF(OR(ISNA(MATCH(MID(X144,1,3)*1,UomConversion!$D$8:$D$500,0)),H144=""),"",IF(AV144="","",AV144))</f>
        <v>002.pcs</v>
      </c>
      <c r="Z144" s="843" t="str">
        <f>IF(AND(AU144&gt;0,COUNTIFS(UomConversion!$D$8:$D$500,MID(X144,1,3)*1,UomConversion!$J$8:$J$500,1)&gt;1),TEXT(AU144,"000")&amp;"."&amp;VLOOKUP(AU144,uom_list,5,FALSE),"")</f>
        <v/>
      </c>
      <c r="AA144" s="843">
        <f t="shared" si="75"/>
        <v>2</v>
      </c>
      <c r="AB144" s="843" t="str">
        <f t="shared" si="79"/>
        <v>35,2</v>
      </c>
      <c r="AC144" s="843">
        <f t="shared" ref="AC144" si="143">import_pro_number_of_price_type</f>
        <v>2</v>
      </c>
      <c r="AD144" s="1214">
        <v>0</v>
      </c>
      <c r="AE144" s="1214">
        <v>0.04</v>
      </c>
      <c r="AF144" s="1215"/>
      <c r="AG144" s="1215"/>
      <c r="AH144" s="1215"/>
      <c r="AI144" s="1215"/>
      <c r="AJ144" s="1216"/>
      <c r="AK144" s="1216"/>
      <c r="AL144" s="1216"/>
      <c r="AM144" s="1216"/>
      <c r="AN144" s="1216"/>
      <c r="AO144" s="1216"/>
      <c r="AP144" s="1216"/>
      <c r="AQ144" s="1216"/>
      <c r="AR144" s="1216"/>
      <c r="AS144" s="1216"/>
      <c r="AT144" s="1216"/>
      <c r="AU144" s="1120" cm="1">
        <f t="array" ref="AU144">IF(H144="","",Slookup(MID(X144,1,3)*1,UomConversion!$D$8:$J$500,2,UomConversion!$I$8:$I$500,1,UomConversion!$J$8:$J$500,1))</f>
        <v>2</v>
      </c>
      <c r="AV144" s="401" t="str">
        <f t="shared" si="77"/>
        <v>002.pcs</v>
      </c>
      <c r="AW144" s="757">
        <f t="shared" si="114"/>
        <v>35</v>
      </c>
      <c r="AX144" s="757">
        <f t="shared" si="114"/>
        <v>2</v>
      </c>
      <c r="AY144" s="757" t="str">
        <f t="shared" si="114"/>
        <v/>
      </c>
      <c r="AZ144" s="1209" cm="1">
        <f t="array" ref="AZ144">IF(Y144="",1,Slookup(MID(X144,1,3)*1,UomConversion!$D$8:$J$500,5,UomConversion!$E$8:$E$500,MID(Y144,1,3)*1,UomConversion!$I$8:$I$500,1))</f>
        <v>100</v>
      </c>
      <c r="BA144" s="1209" cm="1">
        <f t="array" ref="BA144">IF(Z144="",1,Slookup(MID(X144,1,3)*1,UomConversion!$D$8:$J$500,5,UomConversion!$E$8:$E$500,MID(Z144,1,3)*1,UomConversion!$I$8:$I$500,1))</f>
        <v>1</v>
      </c>
      <c r="BB144" s="1217">
        <f t="shared" si="141"/>
        <v>4</v>
      </c>
      <c r="BC144" s="1217">
        <f t="shared" si="82"/>
        <v>-3.96</v>
      </c>
      <c r="BD144" s="1217"/>
    </row>
    <row r="145" spans="2:56" s="1120" customFormat="1" ht="24.95" customHeight="1">
      <c r="B145" s="445"/>
      <c r="C145" s="843">
        <v>126</v>
      </c>
      <c r="D145" s="843"/>
      <c r="E145" s="843"/>
      <c r="F145" s="1116" t="s">
        <v>2568</v>
      </c>
      <c r="G145" s="1117" t="s">
        <v>2568</v>
      </c>
      <c r="H145" s="868" t="s">
        <v>3102</v>
      </c>
      <c r="I145" s="1118" t="s">
        <v>3102</v>
      </c>
      <c r="J145" s="1138" t="s">
        <v>2963</v>
      </c>
      <c r="K145" s="1138" t="s">
        <v>2976</v>
      </c>
      <c r="L145" s="870" t="s">
        <v>2264</v>
      </c>
      <c r="M145" s="868" t="s">
        <v>2174</v>
      </c>
      <c r="N145" s="1118"/>
      <c r="O145" s="1119">
        <v>31.2</v>
      </c>
      <c r="P145" s="884">
        <v>3.5</v>
      </c>
      <c r="Q145" s="885"/>
      <c r="R145" s="843" t="s">
        <v>36</v>
      </c>
      <c r="S145" s="843">
        <v>0</v>
      </c>
      <c r="T145" s="843">
        <v>1</v>
      </c>
      <c r="U145" s="843">
        <v>0</v>
      </c>
      <c r="V145" s="843">
        <v>0</v>
      </c>
      <c r="W145" s="843">
        <v>1</v>
      </c>
      <c r="X145" s="870" t="s">
        <v>2778</v>
      </c>
      <c r="Y145" s="843" t="str">
        <f>IF(OR(ISNA(MATCH(MID(X145,1,3)*1,UomConversion!$D$8:$D$500,0)),H145=""),"",IF(AV145="","",AV145))</f>
        <v>002.pcs</v>
      </c>
      <c r="Z145" s="843" t="str">
        <f>IF(AND(AU145&gt;0,COUNTIFS(UomConversion!$D$8:$D$500,MID(X145,1,3)*1,UomConversion!$J$8:$J$500,1)&gt;1),TEXT(AU145,"000")&amp;"."&amp;VLOOKUP(AU145,uom_list,5,FALSE),"")</f>
        <v/>
      </c>
      <c r="AA145" s="843">
        <f t="shared" si="75"/>
        <v>2</v>
      </c>
      <c r="AB145" s="843" t="str">
        <f t="shared" si="79"/>
        <v>26,2</v>
      </c>
      <c r="AC145" s="843">
        <f t="shared" ref="AC145" si="144">import_pro_number_of_price_type</f>
        <v>2</v>
      </c>
      <c r="AD145" s="1214">
        <v>0</v>
      </c>
      <c r="AE145" s="1214">
        <v>3.5</v>
      </c>
      <c r="AF145" s="1215"/>
      <c r="AG145" s="1215"/>
      <c r="AH145" s="1215"/>
      <c r="AI145" s="1215"/>
      <c r="AJ145" s="1216"/>
      <c r="AK145" s="1216"/>
      <c r="AL145" s="1216"/>
      <c r="AM145" s="1216"/>
      <c r="AN145" s="1216"/>
      <c r="AO145" s="1216"/>
      <c r="AP145" s="1216"/>
      <c r="AQ145" s="1216"/>
      <c r="AR145" s="1216"/>
      <c r="AS145" s="1216"/>
      <c r="AT145" s="1216"/>
      <c r="AU145" s="1120" cm="1">
        <f t="array" ref="AU145">IF(H145="","",Slookup(MID(X145,1,3)*1,UomConversion!$D$8:$J$500,2,UomConversion!$I$8:$I$500,1,UomConversion!$J$8:$J$500,1))</f>
        <v>2</v>
      </c>
      <c r="AV145" s="401" t="str">
        <f t="shared" si="77"/>
        <v>002.pcs</v>
      </c>
      <c r="AW145" s="757">
        <f t="shared" si="114"/>
        <v>26</v>
      </c>
      <c r="AX145" s="757">
        <f t="shared" si="114"/>
        <v>2</v>
      </c>
      <c r="AY145" s="757" t="str">
        <f t="shared" si="114"/>
        <v/>
      </c>
      <c r="AZ145" s="1209" cm="1">
        <f t="array" ref="AZ145">IF(Y145="",1,Slookup(MID(X145,1,3)*1,UomConversion!$D$8:$J$500,5,UomConversion!$E$8:$E$500,MID(Y145,1,3)*1,UomConversion!$I$8:$I$500,1))</f>
        <v>12</v>
      </c>
      <c r="BA145" s="1209" cm="1">
        <f t="array" ref="BA145">IF(Z145="",1,Slookup(MID(X145,1,3)*1,UomConversion!$D$8:$J$500,5,UomConversion!$E$8:$E$500,MID(Z145,1,3)*1,UomConversion!$I$8:$I$500,1))</f>
        <v>1</v>
      </c>
      <c r="BB145" s="1217">
        <f t="shared" si="141"/>
        <v>42</v>
      </c>
      <c r="BC145" s="1217">
        <f t="shared" si="82"/>
        <v>-27.7</v>
      </c>
      <c r="BD145" s="1217"/>
    </row>
    <row r="146" spans="2:56" s="1120" customFormat="1" ht="24.95" customHeight="1">
      <c r="B146" s="445"/>
      <c r="C146" s="843">
        <v>127</v>
      </c>
      <c r="D146" s="843"/>
      <c r="E146" s="843"/>
      <c r="F146" s="1116" t="s">
        <v>2570</v>
      </c>
      <c r="G146" s="1117" t="s">
        <v>2570</v>
      </c>
      <c r="H146" s="868" t="s">
        <v>3103</v>
      </c>
      <c r="I146" s="1118" t="s">
        <v>3103</v>
      </c>
      <c r="J146" s="1138" t="s">
        <v>2959</v>
      </c>
      <c r="K146" s="1138" t="s">
        <v>2976</v>
      </c>
      <c r="L146" s="870" t="s">
        <v>2264</v>
      </c>
      <c r="M146" s="868" t="s">
        <v>2174</v>
      </c>
      <c r="N146" s="1118"/>
      <c r="O146" s="1119">
        <v>26.4</v>
      </c>
      <c r="P146" s="884">
        <v>3</v>
      </c>
      <c r="Q146" s="885"/>
      <c r="R146" s="843" t="s">
        <v>36</v>
      </c>
      <c r="S146" s="843">
        <v>0</v>
      </c>
      <c r="T146" s="843">
        <v>1</v>
      </c>
      <c r="U146" s="843">
        <v>0</v>
      </c>
      <c r="V146" s="843">
        <v>0</v>
      </c>
      <c r="W146" s="843">
        <v>1</v>
      </c>
      <c r="X146" s="870" t="s">
        <v>2778</v>
      </c>
      <c r="Y146" s="843" t="str">
        <f>IF(OR(ISNA(MATCH(MID(X146,1,3)*1,UomConversion!$D$8:$D$500,0)),H146=""),"",IF(AV146="","",AV146))</f>
        <v>002.pcs</v>
      </c>
      <c r="Z146" s="843" t="str">
        <f>IF(AND(AU146&gt;0,COUNTIFS(UomConversion!$D$8:$D$500,MID(X146,1,3)*1,UomConversion!$J$8:$J$500,1)&gt;1),TEXT(AU146,"000")&amp;"."&amp;VLOOKUP(AU146,uom_list,5,FALSE),"")</f>
        <v/>
      </c>
      <c r="AA146" s="843">
        <f t="shared" si="75"/>
        <v>2</v>
      </c>
      <c r="AB146" s="843" t="str">
        <f t="shared" si="79"/>
        <v>26,2</v>
      </c>
      <c r="AC146" s="843">
        <f t="shared" ref="AC146" si="145">import_pro_number_of_price_type</f>
        <v>2</v>
      </c>
      <c r="AD146" s="1214">
        <v>0</v>
      </c>
      <c r="AE146" s="1214">
        <v>3</v>
      </c>
      <c r="AF146" s="1215"/>
      <c r="AG146" s="1215"/>
      <c r="AH146" s="1215"/>
      <c r="AI146" s="1215"/>
      <c r="AJ146" s="1216"/>
      <c r="AK146" s="1216"/>
      <c r="AL146" s="1216"/>
      <c r="AM146" s="1216"/>
      <c r="AN146" s="1216"/>
      <c r="AO146" s="1216"/>
      <c r="AP146" s="1216"/>
      <c r="AQ146" s="1216"/>
      <c r="AR146" s="1216"/>
      <c r="AS146" s="1216"/>
      <c r="AT146" s="1216"/>
      <c r="AU146" s="1120" cm="1">
        <f t="array" ref="AU146">IF(H146="","",Slookup(MID(X146,1,3)*1,UomConversion!$D$8:$J$500,2,UomConversion!$I$8:$I$500,1,UomConversion!$J$8:$J$500,1))</f>
        <v>2</v>
      </c>
      <c r="AV146" s="401" t="str">
        <f t="shared" si="77"/>
        <v>002.pcs</v>
      </c>
      <c r="AW146" s="757">
        <f t="shared" si="114"/>
        <v>26</v>
      </c>
      <c r="AX146" s="757">
        <f t="shared" si="114"/>
        <v>2</v>
      </c>
      <c r="AY146" s="757" t="str">
        <f t="shared" si="114"/>
        <v/>
      </c>
      <c r="AZ146" s="1209" cm="1">
        <f t="array" ref="AZ146">IF(Y146="",1,Slookup(MID(X146,1,3)*1,UomConversion!$D$8:$J$500,5,UomConversion!$E$8:$E$500,MID(Y146,1,3)*1,UomConversion!$I$8:$I$500,1))</f>
        <v>12</v>
      </c>
      <c r="BA146" s="1209" cm="1">
        <f t="array" ref="BA146">IF(Z146="",1,Slookup(MID(X146,1,3)*1,UomConversion!$D$8:$J$500,5,UomConversion!$E$8:$E$500,MID(Z146,1,3)*1,UomConversion!$I$8:$I$500,1))</f>
        <v>1</v>
      </c>
      <c r="BB146" s="1217">
        <f t="shared" si="141"/>
        <v>36</v>
      </c>
      <c r="BC146" s="1217">
        <f t="shared" si="82"/>
        <v>-23.4</v>
      </c>
      <c r="BD146" s="1217"/>
    </row>
    <row r="147" spans="2:56" s="1120" customFormat="1" ht="24.95" customHeight="1">
      <c r="B147" s="445"/>
      <c r="C147" s="843">
        <v>128</v>
      </c>
      <c r="D147" s="843"/>
      <c r="E147" s="843"/>
      <c r="F147" s="1116" t="s">
        <v>2572</v>
      </c>
      <c r="G147" s="1117" t="s">
        <v>2572</v>
      </c>
      <c r="H147" s="868" t="s">
        <v>3104</v>
      </c>
      <c r="I147" s="1118" t="s">
        <v>3104</v>
      </c>
      <c r="J147" s="1138" t="s">
        <v>2959</v>
      </c>
      <c r="K147" s="1138" t="s">
        <v>2976</v>
      </c>
      <c r="L147" s="870" t="s">
        <v>2264</v>
      </c>
      <c r="M147" s="868" t="s">
        <v>2174</v>
      </c>
      <c r="N147" s="1118"/>
      <c r="O147" s="1119">
        <v>37.200000000000003</v>
      </c>
      <c r="P147" s="884">
        <v>3.5</v>
      </c>
      <c r="Q147" s="885"/>
      <c r="R147" s="843" t="s">
        <v>36</v>
      </c>
      <c r="S147" s="843">
        <v>0</v>
      </c>
      <c r="T147" s="843">
        <v>1</v>
      </c>
      <c r="U147" s="843">
        <v>0</v>
      </c>
      <c r="V147" s="843">
        <v>0</v>
      </c>
      <c r="W147" s="843">
        <v>1</v>
      </c>
      <c r="X147" s="870" t="s">
        <v>2778</v>
      </c>
      <c r="Y147" s="843" t="str">
        <f>IF(OR(ISNA(MATCH(MID(X147,1,3)*1,UomConversion!$D$8:$D$500,0)),H147=""),"",IF(AV147="","",AV147))</f>
        <v>002.pcs</v>
      </c>
      <c r="Z147" s="843" t="str">
        <f>IF(AND(AU147&gt;0,COUNTIFS(UomConversion!$D$8:$D$500,MID(X147,1,3)*1,UomConversion!$J$8:$J$500,1)&gt;1),TEXT(AU147,"000")&amp;"."&amp;VLOOKUP(AU147,uom_list,5,FALSE),"")</f>
        <v/>
      </c>
      <c r="AA147" s="843">
        <f t="shared" si="75"/>
        <v>2</v>
      </c>
      <c r="AB147" s="843" t="str">
        <f t="shared" si="79"/>
        <v>26,2</v>
      </c>
      <c r="AC147" s="843">
        <f t="shared" ref="AC147" si="146">import_pro_number_of_price_type</f>
        <v>2</v>
      </c>
      <c r="AD147" s="1214">
        <v>0</v>
      </c>
      <c r="AE147" s="1214">
        <v>3.5</v>
      </c>
      <c r="AF147" s="1215"/>
      <c r="AG147" s="1215"/>
      <c r="AH147" s="1215"/>
      <c r="AI147" s="1215"/>
      <c r="AJ147" s="1216"/>
      <c r="AK147" s="1216"/>
      <c r="AL147" s="1216"/>
      <c r="AM147" s="1216"/>
      <c r="AN147" s="1216"/>
      <c r="AO147" s="1216"/>
      <c r="AP147" s="1216"/>
      <c r="AQ147" s="1216"/>
      <c r="AR147" s="1216"/>
      <c r="AS147" s="1216"/>
      <c r="AT147" s="1216"/>
      <c r="AU147" s="1120" cm="1">
        <f t="array" ref="AU147">IF(H147="","",Slookup(MID(X147,1,3)*1,UomConversion!$D$8:$J$500,2,UomConversion!$I$8:$I$500,1,UomConversion!$J$8:$J$500,1))</f>
        <v>2</v>
      </c>
      <c r="AV147" s="401" t="str">
        <f t="shared" si="77"/>
        <v>002.pcs</v>
      </c>
      <c r="AW147" s="757">
        <f t="shared" si="114"/>
        <v>26</v>
      </c>
      <c r="AX147" s="757">
        <f t="shared" si="114"/>
        <v>2</v>
      </c>
      <c r="AY147" s="757" t="str">
        <f t="shared" si="114"/>
        <v/>
      </c>
      <c r="AZ147" s="1209" cm="1">
        <f t="array" ref="AZ147">IF(Y147="",1,Slookup(MID(X147,1,3)*1,UomConversion!$D$8:$J$500,5,UomConversion!$E$8:$E$500,MID(Y147,1,3)*1,UomConversion!$I$8:$I$500,1))</f>
        <v>12</v>
      </c>
      <c r="BA147" s="1209" cm="1">
        <f t="array" ref="BA147">IF(Z147="",1,Slookup(MID(X147,1,3)*1,UomConversion!$D$8:$J$500,5,UomConversion!$E$8:$E$500,MID(Z147,1,3)*1,UomConversion!$I$8:$I$500,1))</f>
        <v>1</v>
      </c>
      <c r="BB147" s="1217">
        <f t="shared" si="141"/>
        <v>42</v>
      </c>
      <c r="BC147" s="1217">
        <f t="shared" si="82"/>
        <v>-33.700000000000003</v>
      </c>
      <c r="BD147" s="1217"/>
    </row>
    <row r="148" spans="2:56" s="1120" customFormat="1" ht="24.95" customHeight="1">
      <c r="B148" s="445"/>
      <c r="C148" s="843">
        <v>129</v>
      </c>
      <c r="D148" s="843"/>
      <c r="E148" s="843"/>
      <c r="F148" s="1116" t="s">
        <v>2574</v>
      </c>
      <c r="G148" s="1117" t="s">
        <v>2574</v>
      </c>
      <c r="H148" s="868" t="s">
        <v>3105</v>
      </c>
      <c r="I148" s="1118" t="s">
        <v>3105</v>
      </c>
      <c r="J148" s="1138" t="s">
        <v>2959</v>
      </c>
      <c r="K148" s="1138" t="s">
        <v>2976</v>
      </c>
      <c r="L148" s="870" t="s">
        <v>2264</v>
      </c>
      <c r="M148" s="868" t="s">
        <v>2174</v>
      </c>
      <c r="N148" s="1118"/>
      <c r="O148" s="1119">
        <v>46.8</v>
      </c>
      <c r="P148" s="884">
        <v>4.5</v>
      </c>
      <c r="Q148" s="885"/>
      <c r="R148" s="843" t="s">
        <v>36</v>
      </c>
      <c r="S148" s="843">
        <v>0</v>
      </c>
      <c r="T148" s="843">
        <v>1</v>
      </c>
      <c r="U148" s="843">
        <v>0</v>
      </c>
      <c r="V148" s="843">
        <v>0</v>
      </c>
      <c r="W148" s="843">
        <v>1</v>
      </c>
      <c r="X148" s="870" t="s">
        <v>2778</v>
      </c>
      <c r="Y148" s="843" t="str">
        <f>IF(OR(ISNA(MATCH(MID(X148,1,3)*1,UomConversion!$D$8:$D$500,0)),H148=""),"",IF(AV148="","",AV148))</f>
        <v>002.pcs</v>
      </c>
      <c r="Z148" s="843" t="str">
        <f>IF(AND(AU148&gt;0,COUNTIFS(UomConversion!$D$8:$D$500,MID(X148,1,3)*1,UomConversion!$J$8:$J$500,1)&gt;1),TEXT(AU148,"000")&amp;"."&amp;VLOOKUP(AU148,uom_list,5,FALSE),"")</f>
        <v/>
      </c>
      <c r="AA148" s="843">
        <f t="shared" ref="AA148:AA211" si="147">COUNT(AW148:AY148)</f>
        <v>2</v>
      </c>
      <c r="AB148" s="843" t="str">
        <f t="shared" si="79"/>
        <v>26,2</v>
      </c>
      <c r="AC148" s="843">
        <f t="shared" ref="AC148" si="148">import_pro_number_of_price_type</f>
        <v>2</v>
      </c>
      <c r="AD148" s="1214">
        <v>0</v>
      </c>
      <c r="AE148" s="1214">
        <v>4.5</v>
      </c>
      <c r="AF148" s="1215"/>
      <c r="AG148" s="1215"/>
      <c r="AH148" s="1215"/>
      <c r="AI148" s="1215"/>
      <c r="AJ148" s="1216"/>
      <c r="AK148" s="1216"/>
      <c r="AL148" s="1216"/>
      <c r="AM148" s="1216"/>
      <c r="AN148" s="1216"/>
      <c r="AO148" s="1216"/>
      <c r="AP148" s="1216"/>
      <c r="AQ148" s="1216"/>
      <c r="AR148" s="1216"/>
      <c r="AS148" s="1216"/>
      <c r="AT148" s="1216"/>
      <c r="AU148" s="1120" cm="1">
        <f t="array" ref="AU148">IF(H148="","",Slookup(MID(X148,1,3)*1,UomConversion!$D$8:$J$500,2,UomConversion!$I$8:$I$500,1,UomConversion!$J$8:$J$500,1))</f>
        <v>2</v>
      </c>
      <c r="AV148" s="401" t="str">
        <f t="shared" ref="AV148:AV211" si="149">IF(OR(ISNA(VLOOKUP(MID(X148,1,3)*1,uom_converion_list,2,FALSE)),H148=""),"",TEXT(VLOOKUP(MID(X148,1,3)*1,uom_converion_list,2,FALSE),"000")&amp;"."&amp;VLOOKUP(VLOOKUP(MID(X148,1,3)*1,uom_converion_list,2,FALSE),uom_list,5,FALSE))</f>
        <v>002.pcs</v>
      </c>
      <c r="AW148" s="757">
        <f t="shared" ref="AW148:AY179" si="150">IF(X148="","",MID(X148,1,3)*1)</f>
        <v>26</v>
      </c>
      <c r="AX148" s="757">
        <f t="shared" si="150"/>
        <v>2</v>
      </c>
      <c r="AY148" s="757" t="str">
        <f t="shared" si="150"/>
        <v/>
      </c>
      <c r="AZ148" s="1209" cm="1">
        <f t="array" ref="AZ148">IF(Y148="",1,Slookup(MID(X148,1,3)*1,UomConversion!$D$8:$J$500,5,UomConversion!$E$8:$E$500,MID(Y148,1,3)*1,UomConversion!$I$8:$I$500,1))</f>
        <v>12</v>
      </c>
      <c r="BA148" s="1209" cm="1">
        <f t="array" ref="BA148">IF(Z148="",1,Slookup(MID(X148,1,3)*1,UomConversion!$D$8:$J$500,5,UomConversion!$E$8:$E$500,MID(Z148,1,3)*1,UomConversion!$I$8:$I$500,1))</f>
        <v>1</v>
      </c>
      <c r="BB148" s="1217">
        <f t="shared" si="141"/>
        <v>54</v>
      </c>
      <c r="BC148" s="1217">
        <f t="shared" si="82"/>
        <v>-42.3</v>
      </c>
      <c r="BD148" s="1217"/>
    </row>
    <row r="149" spans="2:56" s="1120" customFormat="1" ht="24.95" customHeight="1">
      <c r="B149" s="445"/>
      <c r="C149" s="843">
        <v>130</v>
      </c>
      <c r="D149" s="843"/>
      <c r="E149" s="843"/>
      <c r="F149" s="1116" t="s">
        <v>2576</v>
      </c>
      <c r="G149" s="1117" t="s">
        <v>2576</v>
      </c>
      <c r="H149" s="868" t="s">
        <v>3106</v>
      </c>
      <c r="I149" s="1118" t="s">
        <v>3106</v>
      </c>
      <c r="J149" s="1138" t="s">
        <v>2959</v>
      </c>
      <c r="K149" s="1138" t="s">
        <v>2976</v>
      </c>
      <c r="L149" s="870" t="s">
        <v>2893</v>
      </c>
      <c r="M149" s="868" t="s">
        <v>2174</v>
      </c>
      <c r="N149" s="1118"/>
      <c r="O149" s="1119">
        <v>1.8</v>
      </c>
      <c r="P149" s="884">
        <v>2.25</v>
      </c>
      <c r="Q149" s="885"/>
      <c r="R149" s="843">
        <v>1</v>
      </c>
      <c r="S149" s="843">
        <v>0</v>
      </c>
      <c r="T149" s="843">
        <v>1</v>
      </c>
      <c r="U149" s="843">
        <v>0</v>
      </c>
      <c r="V149" s="843">
        <v>0</v>
      </c>
      <c r="W149" s="843">
        <v>1</v>
      </c>
      <c r="X149" s="870" t="s">
        <v>2939</v>
      </c>
      <c r="Y149" s="843" t="str">
        <f>IF(OR(ISNA(MATCH(MID(X149,1,3)*1,UomConversion!$D$8:$D$500,0)),H149=""),"",IF(AV149="","",AV149))</f>
        <v/>
      </c>
      <c r="Z149" s="843" t="str">
        <f>IF(AND(AU149&gt;0,COUNTIFS(UomConversion!$D$8:$D$500,MID(X149,1,3)*1,UomConversion!$J$8:$J$500,1)&gt;1),TEXT(AU149,"000")&amp;"."&amp;VLOOKUP(AU149,uom_list,5,FALSE),"")</f>
        <v/>
      </c>
      <c r="AA149" s="843">
        <f t="shared" si="147"/>
        <v>1</v>
      </c>
      <c r="AB149" s="843" t="str">
        <f t="shared" ref="AB149:AB212" si="151">_xlfn.TEXTJOIN(",",TRUE,AW149:AY149)</f>
        <v>2</v>
      </c>
      <c r="AC149" s="843">
        <f t="shared" ref="AC149" si="152">import_pro_number_of_price_type</f>
        <v>2</v>
      </c>
      <c r="AD149" s="1214">
        <v>0</v>
      </c>
      <c r="AE149" s="1214">
        <v>2.25</v>
      </c>
      <c r="AF149" s="1215"/>
      <c r="AG149" s="1215"/>
      <c r="AH149" s="1215"/>
      <c r="AI149" s="1215"/>
      <c r="AJ149" s="1216"/>
      <c r="AK149" s="1216"/>
      <c r="AL149" s="1216"/>
      <c r="AM149" s="1216"/>
      <c r="AN149" s="1216"/>
      <c r="AO149" s="1216"/>
      <c r="AP149" s="1216"/>
      <c r="AQ149" s="1216"/>
      <c r="AR149" s="1216"/>
      <c r="AS149" s="1216"/>
      <c r="AT149" s="1216"/>
      <c r="AU149" s="1120" cm="1">
        <f t="array" ref="AU149">IF(H149="","",Slookup(MID(X149,1,3)*1,UomConversion!$D$8:$J$500,2,UomConversion!$I$8:$I$500,1,UomConversion!$J$8:$J$500,1))</f>
        <v>0</v>
      </c>
      <c r="AV149" s="401" t="str">
        <f t="shared" si="149"/>
        <v/>
      </c>
      <c r="AW149" s="757">
        <f t="shared" si="150"/>
        <v>2</v>
      </c>
      <c r="AX149" s="757" t="str">
        <f t="shared" si="150"/>
        <v/>
      </c>
      <c r="AY149" s="757" t="str">
        <f t="shared" si="150"/>
        <v/>
      </c>
      <c r="AZ149" s="1209" cm="1">
        <f t="array" ref="AZ149">IF(Y149="",1,Slookup(MID(X149,1,3)*1,UomConversion!$D$8:$J$500,5,UomConversion!$E$8:$E$500,MID(Y149,1,3)*1,UomConversion!$I$8:$I$500,1))</f>
        <v>1</v>
      </c>
      <c r="BA149" s="1209" cm="1">
        <f t="array" ref="BA149">IF(Z149="",1,Slookup(MID(X149,1,3)*1,UomConversion!$D$8:$J$500,5,UomConversion!$E$8:$E$500,MID(Z149,1,3)*1,UomConversion!$I$8:$I$500,1))</f>
        <v>1</v>
      </c>
      <c r="BB149" s="1217">
        <f t="shared" si="141"/>
        <v>2.25</v>
      </c>
      <c r="BC149" s="1217">
        <f t="shared" ref="BC149:BC212" si="153">P149-O149</f>
        <v>0.44999999999999996</v>
      </c>
      <c r="BD149" s="1217"/>
    </row>
    <row r="150" spans="2:56" s="1120" customFormat="1" ht="24.95" customHeight="1">
      <c r="B150" s="445"/>
      <c r="C150" s="843">
        <v>131</v>
      </c>
      <c r="D150" s="843"/>
      <c r="E150" s="843"/>
      <c r="F150" s="1116" t="s">
        <v>2578</v>
      </c>
      <c r="G150" s="1117" t="s">
        <v>2578</v>
      </c>
      <c r="H150" s="868" t="s">
        <v>3107</v>
      </c>
      <c r="I150" s="1118" t="s">
        <v>3107</v>
      </c>
      <c r="J150" s="1138" t="s">
        <v>2964</v>
      </c>
      <c r="K150" s="1138" t="s">
        <v>2976</v>
      </c>
      <c r="L150" s="870" t="s">
        <v>2307</v>
      </c>
      <c r="M150" s="868" t="s">
        <v>2174</v>
      </c>
      <c r="N150" s="1118"/>
      <c r="O150" s="1119">
        <v>0.7</v>
      </c>
      <c r="P150" s="884">
        <v>1.25</v>
      </c>
      <c r="Q150" s="885"/>
      <c r="R150" s="843">
        <v>1</v>
      </c>
      <c r="S150" s="843">
        <v>0</v>
      </c>
      <c r="T150" s="843">
        <v>1</v>
      </c>
      <c r="U150" s="843">
        <v>0</v>
      </c>
      <c r="V150" s="843">
        <v>0</v>
      </c>
      <c r="W150" s="843">
        <v>1</v>
      </c>
      <c r="X150" s="870" t="s">
        <v>2939</v>
      </c>
      <c r="Y150" s="843" t="str">
        <f>IF(OR(ISNA(MATCH(MID(X150,1,3)*1,UomConversion!$D$8:$D$500,0)),H150=""),"",IF(AV150="","",AV150))</f>
        <v/>
      </c>
      <c r="Z150" s="843" t="str">
        <f>IF(AND(AU150&gt;0,COUNTIFS(UomConversion!$D$8:$D$500,MID(X150,1,3)*1,UomConversion!$J$8:$J$500,1)&gt;1),TEXT(AU150,"000")&amp;"."&amp;VLOOKUP(AU150,uom_list,5,FALSE),"")</f>
        <v/>
      </c>
      <c r="AA150" s="843">
        <f t="shared" si="147"/>
        <v>1</v>
      </c>
      <c r="AB150" s="843" t="str">
        <f t="shared" si="151"/>
        <v>2</v>
      </c>
      <c r="AC150" s="843">
        <f t="shared" ref="AC150" si="154">import_pro_number_of_price_type</f>
        <v>2</v>
      </c>
      <c r="AD150" s="1214">
        <v>0</v>
      </c>
      <c r="AE150" s="1214">
        <v>1.25</v>
      </c>
      <c r="AF150" s="1215"/>
      <c r="AG150" s="1215"/>
      <c r="AH150" s="1215"/>
      <c r="AI150" s="1215"/>
      <c r="AJ150" s="1216"/>
      <c r="AK150" s="1216"/>
      <c r="AL150" s="1216"/>
      <c r="AM150" s="1216"/>
      <c r="AN150" s="1216"/>
      <c r="AO150" s="1216"/>
      <c r="AP150" s="1216"/>
      <c r="AQ150" s="1216"/>
      <c r="AR150" s="1216"/>
      <c r="AS150" s="1216"/>
      <c r="AT150" s="1216"/>
      <c r="AU150" s="1120" cm="1">
        <f t="array" ref="AU150">IF(H150="","",Slookup(MID(X150,1,3)*1,UomConversion!$D$8:$J$500,2,UomConversion!$I$8:$I$500,1,UomConversion!$J$8:$J$500,1))</f>
        <v>0</v>
      </c>
      <c r="AV150" s="401" t="str">
        <f t="shared" si="149"/>
        <v/>
      </c>
      <c r="AW150" s="757">
        <f t="shared" si="150"/>
        <v>2</v>
      </c>
      <c r="AX150" s="757" t="str">
        <f t="shared" si="150"/>
        <v/>
      </c>
      <c r="AY150" s="757" t="str">
        <f t="shared" si="150"/>
        <v/>
      </c>
      <c r="AZ150" s="1209" cm="1">
        <f t="array" ref="AZ150">IF(Y150="",1,Slookup(MID(X150,1,3)*1,UomConversion!$D$8:$J$500,5,UomConversion!$E$8:$E$500,MID(Y150,1,3)*1,UomConversion!$I$8:$I$500,1))</f>
        <v>1</v>
      </c>
      <c r="BA150" s="1209" cm="1">
        <f t="array" ref="BA150">IF(Z150="",1,Slookup(MID(X150,1,3)*1,UomConversion!$D$8:$J$500,5,UomConversion!$E$8:$E$500,MID(Z150,1,3)*1,UomConversion!$I$8:$I$500,1))</f>
        <v>1</v>
      </c>
      <c r="BB150" s="1217">
        <f t="shared" si="141"/>
        <v>1.25</v>
      </c>
      <c r="BC150" s="1217">
        <f t="shared" si="153"/>
        <v>0.55000000000000004</v>
      </c>
      <c r="BD150" s="1217"/>
    </row>
    <row r="151" spans="2:56" s="1120" customFormat="1" ht="24.95" customHeight="1">
      <c r="B151" s="445"/>
      <c r="C151" s="843">
        <v>132</v>
      </c>
      <c r="D151" s="843"/>
      <c r="E151" s="843"/>
      <c r="F151" s="1116" t="s">
        <v>2580</v>
      </c>
      <c r="G151" s="1117" t="s">
        <v>2580</v>
      </c>
      <c r="H151" s="868" t="s">
        <v>3108</v>
      </c>
      <c r="I151" s="1118" t="s">
        <v>3108</v>
      </c>
      <c r="J151" s="1138" t="s">
        <v>2964</v>
      </c>
      <c r="K151" s="1138" t="s">
        <v>2976</v>
      </c>
      <c r="L151" s="870" t="s">
        <v>2307</v>
      </c>
      <c r="M151" s="868" t="s">
        <v>2174</v>
      </c>
      <c r="N151" s="1118"/>
      <c r="O151" s="1119">
        <v>2.2000000000000002</v>
      </c>
      <c r="P151" s="884">
        <v>2.75</v>
      </c>
      <c r="Q151" s="885"/>
      <c r="R151" s="843">
        <v>1</v>
      </c>
      <c r="S151" s="843">
        <v>0</v>
      </c>
      <c r="T151" s="843">
        <v>1</v>
      </c>
      <c r="U151" s="843">
        <v>0</v>
      </c>
      <c r="V151" s="843">
        <v>0</v>
      </c>
      <c r="W151" s="843">
        <v>1</v>
      </c>
      <c r="X151" s="870" t="s">
        <v>2939</v>
      </c>
      <c r="Y151" s="843" t="str">
        <f>IF(OR(ISNA(MATCH(MID(X151,1,3)*1,UomConversion!$D$8:$D$500,0)),H151=""),"",IF(AV151="","",AV151))</f>
        <v/>
      </c>
      <c r="Z151" s="843" t="str">
        <f>IF(AND(AU151&gt;0,COUNTIFS(UomConversion!$D$8:$D$500,MID(X151,1,3)*1,UomConversion!$J$8:$J$500,1)&gt;1),TEXT(AU151,"000")&amp;"."&amp;VLOOKUP(AU151,uom_list,5,FALSE),"")</f>
        <v/>
      </c>
      <c r="AA151" s="843">
        <f t="shared" si="147"/>
        <v>1</v>
      </c>
      <c r="AB151" s="843" t="str">
        <f t="shared" si="151"/>
        <v>2</v>
      </c>
      <c r="AC151" s="843">
        <f t="shared" ref="AC151" si="155">import_pro_number_of_price_type</f>
        <v>2</v>
      </c>
      <c r="AD151" s="1214">
        <v>0</v>
      </c>
      <c r="AE151" s="1214">
        <v>2.75</v>
      </c>
      <c r="AF151" s="1215"/>
      <c r="AG151" s="1215"/>
      <c r="AH151" s="1215"/>
      <c r="AI151" s="1215"/>
      <c r="AJ151" s="1216"/>
      <c r="AK151" s="1216"/>
      <c r="AL151" s="1216"/>
      <c r="AM151" s="1216"/>
      <c r="AN151" s="1216"/>
      <c r="AO151" s="1216"/>
      <c r="AP151" s="1216"/>
      <c r="AQ151" s="1216"/>
      <c r="AR151" s="1216"/>
      <c r="AS151" s="1216"/>
      <c r="AT151" s="1216"/>
      <c r="AU151" s="1120" cm="1">
        <f t="array" ref="AU151">IF(H151="","",Slookup(MID(X151,1,3)*1,UomConversion!$D$8:$J$500,2,UomConversion!$I$8:$I$500,1,UomConversion!$J$8:$J$500,1))</f>
        <v>0</v>
      </c>
      <c r="AV151" s="401" t="str">
        <f t="shared" si="149"/>
        <v/>
      </c>
      <c r="AW151" s="757">
        <f t="shared" si="150"/>
        <v>2</v>
      </c>
      <c r="AX151" s="757" t="str">
        <f t="shared" si="150"/>
        <v/>
      </c>
      <c r="AY151" s="757" t="str">
        <f t="shared" si="150"/>
        <v/>
      </c>
      <c r="AZ151" s="1209" cm="1">
        <f t="array" ref="AZ151">IF(Y151="",1,Slookup(MID(X151,1,3)*1,UomConversion!$D$8:$J$500,5,UomConversion!$E$8:$E$500,MID(Y151,1,3)*1,UomConversion!$I$8:$I$500,1))</f>
        <v>1</v>
      </c>
      <c r="BA151" s="1209" cm="1">
        <f t="array" ref="BA151">IF(Z151="",1,Slookup(MID(X151,1,3)*1,UomConversion!$D$8:$J$500,5,UomConversion!$E$8:$E$500,MID(Z151,1,3)*1,UomConversion!$I$8:$I$500,1))</f>
        <v>1</v>
      </c>
      <c r="BB151" s="1217">
        <f t="shared" si="141"/>
        <v>2.75</v>
      </c>
      <c r="BC151" s="1217">
        <f t="shared" si="153"/>
        <v>0.54999999999999982</v>
      </c>
      <c r="BD151" s="1217"/>
    </row>
    <row r="152" spans="2:56" s="1120" customFormat="1" ht="24.95" customHeight="1">
      <c r="B152" s="445"/>
      <c r="C152" s="843">
        <v>133</v>
      </c>
      <c r="D152" s="843"/>
      <c r="E152" s="843"/>
      <c r="F152" s="1116" t="s">
        <v>2582</v>
      </c>
      <c r="G152" s="1117" t="s">
        <v>2582</v>
      </c>
      <c r="H152" s="868" t="s">
        <v>3109</v>
      </c>
      <c r="I152" s="1118" t="s">
        <v>3109</v>
      </c>
      <c r="J152" s="1138" t="s">
        <v>2960</v>
      </c>
      <c r="K152" s="1138" t="s">
        <v>2976</v>
      </c>
      <c r="L152" s="870" t="s">
        <v>2307</v>
      </c>
      <c r="M152" s="868" t="s">
        <v>2174</v>
      </c>
      <c r="N152" s="1118"/>
      <c r="O152" s="1119">
        <v>9.5</v>
      </c>
      <c r="P152" s="884">
        <v>10.5</v>
      </c>
      <c r="Q152" s="885"/>
      <c r="R152" s="843">
        <v>1</v>
      </c>
      <c r="S152" s="843">
        <v>0</v>
      </c>
      <c r="T152" s="843">
        <v>1</v>
      </c>
      <c r="U152" s="843">
        <v>0</v>
      </c>
      <c r="V152" s="843">
        <v>0</v>
      </c>
      <c r="W152" s="843">
        <v>1</v>
      </c>
      <c r="X152" s="870" t="s">
        <v>2939</v>
      </c>
      <c r="Y152" s="843" t="str">
        <f>IF(OR(ISNA(MATCH(MID(X152,1,3)*1,UomConversion!$D$8:$D$500,0)),H152=""),"",IF(AV152="","",AV152))</f>
        <v/>
      </c>
      <c r="Z152" s="843" t="str">
        <f>IF(AND(AU152&gt;0,COUNTIFS(UomConversion!$D$8:$D$500,MID(X152,1,3)*1,UomConversion!$J$8:$J$500,1)&gt;1),TEXT(AU152,"000")&amp;"."&amp;VLOOKUP(AU152,uom_list,5,FALSE),"")</f>
        <v/>
      </c>
      <c r="AA152" s="843">
        <f t="shared" si="147"/>
        <v>1</v>
      </c>
      <c r="AB152" s="843" t="str">
        <f t="shared" si="151"/>
        <v>2</v>
      </c>
      <c r="AC152" s="843">
        <f t="shared" ref="AC152" si="156">import_pro_number_of_price_type</f>
        <v>2</v>
      </c>
      <c r="AD152" s="1214">
        <v>0</v>
      </c>
      <c r="AE152" s="1214">
        <v>10.5</v>
      </c>
      <c r="AF152" s="1215"/>
      <c r="AG152" s="1215"/>
      <c r="AH152" s="1215"/>
      <c r="AI152" s="1215"/>
      <c r="AJ152" s="1216"/>
      <c r="AK152" s="1216"/>
      <c r="AL152" s="1216"/>
      <c r="AM152" s="1216"/>
      <c r="AN152" s="1216"/>
      <c r="AO152" s="1216"/>
      <c r="AP152" s="1216"/>
      <c r="AQ152" s="1216"/>
      <c r="AR152" s="1216"/>
      <c r="AS152" s="1216"/>
      <c r="AT152" s="1216"/>
      <c r="AU152" s="1120" cm="1">
        <f t="array" ref="AU152">IF(H152="","",Slookup(MID(X152,1,3)*1,UomConversion!$D$8:$J$500,2,UomConversion!$I$8:$I$500,1,UomConversion!$J$8:$J$500,1))</f>
        <v>0</v>
      </c>
      <c r="AV152" s="401" t="str">
        <f t="shared" si="149"/>
        <v/>
      </c>
      <c r="AW152" s="757">
        <f t="shared" si="150"/>
        <v>2</v>
      </c>
      <c r="AX152" s="757" t="str">
        <f t="shared" si="150"/>
        <v/>
      </c>
      <c r="AY152" s="757" t="str">
        <f t="shared" si="150"/>
        <v/>
      </c>
      <c r="AZ152" s="1209" cm="1">
        <f t="array" ref="AZ152">IF(Y152="",1,Slookup(MID(X152,1,3)*1,UomConversion!$D$8:$J$500,5,UomConversion!$E$8:$E$500,MID(Y152,1,3)*1,UomConversion!$I$8:$I$500,1))</f>
        <v>1</v>
      </c>
      <c r="BA152" s="1209" cm="1">
        <f t="array" ref="BA152">IF(Z152="",1,Slookup(MID(X152,1,3)*1,UomConversion!$D$8:$J$500,5,UomConversion!$E$8:$E$500,MID(Z152,1,3)*1,UomConversion!$I$8:$I$500,1))</f>
        <v>1</v>
      </c>
      <c r="BB152" s="1217">
        <f t="shared" si="141"/>
        <v>10.5</v>
      </c>
      <c r="BC152" s="1217">
        <f t="shared" si="153"/>
        <v>1</v>
      </c>
      <c r="BD152" s="1217"/>
    </row>
    <row r="153" spans="2:56" s="1120" customFormat="1" ht="24.95" customHeight="1">
      <c r="B153" s="445"/>
      <c r="C153" s="843">
        <v>134</v>
      </c>
      <c r="D153" s="843"/>
      <c r="E153" s="843"/>
      <c r="F153" s="1116" t="s">
        <v>2584</v>
      </c>
      <c r="G153" s="1117" t="s">
        <v>2584</v>
      </c>
      <c r="H153" s="868" t="s">
        <v>3110</v>
      </c>
      <c r="I153" s="1118" t="s">
        <v>3110</v>
      </c>
      <c r="J153" s="1138" t="s">
        <v>2960</v>
      </c>
      <c r="K153" s="1138" t="s">
        <v>2976</v>
      </c>
      <c r="L153" s="870" t="s">
        <v>2307</v>
      </c>
      <c r="M153" s="868" t="s">
        <v>2174</v>
      </c>
      <c r="N153" s="1118"/>
      <c r="O153" s="1119">
        <v>1</v>
      </c>
      <c r="P153" s="884">
        <v>1.5</v>
      </c>
      <c r="Q153" s="885"/>
      <c r="R153" s="843">
        <v>1</v>
      </c>
      <c r="S153" s="843">
        <v>0</v>
      </c>
      <c r="T153" s="843">
        <v>1</v>
      </c>
      <c r="U153" s="843">
        <v>0</v>
      </c>
      <c r="V153" s="843">
        <v>0</v>
      </c>
      <c r="W153" s="843">
        <v>1</v>
      </c>
      <c r="X153" s="870" t="s">
        <v>2939</v>
      </c>
      <c r="Y153" s="843" t="str">
        <f>IF(OR(ISNA(MATCH(MID(X153,1,3)*1,UomConversion!$D$8:$D$500,0)),H153=""),"",IF(AV153="","",AV153))</f>
        <v/>
      </c>
      <c r="Z153" s="843" t="str">
        <f>IF(AND(AU153&gt;0,COUNTIFS(UomConversion!$D$8:$D$500,MID(X153,1,3)*1,UomConversion!$J$8:$J$500,1)&gt;1),TEXT(AU153,"000")&amp;"."&amp;VLOOKUP(AU153,uom_list,5,FALSE),"")</f>
        <v/>
      </c>
      <c r="AA153" s="843">
        <f t="shared" si="147"/>
        <v>1</v>
      </c>
      <c r="AB153" s="843" t="str">
        <f t="shared" si="151"/>
        <v>2</v>
      </c>
      <c r="AC153" s="843">
        <f t="shared" ref="AC153" si="157">import_pro_number_of_price_type</f>
        <v>2</v>
      </c>
      <c r="AD153" s="1214">
        <v>0</v>
      </c>
      <c r="AE153" s="1214">
        <v>1.5</v>
      </c>
      <c r="AF153" s="1215"/>
      <c r="AG153" s="1215"/>
      <c r="AH153" s="1215"/>
      <c r="AI153" s="1215"/>
      <c r="AJ153" s="1216"/>
      <c r="AK153" s="1216"/>
      <c r="AL153" s="1216"/>
      <c r="AM153" s="1216"/>
      <c r="AN153" s="1216"/>
      <c r="AO153" s="1216"/>
      <c r="AP153" s="1216"/>
      <c r="AQ153" s="1216"/>
      <c r="AR153" s="1216"/>
      <c r="AS153" s="1216"/>
      <c r="AT153" s="1216"/>
      <c r="AU153" s="1120" cm="1">
        <f t="array" ref="AU153">IF(H153="","",Slookup(MID(X153,1,3)*1,UomConversion!$D$8:$J$500,2,UomConversion!$I$8:$I$500,1,UomConversion!$J$8:$J$500,1))</f>
        <v>0</v>
      </c>
      <c r="AV153" s="401" t="str">
        <f t="shared" si="149"/>
        <v/>
      </c>
      <c r="AW153" s="757">
        <f t="shared" si="150"/>
        <v>2</v>
      </c>
      <c r="AX153" s="757" t="str">
        <f t="shared" si="150"/>
        <v/>
      </c>
      <c r="AY153" s="757" t="str">
        <f t="shared" si="150"/>
        <v/>
      </c>
      <c r="AZ153" s="1209" cm="1">
        <f t="array" ref="AZ153">IF(Y153="",1,Slookup(MID(X153,1,3)*1,UomConversion!$D$8:$J$500,5,UomConversion!$E$8:$E$500,MID(Y153,1,3)*1,UomConversion!$I$8:$I$500,1))</f>
        <v>1</v>
      </c>
      <c r="BA153" s="1209" cm="1">
        <f t="array" ref="BA153">IF(Z153="",1,Slookup(MID(X153,1,3)*1,UomConversion!$D$8:$J$500,5,UomConversion!$E$8:$E$500,MID(Z153,1,3)*1,UomConversion!$I$8:$I$500,1))</f>
        <v>1</v>
      </c>
      <c r="BB153" s="1217">
        <f t="shared" si="141"/>
        <v>1.5</v>
      </c>
      <c r="BC153" s="1217">
        <f t="shared" si="153"/>
        <v>0.5</v>
      </c>
      <c r="BD153" s="1217"/>
    </row>
    <row r="154" spans="2:56" s="1120" customFormat="1" ht="24.95" customHeight="1">
      <c r="B154" s="445"/>
      <c r="C154" s="843">
        <v>135</v>
      </c>
      <c r="D154" s="843"/>
      <c r="E154" s="843"/>
      <c r="F154" s="1116" t="s">
        <v>2586</v>
      </c>
      <c r="G154" s="1117" t="s">
        <v>2586</v>
      </c>
      <c r="H154" s="868" t="s">
        <v>3111</v>
      </c>
      <c r="I154" s="1118" t="s">
        <v>3111</v>
      </c>
      <c r="J154" s="1138" t="s">
        <v>2965</v>
      </c>
      <c r="K154" s="1138" t="s">
        <v>2976</v>
      </c>
      <c r="L154" s="870" t="s">
        <v>2307</v>
      </c>
      <c r="M154" s="868" t="s">
        <v>2174</v>
      </c>
      <c r="N154" s="1118"/>
      <c r="O154" s="1119">
        <v>0.65</v>
      </c>
      <c r="P154" s="884">
        <v>1</v>
      </c>
      <c r="Q154" s="885"/>
      <c r="R154" s="843">
        <v>1</v>
      </c>
      <c r="S154" s="843">
        <v>0</v>
      </c>
      <c r="T154" s="843">
        <v>1</v>
      </c>
      <c r="U154" s="843">
        <v>0</v>
      </c>
      <c r="V154" s="843">
        <v>0</v>
      </c>
      <c r="W154" s="843">
        <v>1</v>
      </c>
      <c r="X154" s="870" t="s">
        <v>2939</v>
      </c>
      <c r="Y154" s="843" t="str">
        <f>IF(OR(ISNA(MATCH(MID(X154,1,3)*1,UomConversion!$D$8:$D$500,0)),H154=""),"",IF(AV154="","",AV154))</f>
        <v/>
      </c>
      <c r="Z154" s="843" t="str">
        <f>IF(AND(AU154&gt;0,COUNTIFS(UomConversion!$D$8:$D$500,MID(X154,1,3)*1,UomConversion!$J$8:$J$500,1)&gt;1),TEXT(AU154,"000")&amp;"."&amp;VLOOKUP(AU154,uom_list,5,FALSE),"")</f>
        <v/>
      </c>
      <c r="AA154" s="843">
        <f t="shared" si="147"/>
        <v>1</v>
      </c>
      <c r="AB154" s="843" t="str">
        <f t="shared" si="151"/>
        <v>2</v>
      </c>
      <c r="AC154" s="843">
        <f t="shared" ref="AC154" si="158">import_pro_number_of_price_type</f>
        <v>2</v>
      </c>
      <c r="AD154" s="1214">
        <v>0</v>
      </c>
      <c r="AE154" s="1214">
        <v>1</v>
      </c>
      <c r="AF154" s="1215"/>
      <c r="AG154" s="1215"/>
      <c r="AH154" s="1215"/>
      <c r="AI154" s="1215"/>
      <c r="AJ154" s="1216"/>
      <c r="AK154" s="1216"/>
      <c r="AL154" s="1216"/>
      <c r="AM154" s="1216"/>
      <c r="AN154" s="1216"/>
      <c r="AO154" s="1216"/>
      <c r="AP154" s="1216"/>
      <c r="AQ154" s="1216"/>
      <c r="AR154" s="1216"/>
      <c r="AS154" s="1216"/>
      <c r="AT154" s="1216"/>
      <c r="AU154" s="1120" cm="1">
        <f t="array" ref="AU154">IF(H154="","",Slookup(MID(X154,1,3)*1,UomConversion!$D$8:$J$500,2,UomConversion!$I$8:$I$500,1,UomConversion!$J$8:$J$500,1))</f>
        <v>0</v>
      </c>
      <c r="AV154" s="401" t="str">
        <f t="shared" si="149"/>
        <v/>
      </c>
      <c r="AW154" s="757">
        <f t="shared" si="150"/>
        <v>2</v>
      </c>
      <c r="AX154" s="757" t="str">
        <f t="shared" si="150"/>
        <v/>
      </c>
      <c r="AY154" s="757" t="str">
        <f t="shared" si="150"/>
        <v/>
      </c>
      <c r="AZ154" s="1209" cm="1">
        <f t="array" ref="AZ154">IF(Y154="",1,Slookup(MID(X154,1,3)*1,UomConversion!$D$8:$J$500,5,UomConversion!$E$8:$E$500,MID(Y154,1,3)*1,UomConversion!$I$8:$I$500,1))</f>
        <v>1</v>
      </c>
      <c r="BA154" s="1209" cm="1">
        <f t="array" ref="BA154">IF(Z154="",1,Slookup(MID(X154,1,3)*1,UomConversion!$D$8:$J$500,5,UomConversion!$E$8:$E$500,MID(Z154,1,3)*1,UomConversion!$I$8:$I$500,1))</f>
        <v>1</v>
      </c>
      <c r="BB154" s="1217">
        <f t="shared" si="141"/>
        <v>1</v>
      </c>
      <c r="BC154" s="1217">
        <f t="shared" si="153"/>
        <v>0.35</v>
      </c>
      <c r="BD154" s="1217"/>
    </row>
    <row r="155" spans="2:56" s="1120" customFormat="1" ht="24.95" customHeight="1">
      <c r="B155" s="445"/>
      <c r="C155" s="843">
        <v>136</v>
      </c>
      <c r="D155" s="843"/>
      <c r="E155" s="843"/>
      <c r="F155" s="1116" t="s">
        <v>2588</v>
      </c>
      <c r="G155" s="1117" t="s">
        <v>2588</v>
      </c>
      <c r="H155" s="868" t="s">
        <v>3112</v>
      </c>
      <c r="I155" s="1118" t="s">
        <v>3112</v>
      </c>
      <c r="J155" s="1138" t="s">
        <v>2965</v>
      </c>
      <c r="K155" s="1138" t="s">
        <v>2976</v>
      </c>
      <c r="L155" s="870" t="s">
        <v>2307</v>
      </c>
      <c r="M155" s="868" t="s">
        <v>2174</v>
      </c>
      <c r="N155" s="1118"/>
      <c r="O155" s="1119">
        <v>0.38</v>
      </c>
      <c r="P155" s="884">
        <v>0.75</v>
      </c>
      <c r="Q155" s="885"/>
      <c r="R155" s="843">
        <v>1</v>
      </c>
      <c r="S155" s="843">
        <v>0</v>
      </c>
      <c r="T155" s="843">
        <v>1</v>
      </c>
      <c r="U155" s="843">
        <v>0</v>
      </c>
      <c r="V155" s="843">
        <v>0</v>
      </c>
      <c r="W155" s="843">
        <v>1</v>
      </c>
      <c r="X155" s="870" t="s">
        <v>2939</v>
      </c>
      <c r="Y155" s="843" t="str">
        <f>IF(OR(ISNA(MATCH(MID(X155,1,3)*1,UomConversion!$D$8:$D$500,0)),H155=""),"",IF(AV155="","",AV155))</f>
        <v/>
      </c>
      <c r="Z155" s="843" t="str">
        <f>IF(AND(AU155&gt;0,COUNTIFS(UomConversion!$D$8:$D$500,MID(X155,1,3)*1,UomConversion!$J$8:$J$500,1)&gt;1),TEXT(AU155,"000")&amp;"."&amp;VLOOKUP(AU155,uom_list,5,FALSE),"")</f>
        <v/>
      </c>
      <c r="AA155" s="843">
        <f t="shared" si="147"/>
        <v>1</v>
      </c>
      <c r="AB155" s="843" t="str">
        <f t="shared" si="151"/>
        <v>2</v>
      </c>
      <c r="AC155" s="843">
        <f t="shared" ref="AC155" si="159">import_pro_number_of_price_type</f>
        <v>2</v>
      </c>
      <c r="AD155" s="1214">
        <v>0</v>
      </c>
      <c r="AE155" s="1214">
        <v>0.75</v>
      </c>
      <c r="AF155" s="1215"/>
      <c r="AG155" s="1215"/>
      <c r="AH155" s="1215"/>
      <c r="AI155" s="1215"/>
      <c r="AJ155" s="1216"/>
      <c r="AK155" s="1216"/>
      <c r="AL155" s="1216"/>
      <c r="AM155" s="1216"/>
      <c r="AN155" s="1216"/>
      <c r="AO155" s="1216"/>
      <c r="AP155" s="1216"/>
      <c r="AQ155" s="1216"/>
      <c r="AR155" s="1216"/>
      <c r="AS155" s="1216"/>
      <c r="AT155" s="1216"/>
      <c r="AU155" s="1120" cm="1">
        <f t="array" ref="AU155">IF(H155="","",Slookup(MID(X155,1,3)*1,UomConversion!$D$8:$J$500,2,UomConversion!$I$8:$I$500,1,UomConversion!$J$8:$J$500,1))</f>
        <v>0</v>
      </c>
      <c r="AV155" s="401" t="str">
        <f t="shared" si="149"/>
        <v/>
      </c>
      <c r="AW155" s="757">
        <f t="shared" si="150"/>
        <v>2</v>
      </c>
      <c r="AX155" s="757" t="str">
        <f t="shared" si="150"/>
        <v/>
      </c>
      <c r="AY155" s="757" t="str">
        <f t="shared" si="150"/>
        <v/>
      </c>
      <c r="AZ155" s="1209" cm="1">
        <f t="array" ref="AZ155">IF(Y155="",1,Slookup(MID(X155,1,3)*1,UomConversion!$D$8:$J$500,5,UomConversion!$E$8:$E$500,MID(Y155,1,3)*1,UomConversion!$I$8:$I$500,1))</f>
        <v>1</v>
      </c>
      <c r="BA155" s="1209" cm="1">
        <f t="array" ref="BA155">IF(Z155="",1,Slookup(MID(X155,1,3)*1,UomConversion!$D$8:$J$500,5,UomConversion!$E$8:$E$500,MID(Z155,1,3)*1,UomConversion!$I$8:$I$500,1))</f>
        <v>1</v>
      </c>
      <c r="BB155" s="1217">
        <f t="shared" si="141"/>
        <v>0.75</v>
      </c>
      <c r="BC155" s="1217">
        <f t="shared" si="153"/>
        <v>0.37</v>
      </c>
      <c r="BD155" s="1217"/>
    </row>
    <row r="156" spans="2:56" s="1120" customFormat="1" ht="24.95" customHeight="1">
      <c r="B156" s="445"/>
      <c r="C156" s="843">
        <v>137</v>
      </c>
      <c r="D156" s="843"/>
      <c r="E156" s="843"/>
      <c r="F156" s="1116" t="s">
        <v>2590</v>
      </c>
      <c r="G156" s="1117" t="s">
        <v>2590</v>
      </c>
      <c r="H156" s="868" t="s">
        <v>3113</v>
      </c>
      <c r="I156" s="1118" t="s">
        <v>3113</v>
      </c>
      <c r="J156" s="1138" t="s">
        <v>2959</v>
      </c>
      <c r="K156" s="1138" t="s">
        <v>2976</v>
      </c>
      <c r="L156" s="870" t="s">
        <v>2307</v>
      </c>
      <c r="M156" s="868" t="s">
        <v>2174</v>
      </c>
      <c r="N156" s="1118"/>
      <c r="O156" s="1119">
        <v>2.9</v>
      </c>
      <c r="P156" s="884">
        <v>3.25</v>
      </c>
      <c r="Q156" s="885"/>
      <c r="R156" s="843">
        <v>1</v>
      </c>
      <c r="S156" s="843">
        <v>0</v>
      </c>
      <c r="T156" s="843">
        <v>1</v>
      </c>
      <c r="U156" s="843">
        <v>0</v>
      </c>
      <c r="V156" s="843">
        <v>0</v>
      </c>
      <c r="W156" s="843">
        <v>1</v>
      </c>
      <c r="X156" s="870" t="s">
        <v>2939</v>
      </c>
      <c r="Y156" s="843" t="str">
        <f>IF(OR(ISNA(MATCH(MID(X156,1,3)*1,UomConversion!$D$8:$D$500,0)),H156=""),"",IF(AV156="","",AV156))</f>
        <v/>
      </c>
      <c r="Z156" s="843" t="str">
        <f>IF(AND(AU156&gt;0,COUNTIFS(UomConversion!$D$8:$D$500,MID(X156,1,3)*1,UomConversion!$J$8:$J$500,1)&gt;1),TEXT(AU156,"000")&amp;"."&amp;VLOOKUP(AU156,uom_list,5,FALSE),"")</f>
        <v/>
      </c>
      <c r="AA156" s="843">
        <f t="shared" si="147"/>
        <v>1</v>
      </c>
      <c r="AB156" s="843" t="str">
        <f t="shared" si="151"/>
        <v>2</v>
      </c>
      <c r="AC156" s="843">
        <f t="shared" ref="AC156" si="160">import_pro_number_of_price_type</f>
        <v>2</v>
      </c>
      <c r="AD156" s="1214">
        <v>0</v>
      </c>
      <c r="AE156" s="1214">
        <v>3.25</v>
      </c>
      <c r="AF156" s="1215"/>
      <c r="AG156" s="1215"/>
      <c r="AH156" s="1215"/>
      <c r="AI156" s="1215"/>
      <c r="AJ156" s="1216"/>
      <c r="AK156" s="1216"/>
      <c r="AL156" s="1216"/>
      <c r="AM156" s="1216"/>
      <c r="AN156" s="1216"/>
      <c r="AO156" s="1216"/>
      <c r="AP156" s="1216"/>
      <c r="AQ156" s="1216"/>
      <c r="AR156" s="1216"/>
      <c r="AS156" s="1216"/>
      <c r="AT156" s="1216"/>
      <c r="AU156" s="1120" cm="1">
        <f t="array" ref="AU156">IF(H156="","",Slookup(MID(X156,1,3)*1,UomConversion!$D$8:$J$500,2,UomConversion!$I$8:$I$500,1,UomConversion!$J$8:$J$500,1))</f>
        <v>0</v>
      </c>
      <c r="AV156" s="401" t="str">
        <f t="shared" si="149"/>
        <v/>
      </c>
      <c r="AW156" s="757">
        <f t="shared" si="150"/>
        <v>2</v>
      </c>
      <c r="AX156" s="757" t="str">
        <f t="shared" si="150"/>
        <v/>
      </c>
      <c r="AY156" s="757" t="str">
        <f t="shared" si="150"/>
        <v/>
      </c>
      <c r="AZ156" s="1209" cm="1">
        <f t="array" ref="AZ156">IF(Y156="",1,Slookup(MID(X156,1,3)*1,UomConversion!$D$8:$J$500,5,UomConversion!$E$8:$E$500,MID(Y156,1,3)*1,UomConversion!$I$8:$I$500,1))</f>
        <v>1</v>
      </c>
      <c r="BA156" s="1209" cm="1">
        <f t="array" ref="BA156">IF(Z156="",1,Slookup(MID(X156,1,3)*1,UomConversion!$D$8:$J$500,5,UomConversion!$E$8:$E$500,MID(Z156,1,3)*1,UomConversion!$I$8:$I$500,1))</f>
        <v>1</v>
      </c>
      <c r="BB156" s="1217">
        <f t="shared" si="141"/>
        <v>3.25</v>
      </c>
      <c r="BC156" s="1217">
        <f t="shared" si="153"/>
        <v>0.35000000000000009</v>
      </c>
      <c r="BD156" s="1217"/>
    </row>
    <row r="157" spans="2:56" s="1120" customFormat="1" ht="24.95" customHeight="1">
      <c r="B157" s="445"/>
      <c r="C157" s="843">
        <v>138</v>
      </c>
      <c r="D157" s="843"/>
      <c r="E157" s="843"/>
      <c r="F157" s="1116" t="s">
        <v>2592</v>
      </c>
      <c r="G157" s="1117" t="s">
        <v>2592</v>
      </c>
      <c r="H157" s="868" t="s">
        <v>3114</v>
      </c>
      <c r="I157" s="1118" t="s">
        <v>3114</v>
      </c>
      <c r="J157" s="1138" t="s">
        <v>2959</v>
      </c>
      <c r="K157" s="1138" t="s">
        <v>2976</v>
      </c>
      <c r="L157" s="870" t="s">
        <v>2307</v>
      </c>
      <c r="M157" s="868" t="s">
        <v>2174</v>
      </c>
      <c r="N157" s="1118"/>
      <c r="O157" s="1119">
        <v>3.8</v>
      </c>
      <c r="P157" s="884">
        <v>4.2</v>
      </c>
      <c r="Q157" s="885"/>
      <c r="R157" s="843">
        <v>1</v>
      </c>
      <c r="S157" s="843">
        <v>0</v>
      </c>
      <c r="T157" s="843">
        <v>1</v>
      </c>
      <c r="U157" s="843">
        <v>0</v>
      </c>
      <c r="V157" s="843">
        <v>0</v>
      </c>
      <c r="W157" s="843">
        <v>1</v>
      </c>
      <c r="X157" s="870" t="s">
        <v>2939</v>
      </c>
      <c r="Y157" s="843" t="str">
        <f>IF(OR(ISNA(MATCH(MID(X157,1,3)*1,UomConversion!$D$8:$D$500,0)),H157=""),"",IF(AV157="","",AV157))</f>
        <v/>
      </c>
      <c r="Z157" s="843" t="str">
        <f>IF(AND(AU157&gt;0,COUNTIFS(UomConversion!$D$8:$D$500,MID(X157,1,3)*1,UomConversion!$J$8:$J$500,1)&gt;1),TEXT(AU157,"000")&amp;"."&amp;VLOOKUP(AU157,uom_list,5,FALSE),"")</f>
        <v/>
      </c>
      <c r="AA157" s="843">
        <f t="shared" si="147"/>
        <v>1</v>
      </c>
      <c r="AB157" s="843" t="str">
        <f t="shared" si="151"/>
        <v>2</v>
      </c>
      <c r="AC157" s="843">
        <f t="shared" ref="AC157" si="161">import_pro_number_of_price_type</f>
        <v>2</v>
      </c>
      <c r="AD157" s="1214">
        <v>0</v>
      </c>
      <c r="AE157" s="1214">
        <v>4.2</v>
      </c>
      <c r="AF157" s="1215"/>
      <c r="AG157" s="1215"/>
      <c r="AH157" s="1215"/>
      <c r="AI157" s="1215"/>
      <c r="AJ157" s="1216"/>
      <c r="AK157" s="1216"/>
      <c r="AL157" s="1216"/>
      <c r="AM157" s="1216"/>
      <c r="AN157" s="1216"/>
      <c r="AO157" s="1216"/>
      <c r="AP157" s="1216"/>
      <c r="AQ157" s="1216"/>
      <c r="AR157" s="1216"/>
      <c r="AS157" s="1216"/>
      <c r="AT157" s="1216"/>
      <c r="AU157" s="1120" cm="1">
        <f t="array" ref="AU157">IF(H157="","",Slookup(MID(X157,1,3)*1,UomConversion!$D$8:$J$500,2,UomConversion!$I$8:$I$500,1,UomConversion!$J$8:$J$500,1))</f>
        <v>0</v>
      </c>
      <c r="AV157" s="401" t="str">
        <f t="shared" si="149"/>
        <v/>
      </c>
      <c r="AW157" s="757">
        <f t="shared" si="150"/>
        <v>2</v>
      </c>
      <c r="AX157" s="757" t="str">
        <f t="shared" si="150"/>
        <v/>
      </c>
      <c r="AY157" s="757" t="str">
        <f t="shared" si="150"/>
        <v/>
      </c>
      <c r="AZ157" s="1209" cm="1">
        <f t="array" ref="AZ157">IF(Y157="",1,Slookup(MID(X157,1,3)*1,UomConversion!$D$8:$J$500,5,UomConversion!$E$8:$E$500,MID(Y157,1,3)*1,UomConversion!$I$8:$I$500,1))</f>
        <v>1</v>
      </c>
      <c r="BA157" s="1209" cm="1">
        <f t="array" ref="BA157">IF(Z157="",1,Slookup(MID(X157,1,3)*1,UomConversion!$D$8:$J$500,5,UomConversion!$E$8:$E$500,MID(Z157,1,3)*1,UomConversion!$I$8:$I$500,1))</f>
        <v>1</v>
      </c>
      <c r="BB157" s="1217">
        <f t="shared" si="141"/>
        <v>4.2</v>
      </c>
      <c r="BC157" s="1217">
        <f t="shared" si="153"/>
        <v>0.40000000000000036</v>
      </c>
      <c r="BD157" s="1217"/>
    </row>
    <row r="158" spans="2:56" s="1120" customFormat="1" ht="24.95" customHeight="1">
      <c r="B158" s="445"/>
      <c r="C158" s="843">
        <v>139</v>
      </c>
      <c r="D158" s="843"/>
      <c r="E158" s="843"/>
      <c r="F158" s="1116" t="s">
        <v>2593</v>
      </c>
      <c r="G158" s="1117" t="s">
        <v>2593</v>
      </c>
      <c r="H158" s="868" t="s">
        <v>3115</v>
      </c>
      <c r="I158" s="1118" t="s">
        <v>3115</v>
      </c>
      <c r="J158" s="1138" t="s">
        <v>2959</v>
      </c>
      <c r="K158" s="1138" t="s">
        <v>2976</v>
      </c>
      <c r="L158" s="870" t="s">
        <v>2307</v>
      </c>
      <c r="M158" s="868" t="s">
        <v>2174</v>
      </c>
      <c r="N158" s="1118"/>
      <c r="O158" s="1119">
        <v>3.4</v>
      </c>
      <c r="P158" s="884">
        <v>4</v>
      </c>
      <c r="Q158" s="885"/>
      <c r="R158" s="843">
        <v>1</v>
      </c>
      <c r="S158" s="843">
        <v>0</v>
      </c>
      <c r="T158" s="843">
        <v>1</v>
      </c>
      <c r="U158" s="843">
        <v>0</v>
      </c>
      <c r="V158" s="843">
        <v>0</v>
      </c>
      <c r="W158" s="843">
        <v>1</v>
      </c>
      <c r="X158" s="870" t="s">
        <v>2939</v>
      </c>
      <c r="Y158" s="843" t="str">
        <f>IF(OR(ISNA(MATCH(MID(X158,1,3)*1,UomConversion!$D$8:$D$500,0)),H158=""),"",IF(AV158="","",AV158))</f>
        <v/>
      </c>
      <c r="Z158" s="843" t="str">
        <f>IF(AND(AU158&gt;0,COUNTIFS(UomConversion!$D$8:$D$500,MID(X158,1,3)*1,UomConversion!$J$8:$J$500,1)&gt;1),TEXT(AU158,"000")&amp;"."&amp;VLOOKUP(AU158,uom_list,5,FALSE),"")</f>
        <v/>
      </c>
      <c r="AA158" s="843">
        <f t="shared" si="147"/>
        <v>1</v>
      </c>
      <c r="AB158" s="843" t="str">
        <f t="shared" si="151"/>
        <v>2</v>
      </c>
      <c r="AC158" s="843">
        <f t="shared" ref="AC158" si="162">import_pro_number_of_price_type</f>
        <v>2</v>
      </c>
      <c r="AD158" s="1214">
        <v>0</v>
      </c>
      <c r="AE158" s="1214">
        <v>4</v>
      </c>
      <c r="AF158" s="1215"/>
      <c r="AG158" s="1215"/>
      <c r="AH158" s="1215"/>
      <c r="AI158" s="1215"/>
      <c r="AJ158" s="1216"/>
      <c r="AK158" s="1216"/>
      <c r="AL158" s="1216"/>
      <c r="AM158" s="1216"/>
      <c r="AN158" s="1216"/>
      <c r="AO158" s="1216"/>
      <c r="AP158" s="1216"/>
      <c r="AQ158" s="1216"/>
      <c r="AR158" s="1216"/>
      <c r="AS158" s="1216"/>
      <c r="AT158" s="1216"/>
      <c r="AU158" s="1120" cm="1">
        <f t="array" ref="AU158">IF(H158="","",Slookup(MID(X158,1,3)*1,UomConversion!$D$8:$J$500,2,UomConversion!$I$8:$I$500,1,UomConversion!$J$8:$J$500,1))</f>
        <v>0</v>
      </c>
      <c r="AV158" s="401" t="str">
        <f t="shared" si="149"/>
        <v/>
      </c>
      <c r="AW158" s="757">
        <f t="shared" si="150"/>
        <v>2</v>
      </c>
      <c r="AX158" s="757" t="str">
        <f t="shared" si="150"/>
        <v/>
      </c>
      <c r="AY158" s="757" t="str">
        <f t="shared" si="150"/>
        <v/>
      </c>
      <c r="AZ158" s="1209" cm="1">
        <f t="array" ref="AZ158">IF(Y158="",1,Slookup(MID(X158,1,3)*1,UomConversion!$D$8:$J$500,5,UomConversion!$E$8:$E$500,MID(Y158,1,3)*1,UomConversion!$I$8:$I$500,1))</f>
        <v>1</v>
      </c>
      <c r="BA158" s="1209" cm="1">
        <f t="array" ref="BA158">IF(Z158="",1,Slookup(MID(X158,1,3)*1,UomConversion!$D$8:$J$500,5,UomConversion!$E$8:$E$500,MID(Z158,1,3)*1,UomConversion!$I$8:$I$500,1))</f>
        <v>1</v>
      </c>
      <c r="BB158" s="1217">
        <f t="shared" si="141"/>
        <v>4</v>
      </c>
      <c r="BC158" s="1217">
        <f t="shared" si="153"/>
        <v>0.60000000000000009</v>
      </c>
      <c r="BD158" s="1217"/>
    </row>
    <row r="159" spans="2:56" s="1120" customFormat="1" ht="24.95" customHeight="1">
      <c r="B159" s="445"/>
      <c r="C159" s="843">
        <v>140</v>
      </c>
      <c r="D159" s="843"/>
      <c r="E159" s="843"/>
      <c r="F159" s="1116" t="s">
        <v>2595</v>
      </c>
      <c r="G159" s="1117" t="s">
        <v>2595</v>
      </c>
      <c r="H159" s="868" t="s">
        <v>3116</v>
      </c>
      <c r="I159" s="1118" t="s">
        <v>3116</v>
      </c>
      <c r="J159" s="1138" t="s">
        <v>2959</v>
      </c>
      <c r="K159" s="1138" t="s">
        <v>2976</v>
      </c>
      <c r="L159" s="870" t="s">
        <v>2307</v>
      </c>
      <c r="M159" s="868" t="s">
        <v>2174</v>
      </c>
      <c r="N159" s="1118"/>
      <c r="O159" s="1119">
        <v>7.5</v>
      </c>
      <c r="P159" s="884">
        <v>8.5</v>
      </c>
      <c r="Q159" s="885"/>
      <c r="R159" s="843">
        <v>1</v>
      </c>
      <c r="S159" s="843">
        <v>0</v>
      </c>
      <c r="T159" s="843">
        <v>1</v>
      </c>
      <c r="U159" s="843">
        <v>0</v>
      </c>
      <c r="V159" s="843">
        <v>0</v>
      </c>
      <c r="W159" s="843">
        <v>1</v>
      </c>
      <c r="X159" s="870" t="s">
        <v>2939</v>
      </c>
      <c r="Y159" s="843" t="str">
        <f>IF(OR(ISNA(MATCH(MID(X159,1,3)*1,UomConversion!$D$8:$D$500,0)),H159=""),"",IF(AV159="","",AV159))</f>
        <v/>
      </c>
      <c r="Z159" s="843" t="str">
        <f>IF(AND(AU159&gt;0,COUNTIFS(UomConversion!$D$8:$D$500,MID(X159,1,3)*1,UomConversion!$J$8:$J$500,1)&gt;1),TEXT(AU159,"000")&amp;"."&amp;VLOOKUP(AU159,uom_list,5,FALSE),"")</f>
        <v/>
      </c>
      <c r="AA159" s="843">
        <f t="shared" si="147"/>
        <v>1</v>
      </c>
      <c r="AB159" s="843" t="str">
        <f t="shared" si="151"/>
        <v>2</v>
      </c>
      <c r="AC159" s="843">
        <f t="shared" ref="AC159" si="163">import_pro_number_of_price_type</f>
        <v>2</v>
      </c>
      <c r="AD159" s="1214">
        <v>0</v>
      </c>
      <c r="AE159" s="1214">
        <v>8.5</v>
      </c>
      <c r="AF159" s="1215"/>
      <c r="AG159" s="1215"/>
      <c r="AH159" s="1215"/>
      <c r="AI159" s="1215"/>
      <c r="AJ159" s="1216"/>
      <c r="AK159" s="1216"/>
      <c r="AL159" s="1216"/>
      <c r="AM159" s="1216"/>
      <c r="AN159" s="1216"/>
      <c r="AO159" s="1216"/>
      <c r="AP159" s="1216"/>
      <c r="AQ159" s="1216"/>
      <c r="AR159" s="1216"/>
      <c r="AS159" s="1216"/>
      <c r="AT159" s="1216"/>
      <c r="AU159" s="1120" cm="1">
        <f t="array" ref="AU159">IF(H159="","",Slookup(MID(X159,1,3)*1,UomConversion!$D$8:$J$500,2,UomConversion!$I$8:$I$500,1,UomConversion!$J$8:$J$500,1))</f>
        <v>0</v>
      </c>
      <c r="AV159" s="401" t="str">
        <f t="shared" si="149"/>
        <v/>
      </c>
      <c r="AW159" s="757">
        <f t="shared" si="150"/>
        <v>2</v>
      </c>
      <c r="AX159" s="757" t="str">
        <f t="shared" si="150"/>
        <v/>
      </c>
      <c r="AY159" s="757" t="str">
        <f t="shared" si="150"/>
        <v/>
      </c>
      <c r="AZ159" s="1209" cm="1">
        <f t="array" ref="AZ159">IF(Y159="",1,Slookup(MID(X159,1,3)*1,UomConversion!$D$8:$J$500,5,UomConversion!$E$8:$E$500,MID(Y159,1,3)*1,UomConversion!$I$8:$I$500,1))</f>
        <v>1</v>
      </c>
      <c r="BA159" s="1209" cm="1">
        <f t="array" ref="BA159">IF(Z159="",1,Slookup(MID(X159,1,3)*1,UomConversion!$D$8:$J$500,5,UomConversion!$E$8:$E$500,MID(Z159,1,3)*1,UomConversion!$I$8:$I$500,1))</f>
        <v>1</v>
      </c>
      <c r="BB159" s="1217">
        <f t="shared" si="141"/>
        <v>8.5</v>
      </c>
      <c r="BC159" s="1217">
        <f t="shared" si="153"/>
        <v>1</v>
      </c>
      <c r="BD159" s="1217"/>
    </row>
    <row r="160" spans="2:56" s="1120" customFormat="1" ht="24.95" customHeight="1">
      <c r="B160" s="445"/>
      <c r="C160" s="843">
        <v>141</v>
      </c>
      <c r="D160" s="843"/>
      <c r="E160" s="843"/>
      <c r="F160" s="1116" t="s">
        <v>2597</v>
      </c>
      <c r="G160" s="1117" t="s">
        <v>2597</v>
      </c>
      <c r="H160" s="868" t="s">
        <v>3117</v>
      </c>
      <c r="I160" s="1118" t="s">
        <v>3117</v>
      </c>
      <c r="J160" s="1138" t="s">
        <v>2962</v>
      </c>
      <c r="K160" s="1138" t="s">
        <v>2976</v>
      </c>
      <c r="L160" s="870" t="s">
        <v>2307</v>
      </c>
      <c r="M160" s="868" t="s">
        <v>2174</v>
      </c>
      <c r="N160" s="1118"/>
      <c r="O160" s="1119">
        <v>1.35</v>
      </c>
      <c r="P160" s="884">
        <v>2</v>
      </c>
      <c r="Q160" s="885"/>
      <c r="R160" s="843">
        <v>1</v>
      </c>
      <c r="S160" s="843">
        <v>0</v>
      </c>
      <c r="T160" s="843">
        <v>1</v>
      </c>
      <c r="U160" s="843">
        <v>0</v>
      </c>
      <c r="V160" s="843">
        <v>0</v>
      </c>
      <c r="W160" s="843">
        <v>1</v>
      </c>
      <c r="X160" s="870" t="s">
        <v>2939</v>
      </c>
      <c r="Y160" s="843" t="str">
        <f>IF(OR(ISNA(MATCH(MID(X160,1,3)*1,UomConversion!$D$8:$D$500,0)),H160=""),"",IF(AV160="","",AV160))</f>
        <v/>
      </c>
      <c r="Z160" s="843" t="str">
        <f>IF(AND(AU160&gt;0,COUNTIFS(UomConversion!$D$8:$D$500,MID(X160,1,3)*1,UomConversion!$J$8:$J$500,1)&gt;1),TEXT(AU160,"000")&amp;"."&amp;VLOOKUP(AU160,uom_list,5,FALSE),"")</f>
        <v/>
      </c>
      <c r="AA160" s="843">
        <f t="shared" si="147"/>
        <v>1</v>
      </c>
      <c r="AB160" s="843" t="str">
        <f t="shared" si="151"/>
        <v>2</v>
      </c>
      <c r="AC160" s="843">
        <f t="shared" ref="AC160" si="164">import_pro_number_of_price_type</f>
        <v>2</v>
      </c>
      <c r="AD160" s="1214">
        <v>0</v>
      </c>
      <c r="AE160" s="1214">
        <v>2</v>
      </c>
      <c r="AF160" s="1215"/>
      <c r="AG160" s="1215"/>
      <c r="AH160" s="1215"/>
      <c r="AI160" s="1215"/>
      <c r="AJ160" s="1216"/>
      <c r="AK160" s="1216"/>
      <c r="AL160" s="1216"/>
      <c r="AM160" s="1216"/>
      <c r="AN160" s="1216"/>
      <c r="AO160" s="1216"/>
      <c r="AP160" s="1216"/>
      <c r="AQ160" s="1216"/>
      <c r="AR160" s="1216"/>
      <c r="AS160" s="1216"/>
      <c r="AT160" s="1216"/>
      <c r="AU160" s="1120" cm="1">
        <f t="array" ref="AU160">IF(H160="","",Slookup(MID(X160,1,3)*1,UomConversion!$D$8:$J$500,2,UomConversion!$I$8:$I$500,1,UomConversion!$J$8:$J$500,1))</f>
        <v>0</v>
      </c>
      <c r="AV160" s="401" t="str">
        <f t="shared" si="149"/>
        <v/>
      </c>
      <c r="AW160" s="757">
        <f t="shared" si="150"/>
        <v>2</v>
      </c>
      <c r="AX160" s="757" t="str">
        <f t="shared" si="150"/>
        <v/>
      </c>
      <c r="AY160" s="757" t="str">
        <f t="shared" si="150"/>
        <v/>
      </c>
      <c r="AZ160" s="1209" cm="1">
        <f t="array" ref="AZ160">IF(Y160="",1,Slookup(MID(X160,1,3)*1,UomConversion!$D$8:$J$500,5,UomConversion!$E$8:$E$500,MID(Y160,1,3)*1,UomConversion!$I$8:$I$500,1))</f>
        <v>1</v>
      </c>
      <c r="BA160" s="1209" cm="1">
        <f t="array" ref="BA160">IF(Z160="",1,Slookup(MID(X160,1,3)*1,UomConversion!$D$8:$J$500,5,UomConversion!$E$8:$E$500,MID(Z160,1,3)*1,UomConversion!$I$8:$I$500,1))</f>
        <v>1</v>
      </c>
      <c r="BB160" s="1217">
        <f t="shared" si="141"/>
        <v>2</v>
      </c>
      <c r="BC160" s="1217">
        <f t="shared" si="153"/>
        <v>0.64999999999999991</v>
      </c>
      <c r="BD160" s="1217"/>
    </row>
    <row r="161" spans="2:56" s="1120" customFormat="1" ht="24.95" customHeight="1">
      <c r="B161" s="445"/>
      <c r="C161" s="843">
        <v>142</v>
      </c>
      <c r="D161" s="843"/>
      <c r="E161" s="843"/>
      <c r="F161" s="1116" t="s">
        <v>2599</v>
      </c>
      <c r="G161" s="1117" t="s">
        <v>2599</v>
      </c>
      <c r="H161" s="868" t="s">
        <v>3118</v>
      </c>
      <c r="I161" s="1118" t="s">
        <v>3118</v>
      </c>
      <c r="J161" s="1138" t="s">
        <v>2965</v>
      </c>
      <c r="K161" s="1138" t="s">
        <v>2976</v>
      </c>
      <c r="L161" s="870" t="s">
        <v>2264</v>
      </c>
      <c r="M161" s="868" t="s">
        <v>2174</v>
      </c>
      <c r="N161" s="1118"/>
      <c r="O161" s="1119">
        <v>4.08</v>
      </c>
      <c r="P161" s="884">
        <v>0.75</v>
      </c>
      <c r="Q161" s="885"/>
      <c r="R161" s="843" t="s">
        <v>36</v>
      </c>
      <c r="S161" s="843">
        <v>0</v>
      </c>
      <c r="T161" s="843">
        <v>1</v>
      </c>
      <c r="U161" s="843">
        <v>0</v>
      </c>
      <c r="V161" s="843">
        <v>0</v>
      </c>
      <c r="W161" s="843">
        <v>1</v>
      </c>
      <c r="X161" s="870" t="s">
        <v>2778</v>
      </c>
      <c r="Y161" s="843" t="str">
        <f>IF(OR(ISNA(MATCH(MID(X161,1,3)*1,UomConversion!$D$8:$D$500,0)),H161=""),"",IF(AV161="","",AV161))</f>
        <v>002.pcs</v>
      </c>
      <c r="Z161" s="843" t="str">
        <f>IF(AND(AU161&gt;0,COUNTIFS(UomConversion!$D$8:$D$500,MID(X161,1,3)*1,UomConversion!$J$8:$J$500,1)&gt;1),TEXT(AU161,"000")&amp;"."&amp;VLOOKUP(AU161,uom_list,5,FALSE),"")</f>
        <v/>
      </c>
      <c r="AA161" s="843">
        <f t="shared" si="147"/>
        <v>2</v>
      </c>
      <c r="AB161" s="843" t="str">
        <f t="shared" si="151"/>
        <v>26,2</v>
      </c>
      <c r="AC161" s="843">
        <f t="shared" ref="AC161" si="165">import_pro_number_of_price_type</f>
        <v>2</v>
      </c>
      <c r="AD161" s="1214">
        <v>0</v>
      </c>
      <c r="AE161" s="1214">
        <v>0.75</v>
      </c>
      <c r="AF161" s="1215"/>
      <c r="AG161" s="1215"/>
      <c r="AH161" s="1215"/>
      <c r="AI161" s="1215"/>
      <c r="AJ161" s="1216"/>
      <c r="AK161" s="1216"/>
      <c r="AL161" s="1216"/>
      <c r="AM161" s="1216"/>
      <c r="AN161" s="1216"/>
      <c r="AO161" s="1216"/>
      <c r="AP161" s="1216"/>
      <c r="AQ161" s="1216"/>
      <c r="AR161" s="1216"/>
      <c r="AS161" s="1216"/>
      <c r="AT161" s="1216"/>
      <c r="AU161" s="1120" cm="1">
        <f t="array" ref="AU161">IF(H161="","",Slookup(MID(X161,1,3)*1,UomConversion!$D$8:$J$500,2,UomConversion!$I$8:$I$500,1,UomConversion!$J$8:$J$500,1))</f>
        <v>2</v>
      </c>
      <c r="AV161" s="401" t="str">
        <f t="shared" si="149"/>
        <v>002.pcs</v>
      </c>
      <c r="AW161" s="757">
        <f t="shared" si="150"/>
        <v>26</v>
      </c>
      <c r="AX161" s="757">
        <f t="shared" si="150"/>
        <v>2</v>
      </c>
      <c r="AY161" s="757" t="str">
        <f t="shared" si="150"/>
        <v/>
      </c>
      <c r="AZ161" s="1209" cm="1">
        <f t="array" ref="AZ161">IF(Y161="",1,Slookup(MID(X161,1,3)*1,UomConversion!$D$8:$J$500,5,UomConversion!$E$8:$E$500,MID(Y161,1,3)*1,UomConversion!$I$8:$I$500,1))</f>
        <v>12</v>
      </c>
      <c r="BA161" s="1209" cm="1">
        <f t="array" ref="BA161">IF(Z161="",1,Slookup(MID(X161,1,3)*1,UomConversion!$D$8:$J$500,5,UomConversion!$E$8:$E$500,MID(Z161,1,3)*1,UomConversion!$I$8:$I$500,1))</f>
        <v>1</v>
      </c>
      <c r="BB161" s="1217">
        <f t="shared" si="141"/>
        <v>9</v>
      </c>
      <c r="BC161" s="1217">
        <f t="shared" si="153"/>
        <v>-3.33</v>
      </c>
      <c r="BD161" s="1217"/>
    </row>
    <row r="162" spans="2:56" s="1120" customFormat="1" ht="24.95" customHeight="1">
      <c r="B162" s="445"/>
      <c r="C162" s="843">
        <v>143</v>
      </c>
      <c r="D162" s="843"/>
      <c r="E162" s="843"/>
      <c r="F162" s="1116" t="s">
        <v>2601</v>
      </c>
      <c r="G162" s="1117" t="s">
        <v>2601</v>
      </c>
      <c r="H162" s="868" t="s">
        <v>3119</v>
      </c>
      <c r="I162" s="1118" t="s">
        <v>3119</v>
      </c>
      <c r="J162" s="1138" t="s">
        <v>2965</v>
      </c>
      <c r="K162" s="1138" t="s">
        <v>2976</v>
      </c>
      <c r="L162" s="870" t="s">
        <v>2264</v>
      </c>
      <c r="M162" s="868" t="s">
        <v>2174</v>
      </c>
      <c r="N162" s="1118"/>
      <c r="O162" s="1119">
        <v>38.799999999999997</v>
      </c>
      <c r="P162" s="884">
        <v>3.5</v>
      </c>
      <c r="Q162" s="885"/>
      <c r="R162" s="843" t="s">
        <v>36</v>
      </c>
      <c r="S162" s="843">
        <v>0</v>
      </c>
      <c r="T162" s="843">
        <v>1</v>
      </c>
      <c r="U162" s="843">
        <v>0</v>
      </c>
      <c r="V162" s="843">
        <v>0</v>
      </c>
      <c r="W162" s="843">
        <v>1</v>
      </c>
      <c r="X162" s="870" t="s">
        <v>2778</v>
      </c>
      <c r="Y162" s="843" t="str">
        <f>IF(OR(ISNA(MATCH(MID(X162,1,3)*1,UomConversion!$D$8:$D$500,0)),H162=""),"",IF(AV162="","",AV162))</f>
        <v>002.pcs</v>
      </c>
      <c r="Z162" s="843" t="str">
        <f>IF(AND(AU162&gt;0,COUNTIFS(UomConversion!$D$8:$D$500,MID(X162,1,3)*1,UomConversion!$J$8:$J$500,1)&gt;1),TEXT(AU162,"000")&amp;"."&amp;VLOOKUP(AU162,uom_list,5,FALSE),"")</f>
        <v/>
      </c>
      <c r="AA162" s="843">
        <f t="shared" si="147"/>
        <v>2</v>
      </c>
      <c r="AB162" s="843" t="str">
        <f t="shared" si="151"/>
        <v>26,2</v>
      </c>
      <c r="AC162" s="843">
        <f t="shared" ref="AC162" si="166">import_pro_number_of_price_type</f>
        <v>2</v>
      </c>
      <c r="AD162" s="1214">
        <v>0</v>
      </c>
      <c r="AE162" s="1214">
        <v>3.5</v>
      </c>
      <c r="AF162" s="1215"/>
      <c r="AG162" s="1215"/>
      <c r="AH162" s="1215"/>
      <c r="AI162" s="1215"/>
      <c r="AJ162" s="1216"/>
      <c r="AK162" s="1216"/>
      <c r="AL162" s="1216"/>
      <c r="AM162" s="1216"/>
      <c r="AN162" s="1216"/>
      <c r="AO162" s="1216"/>
      <c r="AP162" s="1216"/>
      <c r="AQ162" s="1216"/>
      <c r="AR162" s="1216"/>
      <c r="AS162" s="1216"/>
      <c r="AT162" s="1216"/>
      <c r="AU162" s="1120" cm="1">
        <f t="array" ref="AU162">IF(H162="","",Slookup(MID(X162,1,3)*1,UomConversion!$D$8:$J$500,2,UomConversion!$I$8:$I$500,1,UomConversion!$J$8:$J$500,1))</f>
        <v>2</v>
      </c>
      <c r="AV162" s="401" t="str">
        <f t="shared" si="149"/>
        <v>002.pcs</v>
      </c>
      <c r="AW162" s="757">
        <f t="shared" si="150"/>
        <v>26</v>
      </c>
      <c r="AX162" s="757">
        <f t="shared" si="150"/>
        <v>2</v>
      </c>
      <c r="AY162" s="757" t="str">
        <f t="shared" si="150"/>
        <v/>
      </c>
      <c r="AZ162" s="1209" cm="1">
        <f t="array" ref="AZ162">IF(Y162="",1,Slookup(MID(X162,1,3)*1,UomConversion!$D$8:$J$500,5,UomConversion!$E$8:$E$500,MID(Y162,1,3)*1,UomConversion!$I$8:$I$500,1))</f>
        <v>12</v>
      </c>
      <c r="BA162" s="1209" cm="1">
        <f t="array" ref="BA162">IF(Z162="",1,Slookup(MID(X162,1,3)*1,UomConversion!$D$8:$J$500,5,UomConversion!$E$8:$E$500,MID(Z162,1,3)*1,UomConversion!$I$8:$I$500,1))</f>
        <v>1</v>
      </c>
      <c r="BB162" s="1217">
        <f t="shared" si="141"/>
        <v>42</v>
      </c>
      <c r="BC162" s="1217">
        <f t="shared" si="153"/>
        <v>-35.299999999999997</v>
      </c>
      <c r="BD162" s="1217"/>
    </row>
    <row r="163" spans="2:56" s="1120" customFormat="1" ht="24.95" customHeight="1">
      <c r="B163" s="445"/>
      <c r="C163" s="843">
        <v>144</v>
      </c>
      <c r="D163" s="843"/>
      <c r="E163" s="843"/>
      <c r="F163" s="1116" t="s">
        <v>2603</v>
      </c>
      <c r="G163" s="1117" t="s">
        <v>2603</v>
      </c>
      <c r="H163" s="868" t="s">
        <v>3120</v>
      </c>
      <c r="I163" s="1118" t="s">
        <v>3120</v>
      </c>
      <c r="J163" s="1138" t="s">
        <v>2965</v>
      </c>
      <c r="K163" s="1138" t="s">
        <v>2976</v>
      </c>
      <c r="L163" s="870" t="s">
        <v>2850</v>
      </c>
      <c r="M163" s="868" t="s">
        <v>2174</v>
      </c>
      <c r="N163" s="1118"/>
      <c r="O163" s="1119">
        <v>15</v>
      </c>
      <c r="P163" s="884">
        <v>0.65</v>
      </c>
      <c r="Q163" s="885"/>
      <c r="R163" s="843" t="s">
        <v>2894</v>
      </c>
      <c r="S163" s="843">
        <v>0</v>
      </c>
      <c r="T163" s="843">
        <v>1</v>
      </c>
      <c r="U163" s="843">
        <v>0</v>
      </c>
      <c r="V163" s="843">
        <v>0</v>
      </c>
      <c r="W163" s="843">
        <v>1</v>
      </c>
      <c r="X163" s="870" t="s">
        <v>2926</v>
      </c>
      <c r="Y163" s="843" t="str">
        <f>IF(OR(ISNA(MATCH(MID(X163,1,3)*1,UomConversion!$D$8:$D$500,0)),H163=""),"",IF(AV163="","",AV163))</f>
        <v>002.pcs</v>
      </c>
      <c r="Z163" s="843" t="str">
        <f>IF(AND(AU163&gt;0,COUNTIFS(UomConversion!$D$8:$D$500,MID(X163,1,3)*1,UomConversion!$J$8:$J$500,1)&gt;1),TEXT(AU163,"000")&amp;"."&amp;VLOOKUP(AU163,uom_list,5,FALSE),"")</f>
        <v/>
      </c>
      <c r="AA163" s="843">
        <f t="shared" si="147"/>
        <v>2</v>
      </c>
      <c r="AB163" s="843" t="str">
        <f t="shared" si="151"/>
        <v>34,2</v>
      </c>
      <c r="AC163" s="843">
        <f t="shared" ref="AC163" si="167">import_pro_number_of_price_type</f>
        <v>2</v>
      </c>
      <c r="AD163" s="1214">
        <v>0</v>
      </c>
      <c r="AE163" s="1214">
        <v>0.65</v>
      </c>
      <c r="AF163" s="1215"/>
      <c r="AG163" s="1215"/>
      <c r="AH163" s="1215"/>
      <c r="AI163" s="1215"/>
      <c r="AJ163" s="1216"/>
      <c r="AK163" s="1216"/>
      <c r="AL163" s="1216"/>
      <c r="AM163" s="1216"/>
      <c r="AN163" s="1216"/>
      <c r="AO163" s="1216"/>
      <c r="AP163" s="1216"/>
      <c r="AQ163" s="1216"/>
      <c r="AR163" s="1216"/>
      <c r="AS163" s="1216"/>
      <c r="AT163" s="1216"/>
      <c r="AU163" s="1120" cm="1">
        <f t="array" ref="AU163">IF(H163="","",Slookup(MID(X163,1,3)*1,UomConversion!$D$8:$J$500,2,UomConversion!$I$8:$I$500,1,UomConversion!$J$8:$J$500,1))</f>
        <v>2</v>
      </c>
      <c r="AV163" s="401" t="str">
        <f t="shared" si="149"/>
        <v>002.pcs</v>
      </c>
      <c r="AW163" s="757">
        <f t="shared" si="150"/>
        <v>34</v>
      </c>
      <c r="AX163" s="757">
        <f t="shared" si="150"/>
        <v>2</v>
      </c>
      <c r="AY163" s="757" t="str">
        <f t="shared" si="150"/>
        <v/>
      </c>
      <c r="AZ163" s="1209" cm="1">
        <f t="array" ref="AZ163">IF(Y163="",1,Slookup(MID(X163,1,3)*1,UomConversion!$D$8:$J$500,5,UomConversion!$E$8:$E$500,MID(Y163,1,3)*1,UomConversion!$I$8:$I$500,1))</f>
        <v>50</v>
      </c>
      <c r="BA163" s="1209" cm="1">
        <f t="array" ref="BA163">IF(Z163="",1,Slookup(MID(X163,1,3)*1,UomConversion!$D$8:$J$500,5,UomConversion!$E$8:$E$500,MID(Z163,1,3)*1,UomConversion!$I$8:$I$500,1))</f>
        <v>1</v>
      </c>
      <c r="BB163" s="1217">
        <f t="shared" si="141"/>
        <v>32.5</v>
      </c>
      <c r="BC163" s="1217">
        <f t="shared" si="153"/>
        <v>-14.35</v>
      </c>
      <c r="BD163" s="1217"/>
    </row>
    <row r="164" spans="2:56" s="1120" customFormat="1" ht="24.95" customHeight="1">
      <c r="B164" s="445"/>
      <c r="C164" s="843">
        <v>145</v>
      </c>
      <c r="D164" s="843"/>
      <c r="E164" s="843"/>
      <c r="F164" s="1116" t="s">
        <v>2605</v>
      </c>
      <c r="G164" s="1117" t="s">
        <v>2605</v>
      </c>
      <c r="H164" s="868" t="s">
        <v>3121</v>
      </c>
      <c r="I164" s="1118" t="s">
        <v>3121</v>
      </c>
      <c r="J164" s="1138" t="s">
        <v>2965</v>
      </c>
      <c r="K164" s="1138" t="s">
        <v>2976</v>
      </c>
      <c r="L164" s="870" t="s">
        <v>2264</v>
      </c>
      <c r="M164" s="868" t="s">
        <v>2174</v>
      </c>
      <c r="N164" s="1118"/>
      <c r="O164" s="1119">
        <v>3.48</v>
      </c>
      <c r="P164" s="884">
        <v>0.5</v>
      </c>
      <c r="Q164" s="885"/>
      <c r="R164" s="843" t="s">
        <v>36</v>
      </c>
      <c r="S164" s="843">
        <v>0</v>
      </c>
      <c r="T164" s="843">
        <v>1</v>
      </c>
      <c r="U164" s="843">
        <v>0</v>
      </c>
      <c r="V164" s="843">
        <v>0</v>
      </c>
      <c r="W164" s="843">
        <v>1</v>
      </c>
      <c r="X164" s="870" t="s">
        <v>2778</v>
      </c>
      <c r="Y164" s="843" t="str">
        <f>IF(OR(ISNA(MATCH(MID(X164,1,3)*1,UomConversion!$D$8:$D$500,0)),H164=""),"",IF(AV164="","",AV164))</f>
        <v>002.pcs</v>
      </c>
      <c r="Z164" s="843" t="str">
        <f>IF(AND(AU164&gt;0,COUNTIFS(UomConversion!$D$8:$D$500,MID(X164,1,3)*1,UomConversion!$J$8:$J$500,1)&gt;1),TEXT(AU164,"000")&amp;"."&amp;VLOOKUP(AU164,uom_list,5,FALSE),"")</f>
        <v/>
      </c>
      <c r="AA164" s="843">
        <f t="shared" si="147"/>
        <v>2</v>
      </c>
      <c r="AB164" s="843" t="str">
        <f t="shared" si="151"/>
        <v>26,2</v>
      </c>
      <c r="AC164" s="843">
        <f t="shared" ref="AC164" si="168">import_pro_number_of_price_type</f>
        <v>2</v>
      </c>
      <c r="AD164" s="1214">
        <v>0</v>
      </c>
      <c r="AE164" s="1214">
        <v>0.5</v>
      </c>
      <c r="AF164" s="1215"/>
      <c r="AG164" s="1215"/>
      <c r="AH164" s="1215"/>
      <c r="AI164" s="1215"/>
      <c r="AJ164" s="1216"/>
      <c r="AK164" s="1216"/>
      <c r="AL164" s="1216"/>
      <c r="AM164" s="1216"/>
      <c r="AN164" s="1216"/>
      <c r="AO164" s="1216"/>
      <c r="AP164" s="1216"/>
      <c r="AQ164" s="1216"/>
      <c r="AR164" s="1216"/>
      <c r="AS164" s="1216"/>
      <c r="AT164" s="1216"/>
      <c r="AU164" s="1120" cm="1">
        <f t="array" ref="AU164">IF(H164="","",Slookup(MID(X164,1,3)*1,UomConversion!$D$8:$J$500,2,UomConversion!$I$8:$I$500,1,UomConversion!$J$8:$J$500,1))</f>
        <v>2</v>
      </c>
      <c r="AV164" s="401" t="str">
        <f t="shared" si="149"/>
        <v>002.pcs</v>
      </c>
      <c r="AW164" s="757">
        <f t="shared" si="150"/>
        <v>26</v>
      </c>
      <c r="AX164" s="757">
        <f t="shared" si="150"/>
        <v>2</v>
      </c>
      <c r="AY164" s="757" t="str">
        <f t="shared" si="150"/>
        <v/>
      </c>
      <c r="AZ164" s="1209" cm="1">
        <f t="array" ref="AZ164">IF(Y164="",1,Slookup(MID(X164,1,3)*1,UomConversion!$D$8:$J$500,5,UomConversion!$E$8:$E$500,MID(Y164,1,3)*1,UomConversion!$I$8:$I$500,1))</f>
        <v>12</v>
      </c>
      <c r="BA164" s="1209" cm="1">
        <f t="array" ref="BA164">IF(Z164="",1,Slookup(MID(X164,1,3)*1,UomConversion!$D$8:$J$500,5,UomConversion!$E$8:$E$500,MID(Z164,1,3)*1,UomConversion!$I$8:$I$500,1))</f>
        <v>1</v>
      </c>
      <c r="BB164" s="1217">
        <f t="shared" si="141"/>
        <v>6</v>
      </c>
      <c r="BC164" s="1217">
        <f t="shared" si="153"/>
        <v>-2.98</v>
      </c>
      <c r="BD164" s="1217"/>
    </row>
    <row r="165" spans="2:56" s="1120" customFormat="1" ht="24.95" customHeight="1">
      <c r="B165" s="445"/>
      <c r="C165" s="843">
        <v>146</v>
      </c>
      <c r="D165" s="843"/>
      <c r="E165" s="843"/>
      <c r="F165" s="1116" t="s">
        <v>2607</v>
      </c>
      <c r="G165" s="1117" t="s">
        <v>2607</v>
      </c>
      <c r="H165" s="868" t="s">
        <v>3122</v>
      </c>
      <c r="I165" s="1118" t="s">
        <v>3122</v>
      </c>
      <c r="J165" s="1138" t="s">
        <v>2965</v>
      </c>
      <c r="K165" s="1138" t="s">
        <v>2976</v>
      </c>
      <c r="L165" s="870" t="s">
        <v>2307</v>
      </c>
      <c r="M165" s="868" t="s">
        <v>2174</v>
      </c>
      <c r="N165" s="1118"/>
      <c r="O165" s="1119">
        <v>0.04</v>
      </c>
      <c r="P165" s="884">
        <v>0.125</v>
      </c>
      <c r="Q165" s="885"/>
      <c r="R165" s="843">
        <v>1</v>
      </c>
      <c r="S165" s="843">
        <v>0</v>
      </c>
      <c r="T165" s="843">
        <v>1</v>
      </c>
      <c r="U165" s="843">
        <v>0</v>
      </c>
      <c r="V165" s="843">
        <v>0</v>
      </c>
      <c r="W165" s="843">
        <v>1</v>
      </c>
      <c r="X165" s="870" t="s">
        <v>2939</v>
      </c>
      <c r="Y165" s="843" t="str">
        <f>IF(OR(ISNA(MATCH(MID(X165,1,3)*1,UomConversion!$D$8:$D$500,0)),H165=""),"",IF(AV165="","",AV165))</f>
        <v/>
      </c>
      <c r="Z165" s="843" t="str">
        <f>IF(AND(AU165&gt;0,COUNTIFS(UomConversion!$D$8:$D$500,MID(X165,1,3)*1,UomConversion!$J$8:$J$500,1)&gt;1),TEXT(AU165,"000")&amp;"."&amp;VLOOKUP(AU165,uom_list,5,FALSE),"")</f>
        <v/>
      </c>
      <c r="AA165" s="843">
        <f t="shared" si="147"/>
        <v>1</v>
      </c>
      <c r="AB165" s="843" t="str">
        <f t="shared" si="151"/>
        <v>2</v>
      </c>
      <c r="AC165" s="843">
        <f t="shared" ref="AC165" si="169">import_pro_number_of_price_type</f>
        <v>2</v>
      </c>
      <c r="AD165" s="1214">
        <v>0</v>
      </c>
      <c r="AE165" s="1214">
        <v>0.125</v>
      </c>
      <c r="AF165" s="1215"/>
      <c r="AG165" s="1215"/>
      <c r="AH165" s="1215"/>
      <c r="AI165" s="1215"/>
      <c r="AJ165" s="1216"/>
      <c r="AK165" s="1216"/>
      <c r="AL165" s="1216"/>
      <c r="AM165" s="1216"/>
      <c r="AN165" s="1216"/>
      <c r="AO165" s="1216"/>
      <c r="AP165" s="1216"/>
      <c r="AQ165" s="1216"/>
      <c r="AR165" s="1216"/>
      <c r="AS165" s="1216"/>
      <c r="AT165" s="1216"/>
      <c r="AU165" s="1120" cm="1">
        <f t="array" ref="AU165">IF(H165="","",Slookup(MID(X165,1,3)*1,UomConversion!$D$8:$J$500,2,UomConversion!$I$8:$I$500,1,UomConversion!$J$8:$J$500,1))</f>
        <v>0</v>
      </c>
      <c r="AV165" s="401" t="str">
        <f t="shared" si="149"/>
        <v/>
      </c>
      <c r="AW165" s="757">
        <f t="shared" si="150"/>
        <v>2</v>
      </c>
      <c r="AX165" s="757" t="str">
        <f t="shared" si="150"/>
        <v/>
      </c>
      <c r="AY165" s="757" t="str">
        <f t="shared" si="150"/>
        <v/>
      </c>
      <c r="AZ165" s="1209" cm="1">
        <f t="array" ref="AZ165">IF(Y165="",1,Slookup(MID(X165,1,3)*1,UomConversion!$D$8:$J$500,5,UomConversion!$E$8:$E$500,MID(Y165,1,3)*1,UomConversion!$I$8:$I$500,1))</f>
        <v>1</v>
      </c>
      <c r="BA165" s="1209" cm="1">
        <f t="array" ref="BA165">IF(Z165="",1,Slookup(MID(X165,1,3)*1,UomConversion!$D$8:$J$500,5,UomConversion!$E$8:$E$500,MID(Z165,1,3)*1,UomConversion!$I$8:$I$500,1))</f>
        <v>1</v>
      </c>
      <c r="BB165" s="1217">
        <f t="shared" si="141"/>
        <v>0.125</v>
      </c>
      <c r="BC165" s="1217">
        <f t="shared" si="153"/>
        <v>8.4999999999999992E-2</v>
      </c>
      <c r="BD165" s="1217"/>
    </row>
    <row r="166" spans="2:56" s="1120" customFormat="1" ht="24.95" customHeight="1">
      <c r="B166" s="445"/>
      <c r="C166" s="843">
        <v>147</v>
      </c>
      <c r="D166" s="843"/>
      <c r="E166" s="843"/>
      <c r="F166" s="1116" t="s">
        <v>2609</v>
      </c>
      <c r="G166" s="1117" t="s">
        <v>2609</v>
      </c>
      <c r="H166" s="868" t="s">
        <v>3123</v>
      </c>
      <c r="I166" s="1118" t="s">
        <v>3123</v>
      </c>
      <c r="J166" s="1138" t="s">
        <v>2962</v>
      </c>
      <c r="K166" s="1138" t="s">
        <v>2976</v>
      </c>
      <c r="L166" s="870" t="s">
        <v>2269</v>
      </c>
      <c r="M166" s="868" t="s">
        <v>2174</v>
      </c>
      <c r="N166" s="1118"/>
      <c r="O166" s="1119">
        <v>6</v>
      </c>
      <c r="P166" s="884">
        <v>1.5</v>
      </c>
      <c r="Q166" s="885"/>
      <c r="R166" s="843" t="s">
        <v>58</v>
      </c>
      <c r="S166" s="843">
        <v>0</v>
      </c>
      <c r="T166" s="843">
        <v>1</v>
      </c>
      <c r="U166" s="843">
        <v>0</v>
      </c>
      <c r="V166" s="843">
        <v>0</v>
      </c>
      <c r="W166" s="843">
        <v>1</v>
      </c>
      <c r="X166" s="870" t="s">
        <v>2927</v>
      </c>
      <c r="Y166" s="843" t="str">
        <f>IF(OR(ISNA(MATCH(MID(X166,1,3)*1,UomConversion!$D$8:$D$500,0)),H166=""),"",IF(AV166="","",AV166))</f>
        <v>002.pcs</v>
      </c>
      <c r="Z166" s="843" t="str">
        <f>IF(AND(AU166&gt;0,COUNTIFS(UomConversion!$D$8:$D$500,MID(X166,1,3)*1,UomConversion!$J$8:$J$500,1)&gt;1),TEXT(AU166,"000")&amp;"."&amp;VLOOKUP(AU166,uom_list,5,FALSE),"")</f>
        <v/>
      </c>
      <c r="AA166" s="843">
        <f t="shared" si="147"/>
        <v>2</v>
      </c>
      <c r="AB166" s="843" t="str">
        <f t="shared" si="151"/>
        <v>47,2</v>
      </c>
      <c r="AC166" s="843">
        <f t="shared" ref="AC166" si="170">import_pro_number_of_price_type</f>
        <v>2</v>
      </c>
      <c r="AD166" s="1214">
        <v>0</v>
      </c>
      <c r="AE166" s="1214">
        <v>1.5</v>
      </c>
      <c r="AF166" s="1215"/>
      <c r="AG166" s="1215"/>
      <c r="AH166" s="1215"/>
      <c r="AI166" s="1215"/>
      <c r="AJ166" s="1216"/>
      <c r="AK166" s="1216"/>
      <c r="AL166" s="1216"/>
      <c r="AM166" s="1216"/>
      <c r="AN166" s="1216"/>
      <c r="AO166" s="1216"/>
      <c r="AP166" s="1216"/>
      <c r="AQ166" s="1216"/>
      <c r="AR166" s="1216"/>
      <c r="AS166" s="1216"/>
      <c r="AT166" s="1216"/>
      <c r="AU166" s="1120" cm="1">
        <f t="array" ref="AU166">IF(H166="","",Slookup(MID(X166,1,3)*1,UomConversion!$D$8:$J$500,2,UomConversion!$I$8:$I$500,1,UomConversion!$J$8:$J$500,1))</f>
        <v>2</v>
      </c>
      <c r="AV166" s="401" t="str">
        <f t="shared" si="149"/>
        <v>002.pcs</v>
      </c>
      <c r="AW166" s="757">
        <f t="shared" si="150"/>
        <v>47</v>
      </c>
      <c r="AX166" s="757">
        <f t="shared" si="150"/>
        <v>2</v>
      </c>
      <c r="AY166" s="757" t="str">
        <f t="shared" si="150"/>
        <v/>
      </c>
      <c r="AZ166" s="1209" cm="1">
        <f t="array" ref="AZ166">IF(Y166="",1,Slookup(MID(X166,1,3)*1,UomConversion!$D$8:$J$500,5,UomConversion!$E$8:$E$500,MID(Y166,1,3)*1,UomConversion!$I$8:$I$500,1))</f>
        <v>6</v>
      </c>
      <c r="BA166" s="1209" cm="1">
        <f t="array" ref="BA166">IF(Z166="",1,Slookup(MID(X166,1,3)*1,UomConversion!$D$8:$J$500,5,UomConversion!$E$8:$E$500,MID(Z166,1,3)*1,UomConversion!$I$8:$I$500,1))</f>
        <v>1</v>
      </c>
      <c r="BB166" s="1217">
        <f t="shared" si="141"/>
        <v>9</v>
      </c>
      <c r="BC166" s="1217">
        <f t="shared" si="153"/>
        <v>-4.5</v>
      </c>
      <c r="BD166" s="1217"/>
    </row>
    <row r="167" spans="2:56" s="1120" customFormat="1" ht="24.95" customHeight="1">
      <c r="B167" s="445"/>
      <c r="C167" s="843">
        <v>148</v>
      </c>
      <c r="D167" s="843"/>
      <c r="E167" s="843"/>
      <c r="F167" s="1116" t="s">
        <v>2611</v>
      </c>
      <c r="G167" s="1117" t="s">
        <v>2611</v>
      </c>
      <c r="H167" s="868" t="s">
        <v>3124</v>
      </c>
      <c r="I167" s="1118" t="s">
        <v>3124</v>
      </c>
      <c r="J167" s="1138" t="s">
        <v>2965</v>
      </c>
      <c r="K167" s="1138" t="s">
        <v>2976</v>
      </c>
      <c r="L167" s="870" t="s">
        <v>2307</v>
      </c>
      <c r="M167" s="868" t="s">
        <v>2174</v>
      </c>
      <c r="N167" s="1118"/>
      <c r="O167" s="1119">
        <v>0.9</v>
      </c>
      <c r="P167" s="884">
        <v>1.5</v>
      </c>
      <c r="Q167" s="885"/>
      <c r="R167" s="843">
        <v>1</v>
      </c>
      <c r="S167" s="843">
        <v>0</v>
      </c>
      <c r="T167" s="843">
        <v>1</v>
      </c>
      <c r="U167" s="843">
        <v>0</v>
      </c>
      <c r="V167" s="843">
        <v>0</v>
      </c>
      <c r="W167" s="843">
        <v>1</v>
      </c>
      <c r="X167" s="870" t="s">
        <v>2939</v>
      </c>
      <c r="Y167" s="843" t="str">
        <f>IF(OR(ISNA(MATCH(MID(X167,1,3)*1,UomConversion!$D$8:$D$500,0)),H167=""),"",IF(AV167="","",AV167))</f>
        <v/>
      </c>
      <c r="Z167" s="843" t="str">
        <f>IF(AND(AU167&gt;0,COUNTIFS(UomConversion!$D$8:$D$500,MID(X167,1,3)*1,UomConversion!$J$8:$J$500,1)&gt;1),TEXT(AU167,"000")&amp;"."&amp;VLOOKUP(AU167,uom_list,5,FALSE),"")</f>
        <v/>
      </c>
      <c r="AA167" s="843">
        <f t="shared" si="147"/>
        <v>1</v>
      </c>
      <c r="AB167" s="843" t="str">
        <f t="shared" si="151"/>
        <v>2</v>
      </c>
      <c r="AC167" s="843">
        <f t="shared" ref="AC167" si="171">import_pro_number_of_price_type</f>
        <v>2</v>
      </c>
      <c r="AD167" s="1214">
        <v>0</v>
      </c>
      <c r="AE167" s="1214">
        <v>1.5</v>
      </c>
      <c r="AF167" s="1215"/>
      <c r="AG167" s="1215"/>
      <c r="AH167" s="1215"/>
      <c r="AI167" s="1215"/>
      <c r="AJ167" s="1216"/>
      <c r="AK167" s="1216"/>
      <c r="AL167" s="1216"/>
      <c r="AM167" s="1216"/>
      <c r="AN167" s="1216"/>
      <c r="AO167" s="1216"/>
      <c r="AP167" s="1216"/>
      <c r="AQ167" s="1216"/>
      <c r="AR167" s="1216"/>
      <c r="AS167" s="1216"/>
      <c r="AT167" s="1216"/>
      <c r="AU167" s="1120" cm="1">
        <f t="array" ref="AU167">IF(H167="","",Slookup(MID(X167,1,3)*1,UomConversion!$D$8:$J$500,2,UomConversion!$I$8:$I$500,1,UomConversion!$J$8:$J$500,1))</f>
        <v>0</v>
      </c>
      <c r="AV167" s="401" t="str">
        <f t="shared" si="149"/>
        <v/>
      </c>
      <c r="AW167" s="757">
        <f t="shared" si="150"/>
        <v>2</v>
      </c>
      <c r="AX167" s="757" t="str">
        <f t="shared" si="150"/>
        <v/>
      </c>
      <c r="AY167" s="757" t="str">
        <f t="shared" si="150"/>
        <v/>
      </c>
      <c r="AZ167" s="1209" cm="1">
        <f t="array" ref="AZ167">IF(Y167="",1,Slookup(MID(X167,1,3)*1,UomConversion!$D$8:$J$500,5,UomConversion!$E$8:$E$500,MID(Y167,1,3)*1,UomConversion!$I$8:$I$500,1))</f>
        <v>1</v>
      </c>
      <c r="BA167" s="1209" cm="1">
        <f t="array" ref="BA167">IF(Z167="",1,Slookup(MID(X167,1,3)*1,UomConversion!$D$8:$J$500,5,UomConversion!$E$8:$E$500,MID(Z167,1,3)*1,UomConversion!$I$8:$I$500,1))</f>
        <v>1</v>
      </c>
      <c r="BB167" s="1217">
        <f t="shared" si="141"/>
        <v>1.5</v>
      </c>
      <c r="BC167" s="1217">
        <f t="shared" si="153"/>
        <v>0.6</v>
      </c>
      <c r="BD167" s="1217"/>
    </row>
    <row r="168" spans="2:56" s="1120" customFormat="1" ht="24.95" customHeight="1">
      <c r="B168" s="445"/>
      <c r="C168" s="843">
        <v>149</v>
      </c>
      <c r="D168" s="843"/>
      <c r="E168" s="843"/>
      <c r="F168" s="1116" t="s">
        <v>2614</v>
      </c>
      <c r="G168" s="1117" t="s">
        <v>2614</v>
      </c>
      <c r="H168" s="868" t="s">
        <v>3125</v>
      </c>
      <c r="I168" s="1118" t="s">
        <v>3125</v>
      </c>
      <c r="J168" s="1138" t="s">
        <v>2966</v>
      </c>
      <c r="K168" s="1138" t="s">
        <v>2976</v>
      </c>
      <c r="L168" s="870" t="s">
        <v>2729</v>
      </c>
      <c r="M168" s="868" t="s">
        <v>2174</v>
      </c>
      <c r="N168" s="1118"/>
      <c r="O168" s="1119">
        <v>4.8</v>
      </c>
      <c r="P168" s="884">
        <v>0.5</v>
      </c>
      <c r="Q168" s="885"/>
      <c r="R168" s="843" t="s">
        <v>36</v>
      </c>
      <c r="S168" s="843">
        <v>0</v>
      </c>
      <c r="T168" s="843">
        <v>1</v>
      </c>
      <c r="U168" s="843">
        <v>0</v>
      </c>
      <c r="V168" s="843">
        <v>0</v>
      </c>
      <c r="W168" s="843">
        <v>1</v>
      </c>
      <c r="X168" s="870" t="s">
        <v>2928</v>
      </c>
      <c r="Y168" s="843" t="str">
        <f>IF(OR(ISNA(MATCH(MID(X168,1,3)*1,UomConversion!$D$8:$D$500,0)),H168=""),"",IF(AV168="","",AV168))</f>
        <v>008.Pair</v>
      </c>
      <c r="Z168" s="843" t="str">
        <f>IF(AND(AU168&gt;0,COUNTIFS(UomConversion!$D$8:$D$500,MID(X168,1,3)*1,UomConversion!$J$8:$J$500,1)&gt;1),TEXT(AU168,"000")&amp;"."&amp;VLOOKUP(AU168,uom_list,5,FALSE),"")</f>
        <v/>
      </c>
      <c r="AA168" s="843">
        <f t="shared" si="147"/>
        <v>2</v>
      </c>
      <c r="AB168" s="843" t="str">
        <f t="shared" si="151"/>
        <v>48,8</v>
      </c>
      <c r="AC168" s="843">
        <f t="shared" ref="AC168" si="172">import_pro_number_of_price_type</f>
        <v>2</v>
      </c>
      <c r="AD168" s="1214">
        <v>0</v>
      </c>
      <c r="AE168" s="1214">
        <v>0.5</v>
      </c>
      <c r="AF168" s="1215"/>
      <c r="AG168" s="1215"/>
      <c r="AH168" s="1215"/>
      <c r="AI168" s="1215"/>
      <c r="AJ168" s="1216"/>
      <c r="AK168" s="1216"/>
      <c r="AL168" s="1216"/>
      <c r="AM168" s="1216"/>
      <c r="AN168" s="1216"/>
      <c r="AO168" s="1216"/>
      <c r="AP168" s="1216"/>
      <c r="AQ168" s="1216"/>
      <c r="AR168" s="1216"/>
      <c r="AS168" s="1216"/>
      <c r="AT168" s="1216"/>
      <c r="AU168" s="1120" cm="1">
        <f t="array" ref="AU168">IF(H168="","",Slookup(MID(X168,1,3)*1,UomConversion!$D$8:$J$500,2,UomConversion!$I$8:$I$500,1,UomConversion!$J$8:$J$500,1))</f>
        <v>8</v>
      </c>
      <c r="AV168" s="401" t="str">
        <f t="shared" si="149"/>
        <v>008.Pair</v>
      </c>
      <c r="AW168" s="757">
        <f t="shared" si="150"/>
        <v>48</v>
      </c>
      <c r="AX168" s="757">
        <f t="shared" si="150"/>
        <v>8</v>
      </c>
      <c r="AY168" s="757" t="str">
        <f t="shared" si="150"/>
        <v/>
      </c>
      <c r="AZ168" s="1209" cm="1">
        <f t="array" ref="AZ168">IF(Y168="",1,Slookup(MID(X168,1,3)*1,UomConversion!$D$8:$J$500,5,UomConversion!$E$8:$E$500,MID(Y168,1,3)*1,UomConversion!$I$8:$I$500,1))</f>
        <v>12</v>
      </c>
      <c r="BA168" s="1209" cm="1">
        <f t="array" ref="BA168">IF(Z168="",1,Slookup(MID(X168,1,3)*1,UomConversion!$D$8:$J$500,5,UomConversion!$E$8:$E$500,MID(Z168,1,3)*1,UomConversion!$I$8:$I$500,1))</f>
        <v>1</v>
      </c>
      <c r="BB168" s="1217">
        <f t="shared" si="141"/>
        <v>6</v>
      </c>
      <c r="BC168" s="1217">
        <f t="shared" si="153"/>
        <v>-4.3</v>
      </c>
      <c r="BD168" s="1217"/>
    </row>
    <row r="169" spans="2:56" s="1120" customFormat="1" ht="24.95" customHeight="1">
      <c r="B169" s="445"/>
      <c r="C169" s="843">
        <v>150</v>
      </c>
      <c r="D169" s="843"/>
      <c r="E169" s="843"/>
      <c r="F169" s="1116" t="s">
        <v>2616</v>
      </c>
      <c r="G169" s="1117" t="s">
        <v>2616</v>
      </c>
      <c r="H169" s="868" t="s">
        <v>3126</v>
      </c>
      <c r="I169" s="1118" t="s">
        <v>3126</v>
      </c>
      <c r="J169" s="1138" t="s">
        <v>2966</v>
      </c>
      <c r="K169" s="1138" t="s">
        <v>2976</v>
      </c>
      <c r="L169" s="870" t="s">
        <v>2729</v>
      </c>
      <c r="M169" s="868" t="s">
        <v>2174</v>
      </c>
      <c r="N169" s="1118"/>
      <c r="O169" s="1119">
        <v>1.56</v>
      </c>
      <c r="P169" s="884">
        <v>0.25</v>
      </c>
      <c r="Q169" s="885"/>
      <c r="R169" s="843" t="s">
        <v>36</v>
      </c>
      <c r="S169" s="843">
        <v>0</v>
      </c>
      <c r="T169" s="843">
        <v>1</v>
      </c>
      <c r="U169" s="843">
        <v>0</v>
      </c>
      <c r="V169" s="843">
        <v>0</v>
      </c>
      <c r="W169" s="843">
        <v>1</v>
      </c>
      <c r="X169" s="870" t="s">
        <v>2928</v>
      </c>
      <c r="Y169" s="843" t="str">
        <f>IF(OR(ISNA(MATCH(MID(X169,1,3)*1,UomConversion!$D$8:$D$500,0)),H169=""),"",IF(AV169="","",AV169))</f>
        <v>008.Pair</v>
      </c>
      <c r="Z169" s="843" t="str">
        <f>IF(AND(AU169&gt;0,COUNTIFS(UomConversion!$D$8:$D$500,MID(X169,1,3)*1,UomConversion!$J$8:$J$500,1)&gt;1),TEXT(AU169,"000")&amp;"."&amp;VLOOKUP(AU169,uom_list,5,FALSE),"")</f>
        <v/>
      </c>
      <c r="AA169" s="843">
        <f t="shared" si="147"/>
        <v>2</v>
      </c>
      <c r="AB169" s="843" t="str">
        <f t="shared" si="151"/>
        <v>48,8</v>
      </c>
      <c r="AC169" s="843">
        <f t="shared" ref="AC169" si="173">import_pro_number_of_price_type</f>
        <v>2</v>
      </c>
      <c r="AD169" s="1214">
        <v>0</v>
      </c>
      <c r="AE169" s="1214">
        <v>0.25</v>
      </c>
      <c r="AF169" s="1215"/>
      <c r="AG169" s="1215"/>
      <c r="AH169" s="1215"/>
      <c r="AI169" s="1215"/>
      <c r="AJ169" s="1216"/>
      <c r="AK169" s="1216"/>
      <c r="AL169" s="1216"/>
      <c r="AM169" s="1216"/>
      <c r="AN169" s="1216"/>
      <c r="AO169" s="1216"/>
      <c r="AP169" s="1216"/>
      <c r="AQ169" s="1216"/>
      <c r="AR169" s="1216"/>
      <c r="AS169" s="1216"/>
      <c r="AT169" s="1216"/>
      <c r="AU169" s="1120" cm="1">
        <f t="array" ref="AU169">IF(H169="","",Slookup(MID(X169,1,3)*1,UomConversion!$D$8:$J$500,2,UomConversion!$I$8:$I$500,1,UomConversion!$J$8:$J$500,1))</f>
        <v>8</v>
      </c>
      <c r="AV169" s="401" t="str">
        <f t="shared" si="149"/>
        <v>008.Pair</v>
      </c>
      <c r="AW169" s="757">
        <f t="shared" si="150"/>
        <v>48</v>
      </c>
      <c r="AX169" s="757">
        <f t="shared" si="150"/>
        <v>8</v>
      </c>
      <c r="AY169" s="757" t="str">
        <f t="shared" si="150"/>
        <v/>
      </c>
      <c r="AZ169" s="1209" cm="1">
        <f t="array" ref="AZ169">IF(Y169="",1,Slookup(MID(X169,1,3)*1,UomConversion!$D$8:$J$500,5,UomConversion!$E$8:$E$500,MID(Y169,1,3)*1,UomConversion!$I$8:$I$500,1))</f>
        <v>12</v>
      </c>
      <c r="BA169" s="1209" cm="1">
        <f t="array" ref="BA169">IF(Z169="",1,Slookup(MID(X169,1,3)*1,UomConversion!$D$8:$J$500,5,UomConversion!$E$8:$E$500,MID(Z169,1,3)*1,UomConversion!$I$8:$I$500,1))</f>
        <v>1</v>
      </c>
      <c r="BB169" s="1217">
        <f t="shared" si="141"/>
        <v>3</v>
      </c>
      <c r="BC169" s="1217">
        <f t="shared" si="153"/>
        <v>-1.31</v>
      </c>
      <c r="BD169" s="1217"/>
    </row>
    <row r="170" spans="2:56" s="1120" customFormat="1" ht="24.95" customHeight="1">
      <c r="B170" s="445"/>
      <c r="C170" s="843">
        <v>151</v>
      </c>
      <c r="D170" s="843"/>
      <c r="E170" s="843"/>
      <c r="F170" s="1116" t="s">
        <v>2948</v>
      </c>
      <c r="G170" s="1117" t="s">
        <v>2948</v>
      </c>
      <c r="H170" s="868" t="s">
        <v>3127</v>
      </c>
      <c r="I170" s="1118" t="s">
        <v>3127</v>
      </c>
      <c r="J170" s="1138" t="s">
        <v>2967</v>
      </c>
      <c r="K170" s="1138" t="s">
        <v>2977</v>
      </c>
      <c r="L170" s="870" t="s">
        <v>2840</v>
      </c>
      <c r="M170" s="868" t="s">
        <v>2309</v>
      </c>
      <c r="N170" s="1118"/>
      <c r="O170" s="1119">
        <v>49</v>
      </c>
      <c r="P170" s="884">
        <v>52</v>
      </c>
      <c r="Q170" s="885"/>
      <c r="R170" s="843">
        <v>1</v>
      </c>
      <c r="S170" s="843">
        <v>0</v>
      </c>
      <c r="T170" s="843">
        <v>1</v>
      </c>
      <c r="U170" s="843">
        <v>0</v>
      </c>
      <c r="V170" s="843">
        <v>0</v>
      </c>
      <c r="W170" s="843">
        <v>1</v>
      </c>
      <c r="X170" s="870" t="s">
        <v>2929</v>
      </c>
      <c r="Y170" s="843" t="str">
        <f>IF(OR(ISNA(MATCH(MID(X170,1,3)*1,UomConversion!$D$8:$D$500,0)),H170=""),"",IF(AV170="","",AV170))</f>
        <v/>
      </c>
      <c r="Z170" s="843" t="str">
        <f>IF(AND(AU170&gt;0,COUNTIFS(UomConversion!$D$8:$D$500,MID(X170,1,3)*1,UomConversion!$J$8:$J$500,1)&gt;1),TEXT(AU170,"000")&amp;"."&amp;VLOOKUP(AU170,uom_list,5,FALSE),"")</f>
        <v/>
      </c>
      <c r="AA170" s="843">
        <f t="shared" si="147"/>
        <v>1</v>
      </c>
      <c r="AB170" s="843" t="str">
        <f t="shared" si="151"/>
        <v>28</v>
      </c>
      <c r="AC170" s="843">
        <f t="shared" ref="AC170" si="174">import_pro_number_of_price_type</f>
        <v>2</v>
      </c>
      <c r="AD170" s="1214">
        <v>0</v>
      </c>
      <c r="AE170" s="1214">
        <v>52</v>
      </c>
      <c r="AF170" s="1215"/>
      <c r="AG170" s="1215"/>
      <c r="AH170" s="1215"/>
      <c r="AI170" s="1215"/>
      <c r="AJ170" s="1216"/>
      <c r="AK170" s="1216"/>
      <c r="AL170" s="1216"/>
      <c r="AM170" s="1216"/>
      <c r="AN170" s="1216"/>
      <c r="AO170" s="1216"/>
      <c r="AP170" s="1216"/>
      <c r="AQ170" s="1216"/>
      <c r="AR170" s="1216"/>
      <c r="AS170" s="1216"/>
      <c r="AT170" s="1216"/>
      <c r="AU170" s="1120" cm="1">
        <f t="array" ref="AU170">IF(H170="","",Slookup(MID(X170,1,3)*1,UomConversion!$D$8:$J$500,2,UomConversion!$I$8:$I$500,1,UomConversion!$J$8:$J$500,1))</f>
        <v>0</v>
      </c>
      <c r="AV170" s="401" t="str">
        <f t="shared" si="149"/>
        <v/>
      </c>
      <c r="AW170" s="757">
        <f t="shared" si="150"/>
        <v>28</v>
      </c>
      <c r="AX170" s="757" t="str">
        <f t="shared" si="150"/>
        <v/>
      </c>
      <c r="AY170" s="757" t="str">
        <f t="shared" si="150"/>
        <v/>
      </c>
      <c r="AZ170" s="1209" cm="1">
        <f t="array" ref="AZ170">IF(Y170="",1,Slookup(MID(X170,1,3)*1,UomConversion!$D$8:$J$500,5,UomConversion!$E$8:$E$500,MID(Y170,1,3)*1,UomConversion!$I$8:$I$500,1))</f>
        <v>1</v>
      </c>
      <c r="BA170" s="1209" cm="1">
        <f t="array" ref="BA170">IF(Z170="",1,Slookup(MID(X170,1,3)*1,UomConversion!$D$8:$J$500,5,UomConversion!$E$8:$E$500,MID(Z170,1,3)*1,UomConversion!$I$8:$I$500,1))</f>
        <v>1</v>
      </c>
      <c r="BB170" s="1217">
        <f t="shared" si="141"/>
        <v>52</v>
      </c>
      <c r="BC170" s="1217">
        <f t="shared" si="153"/>
        <v>3</v>
      </c>
      <c r="BD170" s="1217"/>
    </row>
    <row r="171" spans="2:56" s="1120" customFormat="1" ht="24.95" customHeight="1">
      <c r="B171" s="445"/>
      <c r="C171" s="843">
        <v>152</v>
      </c>
      <c r="D171" s="843"/>
      <c r="E171" s="843"/>
      <c r="F171" s="1116" t="s">
        <v>2619</v>
      </c>
      <c r="G171" s="1117" t="s">
        <v>2619</v>
      </c>
      <c r="H171" s="868" t="s">
        <v>3128</v>
      </c>
      <c r="I171" s="1118" t="s">
        <v>3128</v>
      </c>
      <c r="J171" s="1138" t="s">
        <v>2967</v>
      </c>
      <c r="K171" s="1138" t="s">
        <v>2977</v>
      </c>
      <c r="L171" s="870" t="s">
        <v>2849</v>
      </c>
      <c r="M171" s="868" t="s">
        <v>2309</v>
      </c>
      <c r="N171" s="1118"/>
      <c r="O171" s="1119">
        <v>45</v>
      </c>
      <c r="P171" s="884">
        <v>11.5</v>
      </c>
      <c r="Q171" s="885"/>
      <c r="R171" s="843" t="s">
        <v>56</v>
      </c>
      <c r="S171" s="843">
        <v>0</v>
      </c>
      <c r="T171" s="843">
        <v>1</v>
      </c>
      <c r="U171" s="843">
        <v>0</v>
      </c>
      <c r="V171" s="843">
        <v>0</v>
      </c>
      <c r="W171" s="843">
        <v>1</v>
      </c>
      <c r="X171" s="870" t="s">
        <v>2930</v>
      </c>
      <c r="Y171" s="843" t="str">
        <f>IF(OR(ISNA(MATCH(MID(X171,1,3)*1,UomConversion!$D$8:$D$500,0)),H171=""),"",IF(AV171="","",AV171))</f>
        <v>002.pcs</v>
      </c>
      <c r="Z171" s="843" t="str">
        <f>IF(AND(AU171&gt;0,COUNTIFS(UomConversion!$D$8:$D$500,MID(X171,1,3)*1,UomConversion!$J$8:$J$500,1)&gt;1),TEXT(AU171,"000")&amp;"."&amp;VLOOKUP(AU171,uom_list,5,FALSE),"")</f>
        <v/>
      </c>
      <c r="AA171" s="843">
        <f t="shared" si="147"/>
        <v>2</v>
      </c>
      <c r="AB171" s="843" t="str">
        <f t="shared" si="151"/>
        <v>29,2</v>
      </c>
      <c r="AC171" s="843">
        <f t="shared" ref="AC171" si="175">import_pro_number_of_price_type</f>
        <v>2</v>
      </c>
      <c r="AD171" s="1214">
        <v>0</v>
      </c>
      <c r="AE171" s="1214">
        <v>11.5</v>
      </c>
      <c r="AF171" s="1215"/>
      <c r="AG171" s="1215"/>
      <c r="AH171" s="1215"/>
      <c r="AI171" s="1215"/>
      <c r="AJ171" s="1216"/>
      <c r="AK171" s="1216"/>
      <c r="AL171" s="1216"/>
      <c r="AM171" s="1216"/>
      <c r="AN171" s="1216"/>
      <c r="AO171" s="1216"/>
      <c r="AP171" s="1216"/>
      <c r="AQ171" s="1216"/>
      <c r="AR171" s="1216"/>
      <c r="AS171" s="1216"/>
      <c r="AT171" s="1216"/>
      <c r="AU171" s="1120" cm="1">
        <f t="array" ref="AU171">IF(H171="","",Slookup(MID(X171,1,3)*1,UomConversion!$D$8:$J$500,2,UomConversion!$I$8:$I$500,1,UomConversion!$J$8:$J$500,1))</f>
        <v>2</v>
      </c>
      <c r="AV171" s="401" t="str">
        <f t="shared" si="149"/>
        <v>002.pcs</v>
      </c>
      <c r="AW171" s="757">
        <f t="shared" si="150"/>
        <v>29</v>
      </c>
      <c r="AX171" s="757">
        <f t="shared" si="150"/>
        <v>2</v>
      </c>
      <c r="AY171" s="757" t="str">
        <f t="shared" si="150"/>
        <v/>
      </c>
      <c r="AZ171" s="1209" cm="1">
        <f t="array" ref="AZ171">IF(Y171="",1,Slookup(MID(X171,1,3)*1,UomConversion!$D$8:$J$500,5,UomConversion!$E$8:$E$500,MID(Y171,1,3)*1,UomConversion!$I$8:$I$500,1))</f>
        <v>4</v>
      </c>
      <c r="BA171" s="1209" cm="1">
        <f t="array" ref="BA171">IF(Z171="",1,Slookup(MID(X171,1,3)*1,UomConversion!$D$8:$J$500,5,UomConversion!$E$8:$E$500,MID(Z171,1,3)*1,UomConversion!$I$8:$I$500,1))</f>
        <v>1</v>
      </c>
      <c r="BB171" s="1217">
        <f t="shared" si="141"/>
        <v>46</v>
      </c>
      <c r="BC171" s="1217">
        <f t="shared" si="153"/>
        <v>-33.5</v>
      </c>
      <c r="BD171" s="1217"/>
    </row>
    <row r="172" spans="2:56" s="1120" customFormat="1" ht="24.95" customHeight="1">
      <c r="B172" s="445"/>
      <c r="C172" s="843">
        <v>153</v>
      </c>
      <c r="D172" s="843"/>
      <c r="E172" s="843"/>
      <c r="F172" s="1116" t="s">
        <v>2621</v>
      </c>
      <c r="G172" s="1117" t="s">
        <v>2621</v>
      </c>
      <c r="H172" s="868" t="s">
        <v>3129</v>
      </c>
      <c r="I172" s="1118" t="s">
        <v>3129</v>
      </c>
      <c r="J172" s="1138" t="s">
        <v>2967</v>
      </c>
      <c r="K172" s="1138" t="s">
        <v>2977</v>
      </c>
      <c r="L172" s="870" t="s">
        <v>2841</v>
      </c>
      <c r="M172" s="868" t="s">
        <v>2309</v>
      </c>
      <c r="N172" s="1118"/>
      <c r="O172" s="1119">
        <v>39.6</v>
      </c>
      <c r="P172" s="884">
        <v>3.75</v>
      </c>
      <c r="Q172" s="885"/>
      <c r="R172" s="843" t="s">
        <v>36</v>
      </c>
      <c r="S172" s="843">
        <v>0</v>
      </c>
      <c r="T172" s="843">
        <v>1</v>
      </c>
      <c r="U172" s="843">
        <v>0</v>
      </c>
      <c r="V172" s="843">
        <v>0</v>
      </c>
      <c r="W172" s="843">
        <v>1</v>
      </c>
      <c r="X172" s="870" t="s">
        <v>2931</v>
      </c>
      <c r="Y172" s="843" t="str">
        <f>IF(OR(ISNA(MATCH(MID(X172,1,3)*1,UomConversion!$D$8:$D$500,0)),H172=""),"",IF(AV172="","",AV172))</f>
        <v>002.pcs</v>
      </c>
      <c r="Z172" s="843" t="str">
        <f>IF(AND(AU172&gt;0,COUNTIFS(UomConversion!$D$8:$D$500,MID(X172,1,3)*1,UomConversion!$J$8:$J$500,1)&gt;1),TEXT(AU172,"000")&amp;"."&amp;VLOOKUP(AU172,uom_list,5,FALSE),"")</f>
        <v/>
      </c>
      <c r="AA172" s="843">
        <f t="shared" si="147"/>
        <v>2</v>
      </c>
      <c r="AB172" s="843" t="str">
        <f t="shared" si="151"/>
        <v>30,2</v>
      </c>
      <c r="AC172" s="843">
        <f t="shared" ref="AC172" si="176">import_pro_number_of_price_type</f>
        <v>2</v>
      </c>
      <c r="AD172" s="1214">
        <v>0</v>
      </c>
      <c r="AE172" s="1214">
        <v>3.75</v>
      </c>
      <c r="AF172" s="1215"/>
      <c r="AG172" s="1215"/>
      <c r="AH172" s="1215"/>
      <c r="AI172" s="1215"/>
      <c r="AJ172" s="1216"/>
      <c r="AK172" s="1216"/>
      <c r="AL172" s="1216"/>
      <c r="AM172" s="1216"/>
      <c r="AN172" s="1216"/>
      <c r="AO172" s="1216"/>
      <c r="AP172" s="1216"/>
      <c r="AQ172" s="1216"/>
      <c r="AR172" s="1216"/>
      <c r="AS172" s="1216"/>
      <c r="AT172" s="1216"/>
      <c r="AU172" s="1120" cm="1">
        <f t="array" ref="AU172">IF(H172="","",Slookup(MID(X172,1,3)*1,UomConversion!$D$8:$J$500,2,UomConversion!$I$8:$I$500,1,UomConversion!$J$8:$J$500,1))</f>
        <v>2</v>
      </c>
      <c r="AV172" s="401" t="str">
        <f t="shared" si="149"/>
        <v>002.pcs</v>
      </c>
      <c r="AW172" s="757">
        <f t="shared" si="150"/>
        <v>30</v>
      </c>
      <c r="AX172" s="757">
        <f t="shared" si="150"/>
        <v>2</v>
      </c>
      <c r="AY172" s="757" t="str">
        <f t="shared" si="150"/>
        <v/>
      </c>
      <c r="AZ172" s="1209" cm="1">
        <f t="array" ref="AZ172">IF(Y172="",1,Slookup(MID(X172,1,3)*1,UomConversion!$D$8:$J$500,5,UomConversion!$E$8:$E$500,MID(Y172,1,3)*1,UomConversion!$I$8:$I$500,1))</f>
        <v>12</v>
      </c>
      <c r="BA172" s="1209" cm="1">
        <f t="array" ref="BA172">IF(Z172="",1,Slookup(MID(X172,1,3)*1,UomConversion!$D$8:$J$500,5,UomConversion!$E$8:$E$500,MID(Z172,1,3)*1,UomConversion!$I$8:$I$500,1))</f>
        <v>1</v>
      </c>
      <c r="BB172" s="1217">
        <f t="shared" si="141"/>
        <v>45</v>
      </c>
      <c r="BC172" s="1217">
        <f t="shared" si="153"/>
        <v>-35.85</v>
      </c>
      <c r="BD172" s="1217"/>
    </row>
    <row r="173" spans="2:56" s="1120" customFormat="1" ht="24.95" customHeight="1">
      <c r="B173" s="445"/>
      <c r="C173" s="843">
        <v>154</v>
      </c>
      <c r="D173" s="843"/>
      <c r="E173" s="843"/>
      <c r="F173" s="1116" t="s">
        <v>2623</v>
      </c>
      <c r="G173" s="1117" t="s">
        <v>2623</v>
      </c>
      <c r="H173" s="868" t="s">
        <v>3130</v>
      </c>
      <c r="I173" s="1118" t="s">
        <v>3130</v>
      </c>
      <c r="J173" s="1138" t="s">
        <v>2967</v>
      </c>
      <c r="K173" s="1138" t="s">
        <v>2977</v>
      </c>
      <c r="L173" s="870" t="s">
        <v>2839</v>
      </c>
      <c r="M173" s="868" t="s">
        <v>2309</v>
      </c>
      <c r="N173" s="1118"/>
      <c r="O173" s="1119">
        <v>66</v>
      </c>
      <c r="P173" s="884">
        <v>68</v>
      </c>
      <c r="Q173" s="885"/>
      <c r="R173" s="843">
        <v>1</v>
      </c>
      <c r="S173" s="843">
        <v>0</v>
      </c>
      <c r="T173" s="843">
        <v>1</v>
      </c>
      <c r="U173" s="843">
        <v>0</v>
      </c>
      <c r="V173" s="843">
        <v>0</v>
      </c>
      <c r="W173" s="843">
        <v>1</v>
      </c>
      <c r="X173" s="870" t="s">
        <v>2932</v>
      </c>
      <c r="Y173" s="843" t="str">
        <f>IF(OR(ISNA(MATCH(MID(X173,1,3)*1,UomConversion!$D$8:$D$500,0)),H173=""),"",IF(AV173="","",AV173))</f>
        <v/>
      </c>
      <c r="Z173" s="843" t="str">
        <f>IF(AND(AU173&gt;0,COUNTIFS(UomConversion!$D$8:$D$500,MID(X173,1,3)*1,UomConversion!$J$8:$J$500,1)&gt;1),TEXT(AU173,"000")&amp;"."&amp;VLOOKUP(AU173,uom_list,5,FALSE),"")</f>
        <v/>
      </c>
      <c r="AA173" s="843">
        <f t="shared" si="147"/>
        <v>1</v>
      </c>
      <c r="AB173" s="843" t="str">
        <f t="shared" si="151"/>
        <v>27</v>
      </c>
      <c r="AC173" s="843">
        <f t="shared" ref="AC173" si="177">import_pro_number_of_price_type</f>
        <v>2</v>
      </c>
      <c r="AD173" s="1214">
        <v>0</v>
      </c>
      <c r="AE173" s="1214">
        <v>68</v>
      </c>
      <c r="AF173" s="1215"/>
      <c r="AG173" s="1215"/>
      <c r="AH173" s="1215"/>
      <c r="AI173" s="1215"/>
      <c r="AJ173" s="1216"/>
      <c r="AK173" s="1216"/>
      <c r="AL173" s="1216"/>
      <c r="AM173" s="1216"/>
      <c r="AN173" s="1216"/>
      <c r="AO173" s="1216"/>
      <c r="AP173" s="1216"/>
      <c r="AQ173" s="1216"/>
      <c r="AR173" s="1216"/>
      <c r="AS173" s="1216"/>
      <c r="AT173" s="1216"/>
      <c r="AU173" s="1120" cm="1">
        <f t="array" ref="AU173">IF(H173="","",Slookup(MID(X173,1,3)*1,UomConversion!$D$8:$J$500,2,UomConversion!$I$8:$I$500,1,UomConversion!$J$8:$J$500,1))</f>
        <v>0</v>
      </c>
      <c r="AV173" s="401" t="str">
        <f t="shared" si="149"/>
        <v/>
      </c>
      <c r="AW173" s="757">
        <f t="shared" si="150"/>
        <v>27</v>
      </c>
      <c r="AX173" s="757" t="str">
        <f t="shared" si="150"/>
        <v/>
      </c>
      <c r="AY173" s="757" t="str">
        <f t="shared" si="150"/>
        <v/>
      </c>
      <c r="AZ173" s="1209" cm="1">
        <f t="array" ref="AZ173">IF(Y173="",1,Slookup(MID(X173,1,3)*1,UomConversion!$D$8:$J$500,5,UomConversion!$E$8:$E$500,MID(Y173,1,3)*1,UomConversion!$I$8:$I$500,1))</f>
        <v>1</v>
      </c>
      <c r="BA173" s="1209" cm="1">
        <f t="array" ref="BA173">IF(Z173="",1,Slookup(MID(X173,1,3)*1,UomConversion!$D$8:$J$500,5,UomConversion!$E$8:$E$500,MID(Z173,1,3)*1,UomConversion!$I$8:$I$500,1))</f>
        <v>1</v>
      </c>
      <c r="BB173" s="1217">
        <f t="shared" si="141"/>
        <v>68</v>
      </c>
      <c r="BC173" s="1217">
        <f t="shared" si="153"/>
        <v>2</v>
      </c>
      <c r="BD173" s="1217"/>
    </row>
    <row r="174" spans="2:56" s="1120" customFormat="1" ht="24.95" customHeight="1">
      <c r="B174" s="445"/>
      <c r="C174" s="843">
        <v>155</v>
      </c>
      <c r="D174" s="843"/>
      <c r="E174" s="843"/>
      <c r="F174" s="1116" t="s">
        <v>2625</v>
      </c>
      <c r="G174" s="1117" t="s">
        <v>2625</v>
      </c>
      <c r="H174" s="868" t="s">
        <v>3131</v>
      </c>
      <c r="I174" s="1118" t="s">
        <v>3131</v>
      </c>
      <c r="J174" s="1138" t="s">
        <v>2967</v>
      </c>
      <c r="K174" s="1138" t="s">
        <v>2977</v>
      </c>
      <c r="L174" s="870" t="s">
        <v>2849</v>
      </c>
      <c r="M174" s="868" t="s">
        <v>2309</v>
      </c>
      <c r="N174" s="1118"/>
      <c r="O174" s="1119">
        <v>58</v>
      </c>
      <c r="P174" s="884">
        <v>15</v>
      </c>
      <c r="Q174" s="885"/>
      <c r="R174" s="843" t="s">
        <v>56</v>
      </c>
      <c r="S174" s="843">
        <v>0</v>
      </c>
      <c r="T174" s="843">
        <v>1</v>
      </c>
      <c r="U174" s="843">
        <v>0</v>
      </c>
      <c r="V174" s="843">
        <v>0</v>
      </c>
      <c r="W174" s="843">
        <v>1</v>
      </c>
      <c r="X174" s="870" t="s">
        <v>2933</v>
      </c>
      <c r="Y174" s="843" t="str">
        <f>IF(OR(ISNA(MATCH(MID(X174,1,3)*1,UomConversion!$D$8:$D$500,0)),H174=""),"",IF(AV174="","",AV174))</f>
        <v>009.Can</v>
      </c>
      <c r="Z174" s="843" t="str">
        <f>IF(AND(AU174&gt;0,COUNTIFS(UomConversion!$D$8:$D$500,MID(X174,1,3)*1,UomConversion!$J$8:$J$500,1)&gt;1),TEXT(AU174,"000")&amp;"."&amp;VLOOKUP(AU174,uom_list,5,FALSE),"")</f>
        <v/>
      </c>
      <c r="AA174" s="843">
        <f t="shared" si="147"/>
        <v>2</v>
      </c>
      <c r="AB174" s="843" t="str">
        <f t="shared" si="151"/>
        <v>42,9</v>
      </c>
      <c r="AC174" s="843">
        <f t="shared" ref="AC174" si="178">import_pro_number_of_price_type</f>
        <v>2</v>
      </c>
      <c r="AD174" s="1214">
        <v>0</v>
      </c>
      <c r="AE174" s="1214">
        <v>15</v>
      </c>
      <c r="AF174" s="1215"/>
      <c r="AG174" s="1215"/>
      <c r="AH174" s="1215"/>
      <c r="AI174" s="1215"/>
      <c r="AJ174" s="1216"/>
      <c r="AK174" s="1216"/>
      <c r="AL174" s="1216"/>
      <c r="AM174" s="1216"/>
      <c r="AN174" s="1216"/>
      <c r="AO174" s="1216"/>
      <c r="AP174" s="1216"/>
      <c r="AQ174" s="1216"/>
      <c r="AR174" s="1216"/>
      <c r="AS174" s="1216"/>
      <c r="AT174" s="1216"/>
      <c r="AU174" s="1120" cm="1">
        <f t="array" ref="AU174">IF(H174="","",Slookup(MID(X174,1,3)*1,UomConversion!$D$8:$J$500,2,UomConversion!$I$8:$I$500,1,UomConversion!$J$8:$J$500,1))</f>
        <v>9</v>
      </c>
      <c r="AV174" s="401" t="str">
        <f t="shared" si="149"/>
        <v>009.Can</v>
      </c>
      <c r="AW174" s="757">
        <f t="shared" si="150"/>
        <v>42</v>
      </c>
      <c r="AX174" s="757">
        <f t="shared" si="150"/>
        <v>9</v>
      </c>
      <c r="AY174" s="757" t="str">
        <f t="shared" si="150"/>
        <v/>
      </c>
      <c r="AZ174" s="1209" cm="1">
        <f t="array" ref="AZ174">IF(Y174="",1,Slookup(MID(X174,1,3)*1,UomConversion!$D$8:$J$500,5,UomConversion!$E$8:$E$500,MID(Y174,1,3)*1,UomConversion!$I$8:$I$500,1))</f>
        <v>4</v>
      </c>
      <c r="BA174" s="1209" cm="1">
        <f t="array" ref="BA174">IF(Z174="",1,Slookup(MID(X174,1,3)*1,UomConversion!$D$8:$J$500,5,UomConversion!$E$8:$E$500,MID(Z174,1,3)*1,UomConversion!$I$8:$I$500,1))</f>
        <v>1</v>
      </c>
      <c r="BB174" s="1217">
        <f t="shared" si="141"/>
        <v>60</v>
      </c>
      <c r="BC174" s="1217">
        <f t="shared" si="153"/>
        <v>-43</v>
      </c>
      <c r="BD174" s="1217"/>
    </row>
    <row r="175" spans="2:56" s="1120" customFormat="1" ht="24.95" customHeight="1">
      <c r="B175" s="445"/>
      <c r="C175" s="843">
        <v>156</v>
      </c>
      <c r="D175" s="843"/>
      <c r="E175" s="843"/>
      <c r="F175" s="1116" t="s">
        <v>2627</v>
      </c>
      <c r="G175" s="1117" t="s">
        <v>2627</v>
      </c>
      <c r="H175" s="868" t="s">
        <v>3132</v>
      </c>
      <c r="I175" s="1118" t="s">
        <v>3132</v>
      </c>
      <c r="J175" s="1138" t="s">
        <v>2967</v>
      </c>
      <c r="K175" s="1138" t="s">
        <v>2977</v>
      </c>
      <c r="L175" s="870" t="s">
        <v>2841</v>
      </c>
      <c r="M175" s="868" t="s">
        <v>2309</v>
      </c>
      <c r="N175" s="1118"/>
      <c r="O175" s="1119">
        <v>52.92</v>
      </c>
      <c r="P175" s="884">
        <v>4.8</v>
      </c>
      <c r="Q175" s="885"/>
      <c r="R175" s="843" t="s">
        <v>36</v>
      </c>
      <c r="S175" s="843">
        <v>0</v>
      </c>
      <c r="T175" s="843">
        <v>1</v>
      </c>
      <c r="U175" s="843">
        <v>0</v>
      </c>
      <c r="V175" s="843">
        <v>0</v>
      </c>
      <c r="W175" s="843">
        <v>1</v>
      </c>
      <c r="X175" s="870" t="s">
        <v>2934</v>
      </c>
      <c r="Y175" s="843" t="str">
        <f>IF(OR(ISNA(MATCH(MID(X175,1,3)*1,UomConversion!$D$8:$D$500,0)),H175=""),"",IF(AV175="","",AV175))</f>
        <v>009.Can</v>
      </c>
      <c r="Z175" s="843" t="str">
        <f>IF(AND(AU175&gt;0,COUNTIFS(UomConversion!$D$8:$D$500,MID(X175,1,3)*1,UomConversion!$J$8:$J$500,1)&gt;1),TEXT(AU175,"000")&amp;"."&amp;VLOOKUP(AU175,uom_list,5,FALSE),"")</f>
        <v/>
      </c>
      <c r="AA175" s="843">
        <f t="shared" si="147"/>
        <v>2</v>
      </c>
      <c r="AB175" s="843" t="str">
        <f t="shared" si="151"/>
        <v>43,9</v>
      </c>
      <c r="AC175" s="843">
        <f t="shared" ref="AC175" si="179">import_pro_number_of_price_type</f>
        <v>2</v>
      </c>
      <c r="AD175" s="1214">
        <v>0</v>
      </c>
      <c r="AE175" s="1214">
        <v>4.8</v>
      </c>
      <c r="AF175" s="1215"/>
      <c r="AG175" s="1215"/>
      <c r="AH175" s="1215"/>
      <c r="AI175" s="1215"/>
      <c r="AJ175" s="1216"/>
      <c r="AK175" s="1216"/>
      <c r="AL175" s="1216"/>
      <c r="AM175" s="1216"/>
      <c r="AN175" s="1216"/>
      <c r="AO175" s="1216"/>
      <c r="AP175" s="1216"/>
      <c r="AQ175" s="1216"/>
      <c r="AR175" s="1216"/>
      <c r="AS175" s="1216"/>
      <c r="AT175" s="1216"/>
      <c r="AU175" s="1120" cm="1">
        <f t="array" ref="AU175">IF(H175="","",Slookup(MID(X175,1,3)*1,UomConversion!$D$8:$J$500,2,UomConversion!$I$8:$I$500,1,UomConversion!$J$8:$J$500,1))</f>
        <v>9</v>
      </c>
      <c r="AV175" s="401" t="str">
        <f t="shared" si="149"/>
        <v>009.Can</v>
      </c>
      <c r="AW175" s="757">
        <f t="shared" si="150"/>
        <v>43</v>
      </c>
      <c r="AX175" s="757">
        <f t="shared" si="150"/>
        <v>9</v>
      </c>
      <c r="AY175" s="757" t="str">
        <f t="shared" si="150"/>
        <v/>
      </c>
      <c r="AZ175" s="1209" cm="1">
        <f t="array" ref="AZ175">IF(Y175="",1,Slookup(MID(X175,1,3)*1,UomConversion!$D$8:$J$500,5,UomConversion!$E$8:$E$500,MID(Y175,1,3)*1,UomConversion!$I$8:$I$500,1))</f>
        <v>12</v>
      </c>
      <c r="BA175" s="1209" cm="1">
        <f t="array" ref="BA175">IF(Z175="",1,Slookup(MID(X175,1,3)*1,UomConversion!$D$8:$J$500,5,UomConversion!$E$8:$E$500,MID(Z175,1,3)*1,UomConversion!$I$8:$I$500,1))</f>
        <v>1</v>
      </c>
      <c r="BB175" s="1217">
        <f t="shared" si="141"/>
        <v>57.599999999999994</v>
      </c>
      <c r="BC175" s="1217">
        <f t="shared" si="153"/>
        <v>-48.120000000000005</v>
      </c>
      <c r="BD175" s="1217"/>
    </row>
    <row r="176" spans="2:56" s="1120" customFormat="1" ht="24.95" customHeight="1">
      <c r="B176" s="445"/>
      <c r="C176" s="843">
        <v>157</v>
      </c>
      <c r="D176" s="843"/>
      <c r="E176" s="843"/>
      <c r="F176" s="1116" t="s">
        <v>2629</v>
      </c>
      <c r="G176" s="1117" t="s">
        <v>2629</v>
      </c>
      <c r="H176" s="868" t="s">
        <v>3133</v>
      </c>
      <c r="I176" s="1118" t="s">
        <v>3133</v>
      </c>
      <c r="J176" s="1138" t="s">
        <v>2967</v>
      </c>
      <c r="K176" s="1138" t="s">
        <v>2977</v>
      </c>
      <c r="L176" s="870" t="s">
        <v>2841</v>
      </c>
      <c r="M176" s="868" t="s">
        <v>2309</v>
      </c>
      <c r="N176" s="1118"/>
      <c r="O176" s="1119">
        <v>21</v>
      </c>
      <c r="P176" s="884">
        <v>2</v>
      </c>
      <c r="Q176" s="885"/>
      <c r="R176" s="843" t="s">
        <v>36</v>
      </c>
      <c r="S176" s="843">
        <v>0</v>
      </c>
      <c r="T176" s="843">
        <v>1</v>
      </c>
      <c r="U176" s="843">
        <v>0</v>
      </c>
      <c r="V176" s="843">
        <v>0</v>
      </c>
      <c r="W176" s="843">
        <v>1</v>
      </c>
      <c r="X176" s="870" t="s">
        <v>2934</v>
      </c>
      <c r="Y176" s="843" t="str">
        <f>IF(OR(ISNA(MATCH(MID(X176,1,3)*1,UomConversion!$D$8:$D$500,0)),H176=""),"",IF(AV176="","",AV176))</f>
        <v>009.Can</v>
      </c>
      <c r="Z176" s="843" t="str">
        <f>IF(AND(AU176&gt;0,COUNTIFS(UomConversion!$D$8:$D$500,MID(X176,1,3)*1,UomConversion!$J$8:$J$500,1)&gt;1),TEXT(AU176,"000")&amp;"."&amp;VLOOKUP(AU176,uom_list,5,FALSE),"")</f>
        <v/>
      </c>
      <c r="AA176" s="843">
        <f t="shared" si="147"/>
        <v>2</v>
      </c>
      <c r="AB176" s="843" t="str">
        <f t="shared" si="151"/>
        <v>43,9</v>
      </c>
      <c r="AC176" s="843">
        <f t="shared" ref="AC176" si="180">import_pro_number_of_price_type</f>
        <v>2</v>
      </c>
      <c r="AD176" s="1214">
        <v>0</v>
      </c>
      <c r="AE176" s="1214">
        <v>2</v>
      </c>
      <c r="AF176" s="1215"/>
      <c r="AG176" s="1215"/>
      <c r="AH176" s="1215"/>
      <c r="AI176" s="1215"/>
      <c r="AJ176" s="1216"/>
      <c r="AK176" s="1216"/>
      <c r="AL176" s="1216"/>
      <c r="AM176" s="1216"/>
      <c r="AN176" s="1216"/>
      <c r="AO176" s="1216"/>
      <c r="AP176" s="1216"/>
      <c r="AQ176" s="1216"/>
      <c r="AR176" s="1216"/>
      <c r="AS176" s="1216"/>
      <c r="AT176" s="1216"/>
      <c r="AU176" s="1120" cm="1">
        <f t="array" ref="AU176">IF(H176="","",Slookup(MID(X176,1,3)*1,UomConversion!$D$8:$J$500,2,UomConversion!$I$8:$I$500,1,UomConversion!$J$8:$J$500,1))</f>
        <v>9</v>
      </c>
      <c r="AV176" s="401" t="str">
        <f t="shared" si="149"/>
        <v>009.Can</v>
      </c>
      <c r="AW176" s="757">
        <f t="shared" si="150"/>
        <v>43</v>
      </c>
      <c r="AX176" s="757">
        <f t="shared" si="150"/>
        <v>9</v>
      </c>
      <c r="AY176" s="757" t="str">
        <f t="shared" si="150"/>
        <v/>
      </c>
      <c r="AZ176" s="1209" cm="1">
        <f t="array" ref="AZ176">IF(Y176="",1,Slookup(MID(X176,1,3)*1,UomConversion!$D$8:$J$500,5,UomConversion!$E$8:$E$500,MID(Y176,1,3)*1,UomConversion!$I$8:$I$500,1))</f>
        <v>12</v>
      </c>
      <c r="BA176" s="1209" cm="1">
        <f t="array" ref="BA176">IF(Z176="",1,Slookup(MID(X176,1,3)*1,UomConversion!$D$8:$J$500,5,UomConversion!$E$8:$E$500,MID(Z176,1,3)*1,UomConversion!$I$8:$I$500,1))</f>
        <v>1</v>
      </c>
      <c r="BB176" s="1217">
        <f t="shared" si="141"/>
        <v>24</v>
      </c>
      <c r="BC176" s="1217">
        <f t="shared" si="153"/>
        <v>-19</v>
      </c>
      <c r="BD176" s="1217"/>
    </row>
    <row r="177" spans="2:56" s="1120" customFormat="1" ht="24.95" customHeight="1">
      <c r="B177" s="445"/>
      <c r="C177" s="843">
        <v>158</v>
      </c>
      <c r="D177" s="843"/>
      <c r="E177" s="843"/>
      <c r="F177" s="1116" t="s">
        <v>2631</v>
      </c>
      <c r="G177" s="1117" t="s">
        <v>2631</v>
      </c>
      <c r="H177" s="868" t="s">
        <v>3134</v>
      </c>
      <c r="I177" s="1118" t="s">
        <v>3134</v>
      </c>
      <c r="J177" s="1138" t="s">
        <v>2967</v>
      </c>
      <c r="K177" s="1138" t="s">
        <v>2977</v>
      </c>
      <c r="L177" s="870" t="s">
        <v>2839</v>
      </c>
      <c r="M177" s="868" t="s">
        <v>2309</v>
      </c>
      <c r="N177" s="1118"/>
      <c r="O177" s="1119">
        <v>53</v>
      </c>
      <c r="P177" s="884">
        <v>55</v>
      </c>
      <c r="Q177" s="885"/>
      <c r="R177" s="843">
        <v>1</v>
      </c>
      <c r="S177" s="843">
        <v>0</v>
      </c>
      <c r="T177" s="843">
        <v>1</v>
      </c>
      <c r="U177" s="843">
        <v>0</v>
      </c>
      <c r="V177" s="843">
        <v>0</v>
      </c>
      <c r="W177" s="843">
        <v>1</v>
      </c>
      <c r="X177" s="870" t="s">
        <v>2932</v>
      </c>
      <c r="Y177" s="843" t="str">
        <f>IF(OR(ISNA(MATCH(MID(X177,1,3)*1,UomConversion!$D$8:$D$500,0)),H177=""),"",IF(AV177="","",AV177))</f>
        <v/>
      </c>
      <c r="Z177" s="843" t="str">
        <f>IF(AND(AU177&gt;0,COUNTIFS(UomConversion!$D$8:$D$500,MID(X177,1,3)*1,UomConversion!$J$8:$J$500,1)&gt;1),TEXT(AU177,"000")&amp;"."&amp;VLOOKUP(AU177,uom_list,5,FALSE),"")</f>
        <v/>
      </c>
      <c r="AA177" s="843">
        <f t="shared" si="147"/>
        <v>1</v>
      </c>
      <c r="AB177" s="843" t="str">
        <f t="shared" si="151"/>
        <v>27</v>
      </c>
      <c r="AC177" s="843">
        <f t="shared" ref="AC177" si="181">import_pro_number_of_price_type</f>
        <v>2</v>
      </c>
      <c r="AD177" s="1214">
        <v>0</v>
      </c>
      <c r="AE177" s="1214">
        <v>55</v>
      </c>
      <c r="AF177" s="1215"/>
      <c r="AG177" s="1215"/>
      <c r="AH177" s="1215"/>
      <c r="AI177" s="1215"/>
      <c r="AJ177" s="1216"/>
      <c r="AK177" s="1216"/>
      <c r="AL177" s="1216"/>
      <c r="AM177" s="1216"/>
      <c r="AN177" s="1216"/>
      <c r="AO177" s="1216"/>
      <c r="AP177" s="1216"/>
      <c r="AQ177" s="1216"/>
      <c r="AR177" s="1216"/>
      <c r="AS177" s="1216"/>
      <c r="AT177" s="1216"/>
      <c r="AU177" s="1120" cm="1">
        <f t="array" ref="AU177">IF(H177="","",Slookup(MID(X177,1,3)*1,UomConversion!$D$8:$J$500,2,UomConversion!$I$8:$I$500,1,UomConversion!$J$8:$J$500,1))</f>
        <v>0</v>
      </c>
      <c r="AV177" s="401" t="str">
        <f t="shared" si="149"/>
        <v/>
      </c>
      <c r="AW177" s="757">
        <f t="shared" si="150"/>
        <v>27</v>
      </c>
      <c r="AX177" s="757" t="str">
        <f t="shared" si="150"/>
        <v/>
      </c>
      <c r="AY177" s="757" t="str">
        <f t="shared" si="150"/>
        <v/>
      </c>
      <c r="AZ177" s="1209" cm="1">
        <f t="array" ref="AZ177">IF(Y177="",1,Slookup(MID(X177,1,3)*1,UomConversion!$D$8:$J$500,5,UomConversion!$E$8:$E$500,MID(Y177,1,3)*1,UomConversion!$I$8:$I$500,1))</f>
        <v>1</v>
      </c>
      <c r="BA177" s="1209" cm="1">
        <f t="array" ref="BA177">IF(Z177="",1,Slookup(MID(X177,1,3)*1,UomConversion!$D$8:$J$500,5,UomConversion!$E$8:$E$500,MID(Z177,1,3)*1,UomConversion!$I$8:$I$500,1))</f>
        <v>1</v>
      </c>
      <c r="BB177" s="1217">
        <f t="shared" si="141"/>
        <v>55</v>
      </c>
      <c r="BC177" s="1217">
        <f t="shared" si="153"/>
        <v>2</v>
      </c>
      <c r="BD177" s="1217"/>
    </row>
    <row r="178" spans="2:56" s="1120" customFormat="1" ht="24.95" customHeight="1">
      <c r="B178" s="445"/>
      <c r="C178" s="843">
        <v>159</v>
      </c>
      <c r="D178" s="843"/>
      <c r="E178" s="843"/>
      <c r="F178" s="1116" t="s">
        <v>2633</v>
      </c>
      <c r="G178" s="1117" t="s">
        <v>2633</v>
      </c>
      <c r="H178" s="868" t="s">
        <v>3135</v>
      </c>
      <c r="I178" s="1118" t="s">
        <v>3135</v>
      </c>
      <c r="J178" s="1138" t="s">
        <v>2967</v>
      </c>
      <c r="K178" s="1138" t="s">
        <v>2977</v>
      </c>
      <c r="L178" s="870" t="s">
        <v>2839</v>
      </c>
      <c r="M178" s="868" t="s">
        <v>2309</v>
      </c>
      <c r="N178" s="1118"/>
      <c r="O178" s="1119">
        <v>49</v>
      </c>
      <c r="P178" s="884">
        <v>52</v>
      </c>
      <c r="Q178" s="885"/>
      <c r="R178" s="843">
        <v>1</v>
      </c>
      <c r="S178" s="843">
        <v>0</v>
      </c>
      <c r="T178" s="843">
        <v>1</v>
      </c>
      <c r="U178" s="843">
        <v>0</v>
      </c>
      <c r="V178" s="843">
        <v>0</v>
      </c>
      <c r="W178" s="843">
        <v>1</v>
      </c>
      <c r="X178" s="870" t="s">
        <v>2932</v>
      </c>
      <c r="Y178" s="843" t="str">
        <f>IF(OR(ISNA(MATCH(MID(X178,1,3)*1,UomConversion!$D$8:$D$500,0)),H178=""),"",IF(AV178="","",AV178))</f>
        <v/>
      </c>
      <c r="Z178" s="843" t="str">
        <f>IF(AND(AU178&gt;0,COUNTIFS(UomConversion!$D$8:$D$500,MID(X178,1,3)*1,UomConversion!$J$8:$J$500,1)&gt;1),TEXT(AU178,"000")&amp;"."&amp;VLOOKUP(AU178,uom_list,5,FALSE),"")</f>
        <v/>
      </c>
      <c r="AA178" s="843">
        <f t="shared" si="147"/>
        <v>1</v>
      </c>
      <c r="AB178" s="843" t="str">
        <f t="shared" si="151"/>
        <v>27</v>
      </c>
      <c r="AC178" s="843">
        <f t="shared" ref="AC178" si="182">import_pro_number_of_price_type</f>
        <v>2</v>
      </c>
      <c r="AD178" s="1214">
        <v>0</v>
      </c>
      <c r="AE178" s="1214">
        <v>52</v>
      </c>
      <c r="AF178" s="1215"/>
      <c r="AG178" s="1215"/>
      <c r="AH178" s="1215"/>
      <c r="AI178" s="1215"/>
      <c r="AJ178" s="1216"/>
      <c r="AK178" s="1216"/>
      <c r="AL178" s="1216"/>
      <c r="AM178" s="1216"/>
      <c r="AN178" s="1216"/>
      <c r="AO178" s="1216"/>
      <c r="AP178" s="1216"/>
      <c r="AQ178" s="1216"/>
      <c r="AR178" s="1216"/>
      <c r="AS178" s="1216"/>
      <c r="AT178" s="1216"/>
      <c r="AU178" s="1120" cm="1">
        <f t="array" ref="AU178">IF(H178="","",Slookup(MID(X178,1,3)*1,UomConversion!$D$8:$J$500,2,UomConversion!$I$8:$I$500,1,UomConversion!$J$8:$J$500,1))</f>
        <v>0</v>
      </c>
      <c r="AV178" s="401" t="str">
        <f t="shared" si="149"/>
        <v/>
      </c>
      <c r="AW178" s="757">
        <f t="shared" si="150"/>
        <v>27</v>
      </c>
      <c r="AX178" s="757" t="str">
        <f t="shared" si="150"/>
        <v/>
      </c>
      <c r="AY178" s="757" t="str">
        <f t="shared" si="150"/>
        <v/>
      </c>
      <c r="AZ178" s="1209" cm="1">
        <f t="array" ref="AZ178">IF(Y178="",1,Slookup(MID(X178,1,3)*1,UomConversion!$D$8:$J$500,5,UomConversion!$E$8:$E$500,MID(Y178,1,3)*1,UomConversion!$I$8:$I$500,1))</f>
        <v>1</v>
      </c>
      <c r="BA178" s="1209" cm="1">
        <f t="array" ref="BA178">IF(Z178="",1,Slookup(MID(X178,1,3)*1,UomConversion!$D$8:$J$500,5,UomConversion!$E$8:$E$500,MID(Z178,1,3)*1,UomConversion!$I$8:$I$500,1))</f>
        <v>1</v>
      </c>
      <c r="BB178" s="1217">
        <f t="shared" si="141"/>
        <v>52</v>
      </c>
      <c r="BC178" s="1217">
        <f t="shared" si="153"/>
        <v>3</v>
      </c>
      <c r="BD178" s="1217"/>
    </row>
    <row r="179" spans="2:56" s="1120" customFormat="1" ht="24.95" customHeight="1">
      <c r="B179" s="445"/>
      <c r="C179" s="843">
        <v>160</v>
      </c>
      <c r="D179" s="843"/>
      <c r="E179" s="843"/>
      <c r="F179" s="1116" t="s">
        <v>2635</v>
      </c>
      <c r="G179" s="1117" t="s">
        <v>2635</v>
      </c>
      <c r="H179" s="868" t="s">
        <v>3136</v>
      </c>
      <c r="I179" s="1118" t="s">
        <v>3136</v>
      </c>
      <c r="J179" s="1138" t="s">
        <v>2967</v>
      </c>
      <c r="K179" s="1138" t="s">
        <v>2977</v>
      </c>
      <c r="L179" s="870" t="s">
        <v>2849</v>
      </c>
      <c r="M179" s="868" t="s">
        <v>2309</v>
      </c>
      <c r="N179" s="1118"/>
      <c r="O179" s="1119">
        <v>47</v>
      </c>
      <c r="P179" s="884">
        <v>12</v>
      </c>
      <c r="Q179" s="885"/>
      <c r="R179" s="843" t="s">
        <v>56</v>
      </c>
      <c r="S179" s="843">
        <v>0</v>
      </c>
      <c r="T179" s="843">
        <v>1</v>
      </c>
      <c r="U179" s="843">
        <v>0</v>
      </c>
      <c r="V179" s="843">
        <v>0</v>
      </c>
      <c r="W179" s="843">
        <v>1</v>
      </c>
      <c r="X179" s="870" t="s">
        <v>2933</v>
      </c>
      <c r="Y179" s="843" t="str">
        <f>IF(OR(ISNA(MATCH(MID(X179,1,3)*1,UomConversion!$D$8:$D$500,0)),H179=""),"",IF(AV179="","",AV179))</f>
        <v>009.Can</v>
      </c>
      <c r="Z179" s="843" t="str">
        <f>IF(AND(AU179&gt;0,COUNTIFS(UomConversion!$D$8:$D$500,MID(X179,1,3)*1,UomConversion!$J$8:$J$500,1)&gt;1),TEXT(AU179,"000")&amp;"."&amp;VLOOKUP(AU179,uom_list,5,FALSE),"")</f>
        <v/>
      </c>
      <c r="AA179" s="843">
        <f t="shared" si="147"/>
        <v>2</v>
      </c>
      <c r="AB179" s="843" t="str">
        <f t="shared" si="151"/>
        <v>42,9</v>
      </c>
      <c r="AC179" s="843">
        <f t="shared" ref="AC179" si="183">import_pro_number_of_price_type</f>
        <v>2</v>
      </c>
      <c r="AD179" s="1214">
        <v>0</v>
      </c>
      <c r="AE179" s="1214">
        <v>12</v>
      </c>
      <c r="AF179" s="1215"/>
      <c r="AG179" s="1215"/>
      <c r="AH179" s="1215"/>
      <c r="AI179" s="1215"/>
      <c r="AJ179" s="1216"/>
      <c r="AK179" s="1216"/>
      <c r="AL179" s="1216"/>
      <c r="AM179" s="1216"/>
      <c r="AN179" s="1216"/>
      <c r="AO179" s="1216"/>
      <c r="AP179" s="1216"/>
      <c r="AQ179" s="1216"/>
      <c r="AR179" s="1216"/>
      <c r="AS179" s="1216"/>
      <c r="AT179" s="1216"/>
      <c r="AU179" s="1120" cm="1">
        <f t="array" ref="AU179">IF(H179="","",Slookup(MID(X179,1,3)*1,UomConversion!$D$8:$J$500,2,UomConversion!$I$8:$I$500,1,UomConversion!$J$8:$J$500,1))</f>
        <v>9</v>
      </c>
      <c r="AV179" s="401" t="str">
        <f t="shared" si="149"/>
        <v>009.Can</v>
      </c>
      <c r="AW179" s="757">
        <f t="shared" si="150"/>
        <v>42</v>
      </c>
      <c r="AX179" s="757">
        <f t="shared" si="150"/>
        <v>9</v>
      </c>
      <c r="AY179" s="757" t="str">
        <f t="shared" si="150"/>
        <v/>
      </c>
      <c r="AZ179" s="1209" cm="1">
        <f t="array" ref="AZ179">IF(Y179="",1,Slookup(MID(X179,1,3)*1,UomConversion!$D$8:$J$500,5,UomConversion!$E$8:$E$500,MID(Y179,1,3)*1,UomConversion!$I$8:$I$500,1))</f>
        <v>4</v>
      </c>
      <c r="BA179" s="1209" cm="1">
        <f t="array" ref="BA179">IF(Z179="",1,Slookup(MID(X179,1,3)*1,UomConversion!$D$8:$J$500,5,UomConversion!$E$8:$E$500,MID(Z179,1,3)*1,UomConversion!$I$8:$I$500,1))</f>
        <v>1</v>
      </c>
      <c r="BB179" s="1217">
        <f t="shared" si="141"/>
        <v>48</v>
      </c>
      <c r="BC179" s="1217">
        <f t="shared" si="153"/>
        <v>-35</v>
      </c>
      <c r="BD179" s="1217"/>
    </row>
    <row r="180" spans="2:56" s="1120" customFormat="1" ht="24.95" customHeight="1">
      <c r="B180" s="445"/>
      <c r="C180" s="843">
        <v>161</v>
      </c>
      <c r="D180" s="843"/>
      <c r="E180" s="843"/>
      <c r="F180" s="1116" t="s">
        <v>2637</v>
      </c>
      <c r="G180" s="1117" t="s">
        <v>2637</v>
      </c>
      <c r="H180" s="868" t="s">
        <v>3137</v>
      </c>
      <c r="I180" s="1118" t="s">
        <v>3137</v>
      </c>
      <c r="J180" s="1138" t="s">
        <v>2967</v>
      </c>
      <c r="K180" s="1138" t="s">
        <v>2977</v>
      </c>
      <c r="L180" s="870" t="s">
        <v>2841</v>
      </c>
      <c r="M180" s="868" t="s">
        <v>2309</v>
      </c>
      <c r="N180" s="1118"/>
      <c r="O180" s="1119">
        <v>43.2</v>
      </c>
      <c r="P180" s="884">
        <v>4</v>
      </c>
      <c r="Q180" s="885"/>
      <c r="R180" s="843" t="s">
        <v>36</v>
      </c>
      <c r="S180" s="843">
        <v>0</v>
      </c>
      <c r="T180" s="843">
        <v>1</v>
      </c>
      <c r="U180" s="843">
        <v>0</v>
      </c>
      <c r="V180" s="843">
        <v>0</v>
      </c>
      <c r="W180" s="843">
        <v>1</v>
      </c>
      <c r="X180" s="870" t="s">
        <v>2934</v>
      </c>
      <c r="Y180" s="843" t="str">
        <f>IF(OR(ISNA(MATCH(MID(X180,1,3)*1,UomConversion!$D$8:$D$500,0)),H180=""),"",IF(AV180="","",AV180))</f>
        <v>009.Can</v>
      </c>
      <c r="Z180" s="843" t="str">
        <f>IF(AND(AU180&gt;0,COUNTIFS(UomConversion!$D$8:$D$500,MID(X180,1,3)*1,UomConversion!$J$8:$J$500,1)&gt;1),TEXT(AU180,"000")&amp;"."&amp;VLOOKUP(AU180,uom_list,5,FALSE),"")</f>
        <v/>
      </c>
      <c r="AA180" s="843">
        <f t="shared" si="147"/>
        <v>2</v>
      </c>
      <c r="AB180" s="843" t="str">
        <f t="shared" si="151"/>
        <v>43,9</v>
      </c>
      <c r="AC180" s="843">
        <f t="shared" ref="AC180" si="184">import_pro_number_of_price_type</f>
        <v>2</v>
      </c>
      <c r="AD180" s="1214">
        <v>0</v>
      </c>
      <c r="AE180" s="1214">
        <v>4</v>
      </c>
      <c r="AF180" s="1215"/>
      <c r="AG180" s="1215"/>
      <c r="AH180" s="1215"/>
      <c r="AI180" s="1215"/>
      <c r="AJ180" s="1216"/>
      <c r="AK180" s="1216"/>
      <c r="AL180" s="1216"/>
      <c r="AM180" s="1216"/>
      <c r="AN180" s="1216"/>
      <c r="AO180" s="1216"/>
      <c r="AP180" s="1216"/>
      <c r="AQ180" s="1216"/>
      <c r="AR180" s="1216"/>
      <c r="AS180" s="1216"/>
      <c r="AT180" s="1216"/>
      <c r="AU180" s="1120" cm="1">
        <f t="array" ref="AU180">IF(H180="","",Slookup(MID(X180,1,3)*1,UomConversion!$D$8:$J$500,2,UomConversion!$I$8:$I$500,1,UomConversion!$J$8:$J$500,1))</f>
        <v>9</v>
      </c>
      <c r="AV180" s="401" t="str">
        <f t="shared" si="149"/>
        <v>009.Can</v>
      </c>
      <c r="AW180" s="757">
        <f t="shared" ref="AW180:AY211" si="185">IF(X180="","",MID(X180,1,3)*1)</f>
        <v>43</v>
      </c>
      <c r="AX180" s="757">
        <f t="shared" si="185"/>
        <v>9</v>
      </c>
      <c r="AY180" s="757" t="str">
        <f t="shared" si="185"/>
        <v/>
      </c>
      <c r="AZ180" s="1209" cm="1">
        <f t="array" ref="AZ180">IF(Y180="",1,Slookup(MID(X180,1,3)*1,UomConversion!$D$8:$J$500,5,UomConversion!$E$8:$E$500,MID(Y180,1,3)*1,UomConversion!$I$8:$I$500,1))</f>
        <v>12</v>
      </c>
      <c r="BA180" s="1209" cm="1">
        <f t="array" ref="BA180">IF(Z180="",1,Slookup(MID(X180,1,3)*1,UomConversion!$D$8:$J$500,5,UomConversion!$E$8:$E$500,MID(Z180,1,3)*1,UomConversion!$I$8:$I$500,1))</f>
        <v>1</v>
      </c>
      <c r="BB180" s="1217">
        <f t="shared" si="141"/>
        <v>48</v>
      </c>
      <c r="BC180" s="1217">
        <f t="shared" si="153"/>
        <v>-39.200000000000003</v>
      </c>
      <c r="BD180" s="1217"/>
    </row>
    <row r="181" spans="2:56" s="1120" customFormat="1" ht="24.95" customHeight="1">
      <c r="B181" s="445"/>
      <c r="C181" s="843">
        <v>162</v>
      </c>
      <c r="D181" s="843"/>
      <c r="E181" s="843"/>
      <c r="F181" s="1116" t="s">
        <v>2639</v>
      </c>
      <c r="G181" s="1117" t="s">
        <v>2639</v>
      </c>
      <c r="H181" s="868" t="s">
        <v>3138</v>
      </c>
      <c r="I181" s="1118" t="s">
        <v>3138</v>
      </c>
      <c r="J181" s="1138" t="s">
        <v>2967</v>
      </c>
      <c r="K181" s="1138" t="s">
        <v>2977</v>
      </c>
      <c r="L181" s="870" t="s">
        <v>2839</v>
      </c>
      <c r="M181" s="868" t="s">
        <v>2309</v>
      </c>
      <c r="N181" s="1118"/>
      <c r="O181" s="1119">
        <v>53</v>
      </c>
      <c r="P181" s="884">
        <v>55</v>
      </c>
      <c r="Q181" s="885"/>
      <c r="R181" s="843">
        <v>1</v>
      </c>
      <c r="S181" s="843">
        <v>0</v>
      </c>
      <c r="T181" s="843">
        <v>1</v>
      </c>
      <c r="U181" s="843">
        <v>0</v>
      </c>
      <c r="V181" s="843">
        <v>0</v>
      </c>
      <c r="W181" s="843">
        <v>1</v>
      </c>
      <c r="X181" s="870" t="s">
        <v>2932</v>
      </c>
      <c r="Y181" s="843" t="str">
        <f>IF(OR(ISNA(MATCH(MID(X181,1,3)*1,UomConversion!$D$8:$D$500,0)),H181=""),"",IF(AV181="","",AV181))</f>
        <v/>
      </c>
      <c r="Z181" s="843" t="str">
        <f>IF(AND(AU181&gt;0,COUNTIFS(UomConversion!$D$8:$D$500,MID(X181,1,3)*1,UomConversion!$J$8:$J$500,1)&gt;1),TEXT(AU181,"000")&amp;"."&amp;VLOOKUP(AU181,uom_list,5,FALSE),"")</f>
        <v/>
      </c>
      <c r="AA181" s="843">
        <f t="shared" si="147"/>
        <v>1</v>
      </c>
      <c r="AB181" s="843" t="str">
        <f t="shared" si="151"/>
        <v>27</v>
      </c>
      <c r="AC181" s="843">
        <f t="shared" ref="AC181" si="186">import_pro_number_of_price_type</f>
        <v>2</v>
      </c>
      <c r="AD181" s="1214">
        <v>0</v>
      </c>
      <c r="AE181" s="1214">
        <v>55</v>
      </c>
      <c r="AF181" s="1215"/>
      <c r="AG181" s="1215"/>
      <c r="AH181" s="1215"/>
      <c r="AI181" s="1215"/>
      <c r="AJ181" s="1216"/>
      <c r="AK181" s="1216"/>
      <c r="AL181" s="1216"/>
      <c r="AM181" s="1216"/>
      <c r="AN181" s="1216"/>
      <c r="AO181" s="1216"/>
      <c r="AP181" s="1216"/>
      <c r="AQ181" s="1216"/>
      <c r="AR181" s="1216"/>
      <c r="AS181" s="1216"/>
      <c r="AT181" s="1216"/>
      <c r="AU181" s="1120" cm="1">
        <f t="array" ref="AU181">IF(H181="","",Slookup(MID(X181,1,3)*1,UomConversion!$D$8:$J$500,2,UomConversion!$I$8:$I$500,1,UomConversion!$J$8:$J$500,1))</f>
        <v>0</v>
      </c>
      <c r="AV181" s="401" t="str">
        <f t="shared" si="149"/>
        <v/>
      </c>
      <c r="AW181" s="757">
        <f t="shared" si="185"/>
        <v>27</v>
      </c>
      <c r="AX181" s="757" t="str">
        <f t="shared" si="185"/>
        <v/>
      </c>
      <c r="AY181" s="757" t="str">
        <f t="shared" si="185"/>
        <v/>
      </c>
      <c r="AZ181" s="1209" cm="1">
        <f t="array" ref="AZ181">IF(Y181="",1,Slookup(MID(X181,1,3)*1,UomConversion!$D$8:$J$500,5,UomConversion!$E$8:$E$500,MID(Y181,1,3)*1,UomConversion!$I$8:$I$500,1))</f>
        <v>1</v>
      </c>
      <c r="BA181" s="1209" cm="1">
        <f t="array" ref="BA181">IF(Z181="",1,Slookup(MID(X181,1,3)*1,UomConversion!$D$8:$J$500,5,UomConversion!$E$8:$E$500,MID(Z181,1,3)*1,UomConversion!$I$8:$I$500,1))</f>
        <v>1</v>
      </c>
      <c r="BB181" s="1217">
        <f t="shared" si="141"/>
        <v>55</v>
      </c>
      <c r="BC181" s="1217">
        <f t="shared" si="153"/>
        <v>2</v>
      </c>
      <c r="BD181" s="1217"/>
    </row>
    <row r="182" spans="2:56" s="1120" customFormat="1" ht="24.95" customHeight="1">
      <c r="B182" s="445"/>
      <c r="C182" s="843">
        <v>163</v>
      </c>
      <c r="D182" s="843"/>
      <c r="E182" s="843"/>
      <c r="F182" s="1116" t="s">
        <v>2641</v>
      </c>
      <c r="G182" s="1117" t="s">
        <v>2641</v>
      </c>
      <c r="H182" s="868" t="s">
        <v>3139</v>
      </c>
      <c r="I182" s="1118" t="s">
        <v>3139</v>
      </c>
      <c r="J182" s="1138" t="s">
        <v>2967</v>
      </c>
      <c r="K182" s="1138" t="s">
        <v>2977</v>
      </c>
      <c r="L182" s="870" t="s">
        <v>2849</v>
      </c>
      <c r="M182" s="868" t="s">
        <v>2309</v>
      </c>
      <c r="N182" s="1118"/>
      <c r="O182" s="1119">
        <v>51</v>
      </c>
      <c r="P182" s="884">
        <v>13.25</v>
      </c>
      <c r="Q182" s="885"/>
      <c r="R182" s="843" t="s">
        <v>56</v>
      </c>
      <c r="S182" s="843">
        <v>0</v>
      </c>
      <c r="T182" s="843">
        <v>1</v>
      </c>
      <c r="U182" s="843">
        <v>0</v>
      </c>
      <c r="V182" s="843">
        <v>0</v>
      </c>
      <c r="W182" s="843">
        <v>1</v>
      </c>
      <c r="X182" s="870" t="s">
        <v>2933</v>
      </c>
      <c r="Y182" s="843" t="str">
        <f>IF(OR(ISNA(MATCH(MID(X182,1,3)*1,UomConversion!$D$8:$D$500,0)),H182=""),"",IF(AV182="","",AV182))</f>
        <v>009.Can</v>
      </c>
      <c r="Z182" s="843" t="str">
        <f>IF(AND(AU182&gt;0,COUNTIFS(UomConversion!$D$8:$D$500,MID(X182,1,3)*1,UomConversion!$J$8:$J$500,1)&gt;1),TEXT(AU182,"000")&amp;"."&amp;VLOOKUP(AU182,uom_list,5,FALSE),"")</f>
        <v/>
      </c>
      <c r="AA182" s="843">
        <f t="shared" si="147"/>
        <v>2</v>
      </c>
      <c r="AB182" s="843" t="str">
        <f t="shared" si="151"/>
        <v>42,9</v>
      </c>
      <c r="AC182" s="843">
        <f t="shared" ref="AC182" si="187">import_pro_number_of_price_type</f>
        <v>2</v>
      </c>
      <c r="AD182" s="1214">
        <v>0</v>
      </c>
      <c r="AE182" s="1214">
        <v>13.25</v>
      </c>
      <c r="AF182" s="1215"/>
      <c r="AG182" s="1215"/>
      <c r="AH182" s="1215"/>
      <c r="AI182" s="1215"/>
      <c r="AJ182" s="1216"/>
      <c r="AK182" s="1216"/>
      <c r="AL182" s="1216"/>
      <c r="AM182" s="1216"/>
      <c r="AN182" s="1216"/>
      <c r="AO182" s="1216"/>
      <c r="AP182" s="1216"/>
      <c r="AQ182" s="1216"/>
      <c r="AR182" s="1216"/>
      <c r="AS182" s="1216"/>
      <c r="AT182" s="1216"/>
      <c r="AU182" s="1120" cm="1">
        <f t="array" ref="AU182">IF(H182="","",Slookup(MID(X182,1,3)*1,UomConversion!$D$8:$J$500,2,UomConversion!$I$8:$I$500,1,UomConversion!$J$8:$J$500,1))</f>
        <v>9</v>
      </c>
      <c r="AV182" s="401" t="str">
        <f t="shared" si="149"/>
        <v>009.Can</v>
      </c>
      <c r="AW182" s="757">
        <f t="shared" si="185"/>
        <v>42</v>
      </c>
      <c r="AX182" s="757">
        <f t="shared" si="185"/>
        <v>9</v>
      </c>
      <c r="AY182" s="757" t="str">
        <f t="shared" si="185"/>
        <v/>
      </c>
      <c r="AZ182" s="1209" cm="1">
        <f t="array" ref="AZ182">IF(Y182="",1,Slookup(MID(X182,1,3)*1,UomConversion!$D$8:$J$500,5,UomConversion!$E$8:$E$500,MID(Y182,1,3)*1,UomConversion!$I$8:$I$500,1))</f>
        <v>4</v>
      </c>
      <c r="BA182" s="1209" cm="1">
        <f t="array" ref="BA182">IF(Z182="",1,Slookup(MID(X182,1,3)*1,UomConversion!$D$8:$J$500,5,UomConversion!$E$8:$E$500,MID(Z182,1,3)*1,UomConversion!$I$8:$I$500,1))</f>
        <v>1</v>
      </c>
      <c r="BB182" s="1217">
        <f t="shared" si="141"/>
        <v>53</v>
      </c>
      <c r="BC182" s="1217">
        <f t="shared" si="153"/>
        <v>-37.75</v>
      </c>
      <c r="BD182" s="1217"/>
    </row>
    <row r="183" spans="2:56" s="1120" customFormat="1" ht="24.95" customHeight="1">
      <c r="B183" s="445"/>
      <c r="C183" s="843">
        <v>164</v>
      </c>
      <c r="D183" s="843"/>
      <c r="E183" s="843"/>
      <c r="F183" s="1116" t="s">
        <v>2642</v>
      </c>
      <c r="G183" s="1117" t="s">
        <v>2642</v>
      </c>
      <c r="H183" s="868" t="s">
        <v>3140</v>
      </c>
      <c r="I183" s="1118" t="s">
        <v>3140</v>
      </c>
      <c r="J183" s="1138" t="s">
        <v>2967</v>
      </c>
      <c r="K183" s="1138" t="s">
        <v>2977</v>
      </c>
      <c r="L183" s="870" t="s">
        <v>2839</v>
      </c>
      <c r="M183" s="868" t="s">
        <v>2309</v>
      </c>
      <c r="N183" s="1118"/>
      <c r="O183" s="1119">
        <v>88</v>
      </c>
      <c r="P183" s="884">
        <v>90</v>
      </c>
      <c r="Q183" s="885"/>
      <c r="R183" s="843">
        <v>1</v>
      </c>
      <c r="S183" s="843">
        <v>0</v>
      </c>
      <c r="T183" s="843">
        <v>1</v>
      </c>
      <c r="U183" s="843">
        <v>0</v>
      </c>
      <c r="V183" s="843">
        <v>0</v>
      </c>
      <c r="W183" s="843">
        <v>1</v>
      </c>
      <c r="X183" s="870" t="s">
        <v>2932</v>
      </c>
      <c r="Y183" s="843" t="str">
        <f>IF(OR(ISNA(MATCH(MID(X183,1,3)*1,UomConversion!$D$8:$D$500,0)),H183=""),"",IF(AV183="","",AV183))</f>
        <v/>
      </c>
      <c r="Z183" s="843" t="str">
        <f>IF(AND(AU183&gt;0,COUNTIFS(UomConversion!$D$8:$D$500,MID(X183,1,3)*1,UomConversion!$J$8:$J$500,1)&gt;1),TEXT(AU183,"000")&amp;"."&amp;VLOOKUP(AU183,uom_list,5,FALSE),"")</f>
        <v/>
      </c>
      <c r="AA183" s="843">
        <f t="shared" si="147"/>
        <v>1</v>
      </c>
      <c r="AB183" s="843" t="str">
        <f t="shared" si="151"/>
        <v>27</v>
      </c>
      <c r="AC183" s="843">
        <f t="shared" ref="AC183" si="188">import_pro_number_of_price_type</f>
        <v>2</v>
      </c>
      <c r="AD183" s="1214">
        <v>0</v>
      </c>
      <c r="AE183" s="1214">
        <v>90</v>
      </c>
      <c r="AF183" s="1215"/>
      <c r="AG183" s="1215"/>
      <c r="AH183" s="1215"/>
      <c r="AI183" s="1215"/>
      <c r="AJ183" s="1216"/>
      <c r="AK183" s="1216"/>
      <c r="AL183" s="1216"/>
      <c r="AM183" s="1216"/>
      <c r="AN183" s="1216"/>
      <c r="AO183" s="1216"/>
      <c r="AP183" s="1216"/>
      <c r="AQ183" s="1216"/>
      <c r="AR183" s="1216"/>
      <c r="AS183" s="1216"/>
      <c r="AT183" s="1216"/>
      <c r="AU183" s="1120" cm="1">
        <f t="array" ref="AU183">IF(H183="","",Slookup(MID(X183,1,3)*1,UomConversion!$D$8:$J$500,2,UomConversion!$I$8:$I$500,1,UomConversion!$J$8:$J$500,1))</f>
        <v>0</v>
      </c>
      <c r="AV183" s="401" t="str">
        <f t="shared" si="149"/>
        <v/>
      </c>
      <c r="AW183" s="757">
        <f t="shared" si="185"/>
        <v>27</v>
      </c>
      <c r="AX183" s="757" t="str">
        <f t="shared" si="185"/>
        <v/>
      </c>
      <c r="AY183" s="757" t="str">
        <f t="shared" si="185"/>
        <v/>
      </c>
      <c r="AZ183" s="1209" cm="1">
        <f t="array" ref="AZ183">IF(Y183="",1,Slookup(MID(X183,1,3)*1,UomConversion!$D$8:$J$500,5,UomConversion!$E$8:$E$500,MID(Y183,1,3)*1,UomConversion!$I$8:$I$500,1))</f>
        <v>1</v>
      </c>
      <c r="BA183" s="1209" cm="1">
        <f t="array" ref="BA183">IF(Z183="",1,Slookup(MID(X183,1,3)*1,UomConversion!$D$8:$J$500,5,UomConversion!$E$8:$E$500,MID(Z183,1,3)*1,UomConversion!$I$8:$I$500,1))</f>
        <v>1</v>
      </c>
      <c r="BB183" s="1217">
        <f t="shared" si="141"/>
        <v>90</v>
      </c>
      <c r="BC183" s="1217">
        <f t="shared" si="153"/>
        <v>2</v>
      </c>
      <c r="BD183" s="1217"/>
    </row>
    <row r="184" spans="2:56" s="1120" customFormat="1" ht="24.95" customHeight="1">
      <c r="B184" s="445"/>
      <c r="C184" s="843">
        <v>165</v>
      </c>
      <c r="D184" s="843"/>
      <c r="E184" s="843"/>
      <c r="F184" s="1116" t="s">
        <v>2643</v>
      </c>
      <c r="G184" s="1117" t="s">
        <v>2643</v>
      </c>
      <c r="H184" s="868" t="s">
        <v>3141</v>
      </c>
      <c r="I184" s="1118" t="s">
        <v>3141</v>
      </c>
      <c r="J184" s="1138" t="s">
        <v>2967</v>
      </c>
      <c r="K184" s="1138" t="s">
        <v>2977</v>
      </c>
      <c r="L184" s="870" t="s">
        <v>2849</v>
      </c>
      <c r="M184" s="868" t="s">
        <v>2309</v>
      </c>
      <c r="N184" s="1118"/>
      <c r="O184" s="1119">
        <v>81</v>
      </c>
      <c r="P184" s="884">
        <v>21.25</v>
      </c>
      <c r="Q184" s="885"/>
      <c r="R184" s="843" t="s">
        <v>56</v>
      </c>
      <c r="S184" s="843">
        <v>0</v>
      </c>
      <c r="T184" s="843">
        <v>1</v>
      </c>
      <c r="U184" s="843">
        <v>0</v>
      </c>
      <c r="V184" s="843">
        <v>0</v>
      </c>
      <c r="W184" s="843">
        <v>1</v>
      </c>
      <c r="X184" s="870" t="s">
        <v>2933</v>
      </c>
      <c r="Y184" s="843" t="str">
        <f>IF(OR(ISNA(MATCH(MID(X184,1,3)*1,UomConversion!$D$8:$D$500,0)),H184=""),"",IF(AV184="","",AV184))</f>
        <v>009.Can</v>
      </c>
      <c r="Z184" s="843" t="str">
        <f>IF(AND(AU184&gt;0,COUNTIFS(UomConversion!$D$8:$D$500,MID(X184,1,3)*1,UomConversion!$J$8:$J$500,1)&gt;1),TEXT(AU184,"000")&amp;"."&amp;VLOOKUP(AU184,uom_list,5,FALSE),"")</f>
        <v/>
      </c>
      <c r="AA184" s="843">
        <f t="shared" si="147"/>
        <v>2</v>
      </c>
      <c r="AB184" s="843" t="str">
        <f t="shared" si="151"/>
        <v>42,9</v>
      </c>
      <c r="AC184" s="843">
        <f t="shared" ref="AC184" si="189">import_pro_number_of_price_type</f>
        <v>2</v>
      </c>
      <c r="AD184" s="1214">
        <v>0</v>
      </c>
      <c r="AE184" s="1214">
        <v>21.25</v>
      </c>
      <c r="AF184" s="1215"/>
      <c r="AG184" s="1215"/>
      <c r="AH184" s="1215"/>
      <c r="AI184" s="1215"/>
      <c r="AJ184" s="1216"/>
      <c r="AK184" s="1216"/>
      <c r="AL184" s="1216"/>
      <c r="AM184" s="1216"/>
      <c r="AN184" s="1216"/>
      <c r="AO184" s="1216"/>
      <c r="AP184" s="1216"/>
      <c r="AQ184" s="1216"/>
      <c r="AR184" s="1216"/>
      <c r="AS184" s="1216"/>
      <c r="AT184" s="1216"/>
      <c r="AU184" s="1120" cm="1">
        <f t="array" ref="AU184">IF(H184="","",Slookup(MID(X184,1,3)*1,UomConversion!$D$8:$J$500,2,UomConversion!$I$8:$I$500,1,UomConversion!$J$8:$J$500,1))</f>
        <v>9</v>
      </c>
      <c r="AV184" s="401" t="str">
        <f t="shared" si="149"/>
        <v>009.Can</v>
      </c>
      <c r="AW184" s="757">
        <f t="shared" si="185"/>
        <v>42</v>
      </c>
      <c r="AX184" s="757">
        <f t="shared" si="185"/>
        <v>9</v>
      </c>
      <c r="AY184" s="757" t="str">
        <f t="shared" si="185"/>
        <v/>
      </c>
      <c r="AZ184" s="1209" cm="1">
        <f t="array" ref="AZ184">IF(Y184="",1,Slookup(MID(X184,1,3)*1,UomConversion!$D$8:$J$500,5,UomConversion!$E$8:$E$500,MID(Y184,1,3)*1,UomConversion!$I$8:$I$500,1))</f>
        <v>4</v>
      </c>
      <c r="BA184" s="1209" cm="1">
        <f t="array" ref="BA184">IF(Z184="",1,Slookup(MID(X184,1,3)*1,UomConversion!$D$8:$J$500,5,UomConversion!$E$8:$E$500,MID(Z184,1,3)*1,UomConversion!$I$8:$I$500,1))</f>
        <v>1</v>
      </c>
      <c r="BB184" s="1217">
        <f t="shared" si="141"/>
        <v>85</v>
      </c>
      <c r="BC184" s="1217">
        <f t="shared" si="153"/>
        <v>-59.75</v>
      </c>
      <c r="BD184" s="1217"/>
    </row>
    <row r="185" spans="2:56" s="1120" customFormat="1" ht="24.95" customHeight="1">
      <c r="B185" s="445"/>
      <c r="C185" s="843">
        <v>166</v>
      </c>
      <c r="D185" s="843"/>
      <c r="E185" s="843"/>
      <c r="F185" s="1116" t="s">
        <v>2644</v>
      </c>
      <c r="G185" s="1117" t="s">
        <v>2644</v>
      </c>
      <c r="H185" s="868" t="s">
        <v>3142</v>
      </c>
      <c r="I185" s="1118" t="s">
        <v>3142</v>
      </c>
      <c r="J185" s="1138" t="s">
        <v>2968</v>
      </c>
      <c r="K185" s="1138" t="s">
        <v>2976</v>
      </c>
      <c r="L185" s="870" t="s">
        <v>2307</v>
      </c>
      <c r="M185" s="868" t="s">
        <v>2174</v>
      </c>
      <c r="N185" s="1118"/>
      <c r="O185" s="1119">
        <v>0.75</v>
      </c>
      <c r="P185" s="884">
        <v>1</v>
      </c>
      <c r="Q185" s="885"/>
      <c r="R185" s="843">
        <v>1</v>
      </c>
      <c r="S185" s="843">
        <v>0</v>
      </c>
      <c r="T185" s="843">
        <v>1</v>
      </c>
      <c r="U185" s="843">
        <v>0</v>
      </c>
      <c r="V185" s="843">
        <v>0</v>
      </c>
      <c r="W185" s="843">
        <v>1</v>
      </c>
      <c r="X185" s="870" t="s">
        <v>2939</v>
      </c>
      <c r="Y185" s="843" t="str">
        <f>IF(OR(ISNA(MATCH(MID(X185,1,3)*1,UomConversion!$D$8:$D$500,0)),H185=""),"",IF(AV185="","",AV185))</f>
        <v/>
      </c>
      <c r="Z185" s="843" t="str">
        <f>IF(AND(AU185&gt;0,COUNTIFS(UomConversion!$D$8:$D$500,MID(X185,1,3)*1,UomConversion!$J$8:$J$500,1)&gt;1),TEXT(AU185,"000")&amp;"."&amp;VLOOKUP(AU185,uom_list,5,FALSE),"")</f>
        <v/>
      </c>
      <c r="AA185" s="843">
        <f t="shared" si="147"/>
        <v>1</v>
      </c>
      <c r="AB185" s="843" t="str">
        <f t="shared" si="151"/>
        <v>2</v>
      </c>
      <c r="AC185" s="843">
        <f t="shared" ref="AC185" si="190">import_pro_number_of_price_type</f>
        <v>2</v>
      </c>
      <c r="AD185" s="1214">
        <v>0</v>
      </c>
      <c r="AE185" s="1214">
        <v>1</v>
      </c>
      <c r="AF185" s="1215"/>
      <c r="AG185" s="1215"/>
      <c r="AH185" s="1215"/>
      <c r="AI185" s="1215"/>
      <c r="AJ185" s="1216"/>
      <c r="AK185" s="1216"/>
      <c r="AL185" s="1216"/>
      <c r="AM185" s="1216"/>
      <c r="AN185" s="1216"/>
      <c r="AO185" s="1216"/>
      <c r="AP185" s="1216"/>
      <c r="AQ185" s="1216"/>
      <c r="AR185" s="1216"/>
      <c r="AS185" s="1216"/>
      <c r="AT185" s="1216"/>
      <c r="AU185" s="1120" cm="1">
        <f t="array" ref="AU185">IF(H185="","",Slookup(MID(X185,1,3)*1,UomConversion!$D$8:$J$500,2,UomConversion!$I$8:$I$500,1,UomConversion!$J$8:$J$500,1))</f>
        <v>0</v>
      </c>
      <c r="AV185" s="401" t="str">
        <f t="shared" si="149"/>
        <v/>
      </c>
      <c r="AW185" s="757">
        <f t="shared" si="185"/>
        <v>2</v>
      </c>
      <c r="AX185" s="757" t="str">
        <f t="shared" si="185"/>
        <v/>
      </c>
      <c r="AY185" s="757" t="str">
        <f t="shared" si="185"/>
        <v/>
      </c>
      <c r="AZ185" s="1209" cm="1">
        <f t="array" ref="AZ185">IF(Y185="",1,Slookup(MID(X185,1,3)*1,UomConversion!$D$8:$J$500,5,UomConversion!$E$8:$E$500,MID(Y185,1,3)*1,UomConversion!$I$8:$I$500,1))</f>
        <v>1</v>
      </c>
      <c r="BA185" s="1209" cm="1">
        <f t="array" ref="BA185">IF(Z185="",1,Slookup(MID(X185,1,3)*1,UomConversion!$D$8:$J$500,5,UomConversion!$E$8:$E$500,MID(Z185,1,3)*1,UomConversion!$I$8:$I$500,1))</f>
        <v>1</v>
      </c>
      <c r="BB185" s="1217">
        <f t="shared" si="141"/>
        <v>1</v>
      </c>
      <c r="BC185" s="1217">
        <f t="shared" si="153"/>
        <v>0.25</v>
      </c>
      <c r="BD185" s="1217"/>
    </row>
    <row r="186" spans="2:56" s="1120" customFormat="1" ht="24.95" customHeight="1">
      <c r="B186" s="445"/>
      <c r="C186" s="843">
        <v>167</v>
      </c>
      <c r="D186" s="843"/>
      <c r="E186" s="843"/>
      <c r="F186" s="1116" t="s">
        <v>2645</v>
      </c>
      <c r="G186" s="1117" t="s">
        <v>2645</v>
      </c>
      <c r="H186" s="868" t="s">
        <v>3143</v>
      </c>
      <c r="I186" s="1118" t="s">
        <v>3143</v>
      </c>
      <c r="J186" s="1138" t="s">
        <v>2968</v>
      </c>
      <c r="K186" s="1138" t="s">
        <v>2976</v>
      </c>
      <c r="L186" s="870" t="s">
        <v>2307</v>
      </c>
      <c r="M186" s="868" t="s">
        <v>2174</v>
      </c>
      <c r="N186" s="1118"/>
      <c r="O186" s="1119">
        <v>0.85</v>
      </c>
      <c r="P186" s="884">
        <v>1</v>
      </c>
      <c r="Q186" s="885"/>
      <c r="R186" s="843">
        <v>1</v>
      </c>
      <c r="S186" s="843">
        <v>0</v>
      </c>
      <c r="T186" s="843">
        <v>1</v>
      </c>
      <c r="U186" s="843">
        <v>0</v>
      </c>
      <c r="V186" s="843">
        <v>0</v>
      </c>
      <c r="W186" s="843">
        <v>1</v>
      </c>
      <c r="X186" s="870" t="s">
        <v>2939</v>
      </c>
      <c r="Y186" s="843" t="str">
        <f>IF(OR(ISNA(MATCH(MID(X186,1,3)*1,UomConversion!$D$8:$D$500,0)),H186=""),"",IF(AV186="","",AV186))</f>
        <v/>
      </c>
      <c r="Z186" s="843" t="str">
        <f>IF(AND(AU186&gt;0,COUNTIFS(UomConversion!$D$8:$D$500,MID(X186,1,3)*1,UomConversion!$J$8:$J$500,1)&gt;1),TEXT(AU186,"000")&amp;"."&amp;VLOOKUP(AU186,uom_list,5,FALSE),"")</f>
        <v/>
      </c>
      <c r="AA186" s="843">
        <f t="shared" si="147"/>
        <v>1</v>
      </c>
      <c r="AB186" s="843" t="str">
        <f t="shared" si="151"/>
        <v>2</v>
      </c>
      <c r="AC186" s="843">
        <f t="shared" ref="AC186" si="191">import_pro_number_of_price_type</f>
        <v>2</v>
      </c>
      <c r="AD186" s="1214">
        <v>0</v>
      </c>
      <c r="AE186" s="1214">
        <v>1</v>
      </c>
      <c r="AF186" s="1215"/>
      <c r="AG186" s="1215"/>
      <c r="AH186" s="1215"/>
      <c r="AI186" s="1215"/>
      <c r="AJ186" s="1216"/>
      <c r="AK186" s="1216"/>
      <c r="AL186" s="1216"/>
      <c r="AM186" s="1216"/>
      <c r="AN186" s="1216"/>
      <c r="AO186" s="1216"/>
      <c r="AP186" s="1216"/>
      <c r="AQ186" s="1216"/>
      <c r="AR186" s="1216"/>
      <c r="AS186" s="1216"/>
      <c r="AT186" s="1216"/>
      <c r="AU186" s="1120" cm="1">
        <f t="array" ref="AU186">IF(H186="","",Slookup(MID(X186,1,3)*1,UomConversion!$D$8:$J$500,2,UomConversion!$I$8:$I$500,1,UomConversion!$J$8:$J$500,1))</f>
        <v>0</v>
      </c>
      <c r="AV186" s="401" t="str">
        <f t="shared" si="149"/>
        <v/>
      </c>
      <c r="AW186" s="757">
        <f t="shared" si="185"/>
        <v>2</v>
      </c>
      <c r="AX186" s="757" t="str">
        <f t="shared" si="185"/>
        <v/>
      </c>
      <c r="AY186" s="757" t="str">
        <f t="shared" si="185"/>
        <v/>
      </c>
      <c r="AZ186" s="1209" cm="1">
        <f t="array" ref="AZ186">IF(Y186="",1,Slookup(MID(X186,1,3)*1,UomConversion!$D$8:$J$500,5,UomConversion!$E$8:$E$500,MID(Y186,1,3)*1,UomConversion!$I$8:$I$500,1))</f>
        <v>1</v>
      </c>
      <c r="BA186" s="1209" cm="1">
        <f t="array" ref="BA186">IF(Z186="",1,Slookup(MID(X186,1,3)*1,UomConversion!$D$8:$J$500,5,UomConversion!$E$8:$E$500,MID(Z186,1,3)*1,UomConversion!$I$8:$I$500,1))</f>
        <v>1</v>
      </c>
      <c r="BB186" s="1217">
        <f t="shared" si="141"/>
        <v>1</v>
      </c>
      <c r="BC186" s="1217">
        <f t="shared" si="153"/>
        <v>0.15000000000000002</v>
      </c>
      <c r="BD186" s="1217"/>
    </row>
    <row r="187" spans="2:56" s="1120" customFormat="1" ht="24.95" customHeight="1">
      <c r="B187" s="445"/>
      <c r="C187" s="843">
        <v>168</v>
      </c>
      <c r="D187" s="843"/>
      <c r="E187" s="843"/>
      <c r="F187" s="1116" t="s">
        <v>2646</v>
      </c>
      <c r="G187" s="1117" t="s">
        <v>2646</v>
      </c>
      <c r="H187" s="868" t="s">
        <v>3144</v>
      </c>
      <c r="I187" s="1118" t="s">
        <v>3144</v>
      </c>
      <c r="J187" s="1138" t="s">
        <v>2968</v>
      </c>
      <c r="K187" s="1138" t="s">
        <v>2976</v>
      </c>
      <c r="L187" s="870" t="s">
        <v>2307</v>
      </c>
      <c r="M187" s="868" t="s">
        <v>2174</v>
      </c>
      <c r="N187" s="1118"/>
      <c r="O187" s="1119">
        <v>1.2</v>
      </c>
      <c r="P187" s="884">
        <v>1.5</v>
      </c>
      <c r="Q187" s="885"/>
      <c r="R187" s="843">
        <v>1</v>
      </c>
      <c r="S187" s="843">
        <v>0</v>
      </c>
      <c r="T187" s="843">
        <v>1</v>
      </c>
      <c r="U187" s="843">
        <v>0</v>
      </c>
      <c r="V187" s="843">
        <v>0</v>
      </c>
      <c r="W187" s="843">
        <v>1</v>
      </c>
      <c r="X187" s="870" t="s">
        <v>2939</v>
      </c>
      <c r="Y187" s="843" t="str">
        <f>IF(OR(ISNA(MATCH(MID(X187,1,3)*1,UomConversion!$D$8:$D$500,0)),H187=""),"",IF(AV187="","",AV187))</f>
        <v/>
      </c>
      <c r="Z187" s="843" t="str">
        <f>IF(AND(AU187&gt;0,COUNTIFS(UomConversion!$D$8:$D$500,MID(X187,1,3)*1,UomConversion!$J$8:$J$500,1)&gt;1),TEXT(AU187,"000")&amp;"."&amp;VLOOKUP(AU187,uom_list,5,FALSE),"")</f>
        <v/>
      </c>
      <c r="AA187" s="843">
        <f t="shared" si="147"/>
        <v>1</v>
      </c>
      <c r="AB187" s="843" t="str">
        <f t="shared" si="151"/>
        <v>2</v>
      </c>
      <c r="AC187" s="843">
        <f t="shared" ref="AC187" si="192">import_pro_number_of_price_type</f>
        <v>2</v>
      </c>
      <c r="AD187" s="1214">
        <v>0</v>
      </c>
      <c r="AE187" s="1214">
        <v>1.5</v>
      </c>
      <c r="AF187" s="1215"/>
      <c r="AG187" s="1215"/>
      <c r="AH187" s="1215"/>
      <c r="AI187" s="1215"/>
      <c r="AJ187" s="1216"/>
      <c r="AK187" s="1216"/>
      <c r="AL187" s="1216"/>
      <c r="AM187" s="1216"/>
      <c r="AN187" s="1216"/>
      <c r="AO187" s="1216"/>
      <c r="AP187" s="1216"/>
      <c r="AQ187" s="1216"/>
      <c r="AR187" s="1216"/>
      <c r="AS187" s="1216"/>
      <c r="AT187" s="1216"/>
      <c r="AU187" s="1120" cm="1">
        <f t="array" ref="AU187">IF(H187="","",Slookup(MID(X187,1,3)*1,UomConversion!$D$8:$J$500,2,UomConversion!$I$8:$I$500,1,UomConversion!$J$8:$J$500,1))</f>
        <v>0</v>
      </c>
      <c r="AV187" s="401" t="str">
        <f t="shared" si="149"/>
        <v/>
      </c>
      <c r="AW187" s="757">
        <f t="shared" si="185"/>
        <v>2</v>
      </c>
      <c r="AX187" s="757" t="str">
        <f t="shared" si="185"/>
        <v/>
      </c>
      <c r="AY187" s="757" t="str">
        <f t="shared" si="185"/>
        <v/>
      </c>
      <c r="AZ187" s="1209" cm="1">
        <f t="array" ref="AZ187">IF(Y187="",1,Slookup(MID(X187,1,3)*1,UomConversion!$D$8:$J$500,5,UomConversion!$E$8:$E$500,MID(Y187,1,3)*1,UomConversion!$I$8:$I$500,1))</f>
        <v>1</v>
      </c>
      <c r="BA187" s="1209" cm="1">
        <f t="array" ref="BA187">IF(Z187="",1,Slookup(MID(X187,1,3)*1,UomConversion!$D$8:$J$500,5,UomConversion!$E$8:$E$500,MID(Z187,1,3)*1,UomConversion!$I$8:$I$500,1))</f>
        <v>1</v>
      </c>
      <c r="BB187" s="1217">
        <f t="shared" si="141"/>
        <v>1.5</v>
      </c>
      <c r="BC187" s="1217">
        <f t="shared" si="153"/>
        <v>0.30000000000000004</v>
      </c>
      <c r="BD187" s="1217"/>
    </row>
    <row r="188" spans="2:56" s="1120" customFormat="1" ht="24.95" customHeight="1">
      <c r="B188" s="445"/>
      <c r="C188" s="843">
        <v>169</v>
      </c>
      <c r="D188" s="843"/>
      <c r="E188" s="843"/>
      <c r="F188" s="1116" t="s">
        <v>2648</v>
      </c>
      <c r="G188" s="1117" t="s">
        <v>2648</v>
      </c>
      <c r="H188" s="868" t="s">
        <v>3145</v>
      </c>
      <c r="I188" s="1118" t="s">
        <v>3145</v>
      </c>
      <c r="J188" s="1138" t="s">
        <v>2968</v>
      </c>
      <c r="K188" s="1138" t="s">
        <v>2976</v>
      </c>
      <c r="L188" s="870" t="s">
        <v>2307</v>
      </c>
      <c r="M188" s="868" t="s">
        <v>2174</v>
      </c>
      <c r="N188" s="1118"/>
      <c r="O188" s="1119">
        <v>0.5</v>
      </c>
      <c r="P188" s="884">
        <v>0.65</v>
      </c>
      <c r="Q188" s="885"/>
      <c r="R188" s="843">
        <v>1</v>
      </c>
      <c r="S188" s="843">
        <v>0</v>
      </c>
      <c r="T188" s="843">
        <v>1</v>
      </c>
      <c r="U188" s="843">
        <v>0</v>
      </c>
      <c r="V188" s="843">
        <v>0</v>
      </c>
      <c r="W188" s="843">
        <v>1</v>
      </c>
      <c r="X188" s="870" t="s">
        <v>2939</v>
      </c>
      <c r="Y188" s="843" t="str">
        <f>IF(OR(ISNA(MATCH(MID(X188,1,3)*1,UomConversion!$D$8:$D$500,0)),H188=""),"",IF(AV188="","",AV188))</f>
        <v/>
      </c>
      <c r="Z188" s="843" t="str">
        <f>IF(AND(AU188&gt;0,COUNTIFS(UomConversion!$D$8:$D$500,MID(X188,1,3)*1,UomConversion!$J$8:$J$500,1)&gt;1),TEXT(AU188,"000")&amp;"."&amp;VLOOKUP(AU188,uom_list,5,FALSE),"")</f>
        <v/>
      </c>
      <c r="AA188" s="843">
        <f t="shared" si="147"/>
        <v>1</v>
      </c>
      <c r="AB188" s="843" t="str">
        <f t="shared" si="151"/>
        <v>2</v>
      </c>
      <c r="AC188" s="843">
        <f t="shared" ref="AC188" si="193">import_pro_number_of_price_type</f>
        <v>2</v>
      </c>
      <c r="AD188" s="1214">
        <v>0</v>
      </c>
      <c r="AE188" s="1214">
        <v>0.65</v>
      </c>
      <c r="AF188" s="1215"/>
      <c r="AG188" s="1215"/>
      <c r="AH188" s="1215"/>
      <c r="AI188" s="1215"/>
      <c r="AJ188" s="1216"/>
      <c r="AK188" s="1216"/>
      <c r="AL188" s="1216"/>
      <c r="AM188" s="1216"/>
      <c r="AN188" s="1216"/>
      <c r="AO188" s="1216"/>
      <c r="AP188" s="1216"/>
      <c r="AQ188" s="1216"/>
      <c r="AR188" s="1216"/>
      <c r="AS188" s="1216"/>
      <c r="AT188" s="1216"/>
      <c r="AU188" s="1120" cm="1">
        <f t="array" ref="AU188">IF(H188="","",Slookup(MID(X188,1,3)*1,UomConversion!$D$8:$J$500,2,UomConversion!$I$8:$I$500,1,UomConversion!$J$8:$J$500,1))</f>
        <v>0</v>
      </c>
      <c r="AV188" s="401" t="str">
        <f t="shared" si="149"/>
        <v/>
      </c>
      <c r="AW188" s="757">
        <f t="shared" si="185"/>
        <v>2</v>
      </c>
      <c r="AX188" s="757" t="str">
        <f t="shared" si="185"/>
        <v/>
      </c>
      <c r="AY188" s="757" t="str">
        <f t="shared" si="185"/>
        <v/>
      </c>
      <c r="AZ188" s="1209" cm="1">
        <f t="array" ref="AZ188">IF(Y188="",1,Slookup(MID(X188,1,3)*1,UomConversion!$D$8:$J$500,5,UomConversion!$E$8:$E$500,MID(Y188,1,3)*1,UomConversion!$I$8:$I$500,1))</f>
        <v>1</v>
      </c>
      <c r="BA188" s="1209" cm="1">
        <f t="array" ref="BA188">IF(Z188="",1,Slookup(MID(X188,1,3)*1,UomConversion!$D$8:$J$500,5,UomConversion!$E$8:$E$500,MID(Z188,1,3)*1,UomConversion!$I$8:$I$500,1))</f>
        <v>1</v>
      </c>
      <c r="BB188" s="1217">
        <f t="shared" si="141"/>
        <v>0.65</v>
      </c>
      <c r="BC188" s="1217">
        <f t="shared" si="153"/>
        <v>0.15000000000000002</v>
      </c>
      <c r="BD188" s="1217"/>
    </row>
    <row r="189" spans="2:56" s="1120" customFormat="1" ht="24.95" customHeight="1">
      <c r="B189" s="445"/>
      <c r="C189" s="843">
        <v>170</v>
      </c>
      <c r="D189" s="843"/>
      <c r="E189" s="843"/>
      <c r="F189" s="1116" t="s">
        <v>2650</v>
      </c>
      <c r="G189" s="1117" t="s">
        <v>2650</v>
      </c>
      <c r="H189" s="868" t="s">
        <v>3146</v>
      </c>
      <c r="I189" s="1118" t="s">
        <v>3146</v>
      </c>
      <c r="J189" s="1138" t="s">
        <v>2968</v>
      </c>
      <c r="K189" s="1138" t="s">
        <v>2976</v>
      </c>
      <c r="L189" s="870" t="s">
        <v>2307</v>
      </c>
      <c r="M189" s="868" t="s">
        <v>2174</v>
      </c>
      <c r="N189" s="1118"/>
      <c r="O189" s="1119">
        <v>0.4</v>
      </c>
      <c r="P189" s="884">
        <v>0.13</v>
      </c>
      <c r="Q189" s="885"/>
      <c r="R189" s="843">
        <v>1</v>
      </c>
      <c r="S189" s="843">
        <v>0</v>
      </c>
      <c r="T189" s="843">
        <v>1</v>
      </c>
      <c r="U189" s="843">
        <v>0</v>
      </c>
      <c r="V189" s="843">
        <v>0</v>
      </c>
      <c r="W189" s="843">
        <v>1</v>
      </c>
      <c r="X189" s="870" t="s">
        <v>2939</v>
      </c>
      <c r="Y189" s="843" t="str">
        <f>IF(OR(ISNA(MATCH(MID(X189,1,3)*1,UomConversion!$D$8:$D$500,0)),H189=""),"",IF(AV189="","",AV189))</f>
        <v/>
      </c>
      <c r="Z189" s="843" t="str">
        <f>IF(AND(AU189&gt;0,COUNTIFS(UomConversion!$D$8:$D$500,MID(X189,1,3)*1,UomConversion!$J$8:$J$500,1)&gt;1),TEXT(AU189,"000")&amp;"."&amp;VLOOKUP(AU189,uom_list,5,FALSE),"")</f>
        <v/>
      </c>
      <c r="AA189" s="843">
        <f t="shared" si="147"/>
        <v>1</v>
      </c>
      <c r="AB189" s="843" t="str">
        <f t="shared" si="151"/>
        <v>2</v>
      </c>
      <c r="AC189" s="843">
        <f t="shared" ref="AC189" si="194">import_pro_number_of_price_type</f>
        <v>2</v>
      </c>
      <c r="AD189" s="1214">
        <v>0</v>
      </c>
      <c r="AE189" s="1214">
        <v>0.13</v>
      </c>
      <c r="AF189" s="1215"/>
      <c r="AG189" s="1215"/>
      <c r="AH189" s="1215"/>
      <c r="AI189" s="1215"/>
      <c r="AJ189" s="1216"/>
      <c r="AK189" s="1216"/>
      <c r="AL189" s="1216"/>
      <c r="AM189" s="1216"/>
      <c r="AN189" s="1216"/>
      <c r="AO189" s="1216"/>
      <c r="AP189" s="1216"/>
      <c r="AQ189" s="1216"/>
      <c r="AR189" s="1216"/>
      <c r="AS189" s="1216"/>
      <c r="AT189" s="1216"/>
      <c r="AU189" s="1120" cm="1">
        <f t="array" ref="AU189">IF(H189="","",Slookup(MID(X189,1,3)*1,UomConversion!$D$8:$J$500,2,UomConversion!$I$8:$I$500,1,UomConversion!$J$8:$J$500,1))</f>
        <v>0</v>
      </c>
      <c r="AV189" s="401" t="str">
        <f t="shared" si="149"/>
        <v/>
      </c>
      <c r="AW189" s="757">
        <f t="shared" si="185"/>
        <v>2</v>
      </c>
      <c r="AX189" s="757" t="str">
        <f t="shared" si="185"/>
        <v/>
      </c>
      <c r="AY189" s="757" t="str">
        <f t="shared" si="185"/>
        <v/>
      </c>
      <c r="AZ189" s="1209" cm="1">
        <f t="array" ref="AZ189">IF(Y189="",1,Slookup(MID(X189,1,3)*1,UomConversion!$D$8:$J$500,5,UomConversion!$E$8:$E$500,MID(Y189,1,3)*1,UomConversion!$I$8:$I$500,1))</f>
        <v>1</v>
      </c>
      <c r="BA189" s="1209" cm="1">
        <f t="array" ref="BA189">IF(Z189="",1,Slookup(MID(X189,1,3)*1,UomConversion!$D$8:$J$500,5,UomConversion!$E$8:$E$500,MID(Z189,1,3)*1,UomConversion!$I$8:$I$500,1))</f>
        <v>1</v>
      </c>
      <c r="BB189" s="1217">
        <f t="shared" si="141"/>
        <v>0.13</v>
      </c>
      <c r="BC189" s="1217">
        <f t="shared" si="153"/>
        <v>-0.27</v>
      </c>
      <c r="BD189" s="1217"/>
    </row>
    <row r="190" spans="2:56" s="1120" customFormat="1" ht="24.95" customHeight="1">
      <c r="B190" s="445"/>
      <c r="C190" s="843">
        <v>171</v>
      </c>
      <c r="D190" s="843"/>
      <c r="E190" s="843"/>
      <c r="F190" s="1116" t="s">
        <v>2652</v>
      </c>
      <c r="G190" s="1117" t="s">
        <v>2652</v>
      </c>
      <c r="H190" s="868" t="s">
        <v>3147</v>
      </c>
      <c r="I190" s="1118" t="s">
        <v>3147</v>
      </c>
      <c r="J190" s="1138" t="s">
        <v>2968</v>
      </c>
      <c r="K190" s="1138" t="s">
        <v>2976</v>
      </c>
      <c r="L190" s="870" t="s">
        <v>2266</v>
      </c>
      <c r="M190" s="868" t="s">
        <v>2174</v>
      </c>
      <c r="N190" s="1118"/>
      <c r="O190" s="1119">
        <v>0.96</v>
      </c>
      <c r="P190" s="884">
        <v>1.5</v>
      </c>
      <c r="Q190" s="885"/>
      <c r="R190" s="843">
        <v>12</v>
      </c>
      <c r="S190" s="843">
        <v>0</v>
      </c>
      <c r="T190" s="843">
        <v>1</v>
      </c>
      <c r="U190" s="843">
        <v>0</v>
      </c>
      <c r="V190" s="843">
        <v>0</v>
      </c>
      <c r="W190" s="843">
        <v>1</v>
      </c>
      <c r="X190" s="870" t="s">
        <v>2935</v>
      </c>
      <c r="Y190" s="843" t="str">
        <f>IF(OR(ISNA(MATCH(MID(X190,1,3)*1,UomConversion!$D$8:$D$500,0)),H190=""),"",IF(AV190="","",AV190))</f>
        <v>002.pcs</v>
      </c>
      <c r="Z190" s="843" t="str">
        <f>IF(AND(AU190&gt;0,COUNTIFS(UomConversion!$D$8:$D$500,MID(X190,1,3)*1,UomConversion!$J$8:$J$500,1)&gt;1),TEXT(AU190,"000")&amp;"."&amp;VLOOKUP(AU190,uom_list,5,FALSE),"")</f>
        <v/>
      </c>
      <c r="AA190" s="843">
        <f t="shared" si="147"/>
        <v>2</v>
      </c>
      <c r="AB190" s="843" t="str">
        <f t="shared" si="151"/>
        <v>49,2</v>
      </c>
      <c r="AC190" s="843">
        <f t="shared" ref="AC190" si="195">import_pro_number_of_price_type</f>
        <v>2</v>
      </c>
      <c r="AD190" s="1219">
        <v>0</v>
      </c>
      <c r="AE190" s="1219">
        <v>0.125</v>
      </c>
      <c r="AF190" s="1215"/>
      <c r="AG190" s="1215"/>
      <c r="AH190" s="1215"/>
      <c r="AI190" s="1215"/>
      <c r="AJ190" s="1216"/>
      <c r="AK190" s="1216"/>
      <c r="AL190" s="1216"/>
      <c r="AM190" s="1216"/>
      <c r="AN190" s="1216"/>
      <c r="AO190" s="1216"/>
      <c r="AP190" s="1216"/>
      <c r="AQ190" s="1216"/>
      <c r="AR190" s="1216"/>
      <c r="AS190" s="1216"/>
      <c r="AT190" s="1216"/>
      <c r="AU190" s="1120" cm="1">
        <f t="array" ref="AU190">IF(H190="","",Slookup(MID(X190,1,3)*1,UomConversion!$D$8:$J$500,2,UomConversion!$I$8:$I$500,1,UomConversion!$J$8:$J$500,1))</f>
        <v>2</v>
      </c>
      <c r="AV190" s="401" t="str">
        <f t="shared" si="149"/>
        <v>002.pcs</v>
      </c>
      <c r="AW190" s="757">
        <f t="shared" si="185"/>
        <v>49</v>
      </c>
      <c r="AX190" s="757">
        <f t="shared" si="185"/>
        <v>2</v>
      </c>
      <c r="AY190" s="757" t="str">
        <f t="shared" si="185"/>
        <v/>
      </c>
      <c r="AZ190" s="1209" cm="1">
        <f t="array" ref="AZ190">IF(Y190="",1,Slookup(MID(X190,1,3)*1,UomConversion!$D$8:$J$500,5,UomConversion!$E$8:$E$500,MID(Y190,1,3)*1,UomConversion!$I$8:$I$500,1))</f>
        <v>12</v>
      </c>
      <c r="BA190" s="1209" cm="1">
        <f t="array" ref="BA190">IF(Z190="",1,Slookup(MID(X190,1,3)*1,UomConversion!$D$8:$J$500,5,UomConversion!$E$8:$E$500,MID(Z190,1,3)*1,UomConversion!$I$8:$I$500,1))</f>
        <v>1</v>
      </c>
      <c r="BB190" s="1217">
        <f t="shared" si="141"/>
        <v>1.5</v>
      </c>
      <c r="BC190" s="1217">
        <f t="shared" si="153"/>
        <v>0.54</v>
      </c>
      <c r="BD190" s="1217"/>
    </row>
    <row r="191" spans="2:56" s="1120" customFormat="1" ht="24.95" customHeight="1">
      <c r="B191" s="445"/>
      <c r="C191" s="843">
        <v>172</v>
      </c>
      <c r="D191" s="843"/>
      <c r="E191" s="843"/>
      <c r="F191" s="1116" t="s">
        <v>2654</v>
      </c>
      <c r="G191" s="1117" t="s">
        <v>2654</v>
      </c>
      <c r="H191" s="868" t="s">
        <v>3148</v>
      </c>
      <c r="I191" s="1118" t="s">
        <v>3148</v>
      </c>
      <c r="J191" s="1138" t="s">
        <v>2968</v>
      </c>
      <c r="K191" s="1138" t="s">
        <v>2976</v>
      </c>
      <c r="L191" s="870" t="s">
        <v>2266</v>
      </c>
      <c r="M191" s="868" t="s">
        <v>2174</v>
      </c>
      <c r="N191" s="1118"/>
      <c r="O191" s="1119">
        <v>1.2</v>
      </c>
      <c r="P191" s="884">
        <v>3</v>
      </c>
      <c r="Q191" s="885"/>
      <c r="R191" s="843">
        <v>12</v>
      </c>
      <c r="S191" s="843">
        <v>0</v>
      </c>
      <c r="T191" s="843">
        <v>1</v>
      </c>
      <c r="U191" s="843">
        <v>0</v>
      </c>
      <c r="V191" s="843">
        <v>0</v>
      </c>
      <c r="W191" s="843">
        <v>1</v>
      </c>
      <c r="X191" s="870" t="s">
        <v>2935</v>
      </c>
      <c r="Y191" s="843" t="str">
        <f>IF(OR(ISNA(MATCH(MID(X191,1,3)*1,UomConversion!$D$8:$D$500,0)),H191=""),"",IF(AV191="","",AV191))</f>
        <v>002.pcs</v>
      </c>
      <c r="Z191" s="843" t="str">
        <f>IF(AND(AU191&gt;0,COUNTIFS(UomConversion!$D$8:$D$500,MID(X191,1,3)*1,UomConversion!$J$8:$J$500,1)&gt;1),TEXT(AU191,"000")&amp;"."&amp;VLOOKUP(AU191,uom_list,5,FALSE),"")</f>
        <v/>
      </c>
      <c r="AA191" s="843">
        <f t="shared" si="147"/>
        <v>2</v>
      </c>
      <c r="AB191" s="843" t="str">
        <f t="shared" si="151"/>
        <v>49,2</v>
      </c>
      <c r="AC191" s="843">
        <f t="shared" ref="AC191" si="196">import_pro_number_of_price_type</f>
        <v>2</v>
      </c>
      <c r="AD191" s="1219">
        <v>0</v>
      </c>
      <c r="AE191" s="1219">
        <v>0.25</v>
      </c>
      <c r="AF191" s="1215"/>
      <c r="AG191" s="1215"/>
      <c r="AH191" s="1215"/>
      <c r="AI191" s="1215"/>
      <c r="AJ191" s="1216"/>
      <c r="AK191" s="1216"/>
      <c r="AL191" s="1216"/>
      <c r="AM191" s="1216"/>
      <c r="AN191" s="1216"/>
      <c r="AO191" s="1216"/>
      <c r="AP191" s="1216"/>
      <c r="AQ191" s="1216"/>
      <c r="AR191" s="1216"/>
      <c r="AS191" s="1216"/>
      <c r="AT191" s="1216"/>
      <c r="AU191" s="1120" cm="1">
        <f t="array" ref="AU191">IF(H191="","",Slookup(MID(X191,1,3)*1,UomConversion!$D$8:$J$500,2,UomConversion!$I$8:$I$500,1,UomConversion!$J$8:$J$500,1))</f>
        <v>2</v>
      </c>
      <c r="AV191" s="401" t="str">
        <f t="shared" si="149"/>
        <v>002.pcs</v>
      </c>
      <c r="AW191" s="757">
        <f t="shared" si="185"/>
        <v>49</v>
      </c>
      <c r="AX191" s="757">
        <f t="shared" si="185"/>
        <v>2</v>
      </c>
      <c r="AY191" s="757" t="str">
        <f t="shared" si="185"/>
        <v/>
      </c>
      <c r="AZ191" s="1209" cm="1">
        <f t="array" ref="AZ191">IF(Y191="",1,Slookup(MID(X191,1,3)*1,UomConversion!$D$8:$J$500,5,UomConversion!$E$8:$E$500,MID(Y191,1,3)*1,UomConversion!$I$8:$I$500,1))</f>
        <v>12</v>
      </c>
      <c r="BA191" s="1209" cm="1">
        <f t="array" ref="BA191">IF(Z191="",1,Slookup(MID(X191,1,3)*1,UomConversion!$D$8:$J$500,5,UomConversion!$E$8:$E$500,MID(Z191,1,3)*1,UomConversion!$I$8:$I$500,1))</f>
        <v>1</v>
      </c>
      <c r="BB191" s="1217">
        <f t="shared" si="141"/>
        <v>3</v>
      </c>
      <c r="BC191" s="1217">
        <f t="shared" si="153"/>
        <v>1.8</v>
      </c>
      <c r="BD191" s="1217"/>
    </row>
    <row r="192" spans="2:56" s="1120" customFormat="1" ht="24.95" customHeight="1">
      <c r="B192" s="445"/>
      <c r="C192" s="843">
        <v>173</v>
      </c>
      <c r="D192" s="843"/>
      <c r="E192" s="843"/>
      <c r="F192" s="1116" t="s">
        <v>2656</v>
      </c>
      <c r="G192" s="1117" t="s">
        <v>2656</v>
      </c>
      <c r="H192" s="868" t="s">
        <v>3149</v>
      </c>
      <c r="I192" s="1118" t="s">
        <v>3149</v>
      </c>
      <c r="J192" s="1138" t="s">
        <v>2968</v>
      </c>
      <c r="K192" s="1138" t="s">
        <v>2976</v>
      </c>
      <c r="L192" s="870" t="s">
        <v>2266</v>
      </c>
      <c r="M192" s="868" t="s">
        <v>2174</v>
      </c>
      <c r="N192" s="1118"/>
      <c r="O192" s="1119">
        <v>1.68</v>
      </c>
      <c r="P192" s="884">
        <v>4.4399999999999995</v>
      </c>
      <c r="Q192" s="885"/>
      <c r="R192" s="843">
        <v>12</v>
      </c>
      <c r="S192" s="843">
        <v>0</v>
      </c>
      <c r="T192" s="843">
        <v>1</v>
      </c>
      <c r="U192" s="843">
        <v>0</v>
      </c>
      <c r="V192" s="843">
        <v>0</v>
      </c>
      <c r="W192" s="843">
        <v>1</v>
      </c>
      <c r="X192" s="870" t="s">
        <v>2935</v>
      </c>
      <c r="Y192" s="843" t="str">
        <f>IF(OR(ISNA(MATCH(MID(X192,1,3)*1,UomConversion!$D$8:$D$500,0)),H192=""),"",IF(AV192="","",AV192))</f>
        <v>002.pcs</v>
      </c>
      <c r="Z192" s="843" t="str">
        <f>IF(AND(AU192&gt;0,COUNTIFS(UomConversion!$D$8:$D$500,MID(X192,1,3)*1,UomConversion!$J$8:$J$500,1)&gt;1),TEXT(AU192,"000")&amp;"."&amp;VLOOKUP(AU192,uom_list,5,FALSE),"")</f>
        <v/>
      </c>
      <c r="AA192" s="843">
        <f t="shared" si="147"/>
        <v>2</v>
      </c>
      <c r="AB192" s="843" t="str">
        <f t="shared" si="151"/>
        <v>49,2</v>
      </c>
      <c r="AC192" s="843">
        <f t="shared" ref="AC192" si="197">import_pro_number_of_price_type</f>
        <v>2</v>
      </c>
      <c r="AD192" s="1219">
        <v>0</v>
      </c>
      <c r="AE192" s="1219">
        <v>0.37</v>
      </c>
      <c r="AF192" s="1215"/>
      <c r="AG192" s="1215"/>
      <c r="AH192" s="1215"/>
      <c r="AI192" s="1215"/>
      <c r="AJ192" s="1216"/>
      <c r="AK192" s="1216"/>
      <c r="AL192" s="1216"/>
      <c r="AM192" s="1216"/>
      <c r="AN192" s="1216"/>
      <c r="AO192" s="1216"/>
      <c r="AP192" s="1216"/>
      <c r="AQ192" s="1216"/>
      <c r="AR192" s="1216"/>
      <c r="AS192" s="1216"/>
      <c r="AT192" s="1216"/>
      <c r="AU192" s="1120" cm="1">
        <f t="array" ref="AU192">IF(H192="","",Slookup(MID(X192,1,3)*1,UomConversion!$D$8:$J$500,2,UomConversion!$I$8:$I$500,1,UomConversion!$J$8:$J$500,1))</f>
        <v>2</v>
      </c>
      <c r="AV192" s="401" t="str">
        <f t="shared" si="149"/>
        <v>002.pcs</v>
      </c>
      <c r="AW192" s="757">
        <f t="shared" si="185"/>
        <v>49</v>
      </c>
      <c r="AX192" s="757">
        <f t="shared" si="185"/>
        <v>2</v>
      </c>
      <c r="AY192" s="757" t="str">
        <f t="shared" si="185"/>
        <v/>
      </c>
      <c r="AZ192" s="1209" cm="1">
        <f t="array" ref="AZ192">IF(Y192="",1,Slookup(MID(X192,1,3)*1,UomConversion!$D$8:$J$500,5,UomConversion!$E$8:$E$500,MID(Y192,1,3)*1,UomConversion!$I$8:$I$500,1))</f>
        <v>12</v>
      </c>
      <c r="BA192" s="1209" cm="1">
        <f t="array" ref="BA192">IF(Z192="",1,Slookup(MID(X192,1,3)*1,UomConversion!$D$8:$J$500,5,UomConversion!$E$8:$E$500,MID(Z192,1,3)*1,UomConversion!$I$8:$I$500,1))</f>
        <v>1</v>
      </c>
      <c r="BB192" s="1217">
        <f t="shared" si="141"/>
        <v>4.4399999999999995</v>
      </c>
      <c r="BC192" s="1217">
        <f t="shared" si="153"/>
        <v>2.76</v>
      </c>
      <c r="BD192" s="1217"/>
    </row>
    <row r="193" spans="2:56" s="1120" customFormat="1" ht="24.95" customHeight="1">
      <c r="B193" s="445"/>
      <c r="C193" s="843">
        <v>174</v>
      </c>
      <c r="D193" s="843"/>
      <c r="E193" s="843"/>
      <c r="F193" s="1116" t="s">
        <v>2659</v>
      </c>
      <c r="G193" s="1117" t="s">
        <v>2659</v>
      </c>
      <c r="H193" s="868" t="s">
        <v>3150</v>
      </c>
      <c r="I193" s="1118" t="s">
        <v>3150</v>
      </c>
      <c r="J193" s="1138" t="s">
        <v>2968</v>
      </c>
      <c r="K193" s="1138" t="s">
        <v>2976</v>
      </c>
      <c r="L193" s="870" t="s">
        <v>2266</v>
      </c>
      <c r="M193" s="868" t="s">
        <v>2174</v>
      </c>
      <c r="N193" s="1118"/>
      <c r="O193" s="1119">
        <v>2.4</v>
      </c>
      <c r="P193" s="884">
        <v>6</v>
      </c>
      <c r="Q193" s="885"/>
      <c r="R193" s="843">
        <v>12</v>
      </c>
      <c r="S193" s="843">
        <v>0</v>
      </c>
      <c r="T193" s="843">
        <v>1</v>
      </c>
      <c r="U193" s="843">
        <v>0</v>
      </c>
      <c r="V193" s="843">
        <v>0</v>
      </c>
      <c r="W193" s="843">
        <v>1</v>
      </c>
      <c r="X193" s="870" t="s">
        <v>2935</v>
      </c>
      <c r="Y193" s="843" t="str">
        <f>IF(OR(ISNA(MATCH(MID(X193,1,3)*1,UomConversion!$D$8:$D$500,0)),H193=""),"",IF(AV193="","",AV193))</f>
        <v>002.pcs</v>
      </c>
      <c r="Z193" s="843" t="str">
        <f>IF(AND(AU193&gt;0,COUNTIFS(UomConversion!$D$8:$D$500,MID(X193,1,3)*1,UomConversion!$J$8:$J$500,1)&gt;1),TEXT(AU193,"000")&amp;"."&amp;VLOOKUP(AU193,uom_list,5,FALSE),"")</f>
        <v/>
      </c>
      <c r="AA193" s="843">
        <f t="shared" si="147"/>
        <v>2</v>
      </c>
      <c r="AB193" s="843" t="str">
        <f t="shared" si="151"/>
        <v>49,2</v>
      </c>
      <c r="AC193" s="843">
        <f t="shared" ref="AC193" si="198">import_pro_number_of_price_type</f>
        <v>2</v>
      </c>
      <c r="AD193" s="1219">
        <v>0</v>
      </c>
      <c r="AE193" s="1219">
        <v>0.5</v>
      </c>
      <c r="AF193" s="1215"/>
      <c r="AG193" s="1215"/>
      <c r="AH193" s="1215"/>
      <c r="AI193" s="1215"/>
      <c r="AJ193" s="1216"/>
      <c r="AK193" s="1216"/>
      <c r="AL193" s="1216"/>
      <c r="AM193" s="1216"/>
      <c r="AN193" s="1216"/>
      <c r="AO193" s="1216"/>
      <c r="AP193" s="1216"/>
      <c r="AQ193" s="1216"/>
      <c r="AR193" s="1216"/>
      <c r="AS193" s="1216"/>
      <c r="AT193" s="1216"/>
      <c r="AU193" s="1120" cm="1">
        <f t="array" ref="AU193">IF(H193="","",Slookup(MID(X193,1,3)*1,UomConversion!$D$8:$J$500,2,UomConversion!$I$8:$I$500,1,UomConversion!$J$8:$J$500,1))</f>
        <v>2</v>
      </c>
      <c r="AV193" s="401" t="str">
        <f t="shared" si="149"/>
        <v>002.pcs</v>
      </c>
      <c r="AW193" s="757">
        <f t="shared" si="185"/>
        <v>49</v>
      </c>
      <c r="AX193" s="757">
        <f t="shared" si="185"/>
        <v>2</v>
      </c>
      <c r="AY193" s="757" t="str">
        <f t="shared" si="185"/>
        <v/>
      </c>
      <c r="AZ193" s="1209" cm="1">
        <f t="array" ref="AZ193">IF(Y193="",1,Slookup(MID(X193,1,3)*1,UomConversion!$D$8:$J$500,5,UomConversion!$E$8:$E$500,MID(Y193,1,3)*1,UomConversion!$I$8:$I$500,1))</f>
        <v>12</v>
      </c>
      <c r="BA193" s="1209" cm="1">
        <f t="array" ref="BA193">IF(Z193="",1,Slookup(MID(X193,1,3)*1,UomConversion!$D$8:$J$500,5,UomConversion!$E$8:$E$500,MID(Z193,1,3)*1,UomConversion!$I$8:$I$500,1))</f>
        <v>1</v>
      </c>
      <c r="BB193" s="1217">
        <f t="shared" si="141"/>
        <v>6</v>
      </c>
      <c r="BC193" s="1217">
        <f t="shared" si="153"/>
        <v>3.6</v>
      </c>
      <c r="BD193" s="1217"/>
    </row>
    <row r="194" spans="2:56" s="1120" customFormat="1" ht="24.95" customHeight="1">
      <c r="B194" s="445"/>
      <c r="C194" s="843">
        <v>175</v>
      </c>
      <c r="D194" s="843"/>
      <c r="E194" s="843"/>
      <c r="F194" s="1116" t="s">
        <v>2661</v>
      </c>
      <c r="G194" s="1117" t="s">
        <v>2661</v>
      </c>
      <c r="H194" s="868" t="s">
        <v>3151</v>
      </c>
      <c r="I194" s="1118" t="s">
        <v>3151</v>
      </c>
      <c r="J194" s="1138" t="s">
        <v>2968</v>
      </c>
      <c r="K194" s="1138" t="s">
        <v>2976</v>
      </c>
      <c r="L194" s="870" t="s">
        <v>2266</v>
      </c>
      <c r="M194" s="868" t="s">
        <v>2174</v>
      </c>
      <c r="N194" s="1118"/>
      <c r="O194" s="1119">
        <v>2.88</v>
      </c>
      <c r="P194" s="884">
        <v>7.8</v>
      </c>
      <c r="Q194" s="885"/>
      <c r="R194" s="843">
        <v>12</v>
      </c>
      <c r="S194" s="843">
        <v>0</v>
      </c>
      <c r="T194" s="843">
        <v>1</v>
      </c>
      <c r="U194" s="843">
        <v>0</v>
      </c>
      <c r="V194" s="843">
        <v>0</v>
      </c>
      <c r="W194" s="843">
        <v>1</v>
      </c>
      <c r="X194" s="870" t="s">
        <v>2935</v>
      </c>
      <c r="Y194" s="843" t="str">
        <f>IF(OR(ISNA(MATCH(MID(X194,1,3)*1,UomConversion!$D$8:$D$500,0)),H194=""),"",IF(AV194="","",AV194))</f>
        <v>002.pcs</v>
      </c>
      <c r="Z194" s="843" t="str">
        <f>IF(AND(AU194&gt;0,COUNTIFS(UomConversion!$D$8:$D$500,MID(X194,1,3)*1,UomConversion!$J$8:$J$500,1)&gt;1),TEXT(AU194,"000")&amp;"."&amp;VLOOKUP(AU194,uom_list,5,FALSE),"")</f>
        <v/>
      </c>
      <c r="AA194" s="843">
        <f t="shared" si="147"/>
        <v>2</v>
      </c>
      <c r="AB194" s="843" t="str">
        <f t="shared" si="151"/>
        <v>49,2</v>
      </c>
      <c r="AC194" s="843">
        <f t="shared" ref="AC194" si="199">import_pro_number_of_price_type</f>
        <v>2</v>
      </c>
      <c r="AD194" s="1219">
        <v>0</v>
      </c>
      <c r="AE194" s="1219">
        <v>0.65</v>
      </c>
      <c r="AF194" s="1215"/>
      <c r="AG194" s="1215"/>
      <c r="AH194" s="1215"/>
      <c r="AI194" s="1215"/>
      <c r="AJ194" s="1216"/>
      <c r="AK194" s="1216"/>
      <c r="AL194" s="1216"/>
      <c r="AM194" s="1216"/>
      <c r="AN194" s="1216"/>
      <c r="AO194" s="1216"/>
      <c r="AP194" s="1216"/>
      <c r="AQ194" s="1216"/>
      <c r="AR194" s="1216"/>
      <c r="AS194" s="1216"/>
      <c r="AT194" s="1216"/>
      <c r="AU194" s="1120" cm="1">
        <f t="array" ref="AU194">IF(H194="","",Slookup(MID(X194,1,3)*1,UomConversion!$D$8:$J$500,2,UomConversion!$I$8:$I$500,1,UomConversion!$J$8:$J$500,1))</f>
        <v>2</v>
      </c>
      <c r="AV194" s="401" t="str">
        <f t="shared" si="149"/>
        <v>002.pcs</v>
      </c>
      <c r="AW194" s="757">
        <f t="shared" si="185"/>
        <v>49</v>
      </c>
      <c r="AX194" s="757">
        <f t="shared" si="185"/>
        <v>2</v>
      </c>
      <c r="AY194" s="757" t="str">
        <f t="shared" si="185"/>
        <v/>
      </c>
      <c r="AZ194" s="1209" cm="1">
        <f t="array" ref="AZ194">IF(Y194="",1,Slookup(MID(X194,1,3)*1,UomConversion!$D$8:$J$500,5,UomConversion!$E$8:$E$500,MID(Y194,1,3)*1,UomConversion!$I$8:$I$500,1))</f>
        <v>12</v>
      </c>
      <c r="BA194" s="1209" cm="1">
        <f t="array" ref="BA194">IF(Z194="",1,Slookup(MID(X194,1,3)*1,UomConversion!$D$8:$J$500,5,UomConversion!$E$8:$E$500,MID(Z194,1,3)*1,UomConversion!$I$8:$I$500,1))</f>
        <v>1</v>
      </c>
      <c r="BB194" s="1217">
        <f t="shared" si="141"/>
        <v>7.8000000000000007</v>
      </c>
      <c r="BC194" s="1217">
        <f t="shared" si="153"/>
        <v>4.92</v>
      </c>
      <c r="BD194" s="1217"/>
    </row>
    <row r="195" spans="2:56" s="1120" customFormat="1" ht="24.95" customHeight="1">
      <c r="B195" s="445"/>
      <c r="C195" s="843">
        <v>176</v>
      </c>
      <c r="D195" s="843"/>
      <c r="E195" s="843"/>
      <c r="F195" s="1116" t="s">
        <v>2663</v>
      </c>
      <c r="G195" s="1117" t="s">
        <v>2663</v>
      </c>
      <c r="H195" s="868" t="s">
        <v>3152</v>
      </c>
      <c r="I195" s="1118" t="s">
        <v>3152</v>
      </c>
      <c r="J195" s="1138" t="s">
        <v>2969</v>
      </c>
      <c r="K195" s="1138" t="s">
        <v>2972</v>
      </c>
      <c r="L195" s="870" t="s">
        <v>2757</v>
      </c>
      <c r="M195" s="868" t="s">
        <v>2658</v>
      </c>
      <c r="N195" s="1118"/>
      <c r="O195" s="1119">
        <v>85</v>
      </c>
      <c r="P195" s="884">
        <v>90</v>
      </c>
      <c r="Q195" s="885"/>
      <c r="R195" s="843">
        <v>1000</v>
      </c>
      <c r="S195" s="843">
        <v>0</v>
      </c>
      <c r="T195" s="843">
        <v>1</v>
      </c>
      <c r="U195" s="843">
        <v>0</v>
      </c>
      <c r="V195" s="843">
        <v>0</v>
      </c>
      <c r="W195" s="843">
        <v>1</v>
      </c>
      <c r="X195" s="870" t="s">
        <v>2936</v>
      </c>
      <c r="Y195" s="843" t="str">
        <f>IF(OR(ISNA(MATCH(MID(X195,1,3)*1,UomConversion!$D$8:$D$500,0)),H195=""),"",IF(AV195="","",AV195))</f>
        <v>022.Be</v>
      </c>
      <c r="Z195" s="843" t="str">
        <f>IF(AND(AU195&gt;0,COUNTIFS(UomConversion!$D$8:$D$500,MID(X195,1,3)*1,UomConversion!$J$8:$J$500,1)&gt;1),TEXT(AU195,"000")&amp;"."&amp;VLOOKUP(AU195,uom_list,5,FALSE),"")</f>
        <v>012.kg</v>
      </c>
      <c r="AA195" s="843">
        <f t="shared" si="147"/>
        <v>3</v>
      </c>
      <c r="AB195" s="843" t="str">
        <f t="shared" si="151"/>
        <v>51,22,12</v>
      </c>
      <c r="AC195" s="843">
        <f t="shared" ref="AC195" si="200">import_pro_number_of_price_type</f>
        <v>2</v>
      </c>
      <c r="AD195" s="1219">
        <v>0</v>
      </c>
      <c r="AE195" s="1219">
        <v>0.09</v>
      </c>
      <c r="AF195" s="1215"/>
      <c r="AG195" s="1215">
        <f>AF195/R195</f>
        <v>0</v>
      </c>
      <c r="AH195" s="1215"/>
      <c r="AI195" s="1215"/>
      <c r="AJ195" s="1216"/>
      <c r="AK195" s="1216"/>
      <c r="AL195" s="1216"/>
      <c r="AM195" s="1216"/>
      <c r="AN195" s="1216"/>
      <c r="AO195" s="1216"/>
      <c r="AP195" s="1216"/>
      <c r="AQ195" s="1216"/>
      <c r="AR195" s="1216"/>
      <c r="AS195" s="1216"/>
      <c r="AT195" s="1216"/>
      <c r="AU195" s="1120" cm="1">
        <f t="array" ref="AU195">IF(H195="","",Slookup(MID(X195,1,3)*1,UomConversion!$D$8:$J$500,2,UomConversion!$I$8:$I$500,1,UomConversion!$J$8:$J$500,1))</f>
        <v>12</v>
      </c>
      <c r="AV195" s="401" t="str">
        <f t="shared" si="149"/>
        <v>022.Be</v>
      </c>
      <c r="AW195" s="757">
        <f t="shared" si="185"/>
        <v>51</v>
      </c>
      <c r="AX195" s="757">
        <f t="shared" si="185"/>
        <v>22</v>
      </c>
      <c r="AY195" s="757">
        <f t="shared" si="185"/>
        <v>12</v>
      </c>
      <c r="AZ195" s="1209" cm="1">
        <f t="array" ref="AZ195">IF(Y195="",1,Slookup(MID(X195,1,3)*1,UomConversion!$D$8:$J$500,5,UomConversion!$E$8:$E$500,MID(Y195,1,3)*1,UomConversion!$I$8:$I$500,1))</f>
        <v>0</v>
      </c>
      <c r="BA195" s="1209" cm="1">
        <f t="array" ref="BA195">IF(Z195="",1,Slookup(MID(X195,1,3)*1,UomConversion!$D$8:$J$500,5,UomConversion!$E$8:$E$500,MID(Z195,1,3)*1,UomConversion!$I$8:$I$500,1))</f>
        <v>1000</v>
      </c>
      <c r="BB195" s="1217">
        <f t="shared" si="141"/>
        <v>90</v>
      </c>
      <c r="BC195" s="1217">
        <f t="shared" si="153"/>
        <v>5</v>
      </c>
      <c r="BD195" s="1217"/>
    </row>
    <row r="196" spans="2:56" s="1120" customFormat="1" ht="24.95" customHeight="1">
      <c r="B196" s="445"/>
      <c r="C196" s="843">
        <v>177</v>
      </c>
      <c r="D196" s="843"/>
      <c r="E196" s="843"/>
      <c r="F196" s="1116" t="s">
        <v>2665</v>
      </c>
      <c r="G196" s="1117" t="s">
        <v>2665</v>
      </c>
      <c r="H196" s="868" t="s">
        <v>3153</v>
      </c>
      <c r="I196" s="1118" t="s">
        <v>3153</v>
      </c>
      <c r="J196" s="1138" t="s">
        <v>2969</v>
      </c>
      <c r="K196" s="1138" t="s">
        <v>2972</v>
      </c>
      <c r="L196" s="870" t="s">
        <v>2757</v>
      </c>
      <c r="M196" s="868" t="s">
        <v>2658</v>
      </c>
      <c r="N196" s="1118"/>
      <c r="O196" s="1119">
        <v>83</v>
      </c>
      <c r="P196" s="884">
        <v>88</v>
      </c>
      <c r="Q196" s="885"/>
      <c r="R196" s="843">
        <v>1000</v>
      </c>
      <c r="S196" s="843">
        <v>0</v>
      </c>
      <c r="T196" s="843">
        <v>1</v>
      </c>
      <c r="U196" s="843">
        <v>0</v>
      </c>
      <c r="V196" s="843">
        <v>0</v>
      </c>
      <c r="W196" s="843">
        <v>1</v>
      </c>
      <c r="X196" s="870" t="s">
        <v>2936</v>
      </c>
      <c r="Y196" s="843" t="str">
        <f>IF(OR(ISNA(MATCH(MID(X196,1,3)*1,UomConversion!$D$8:$D$500,0)),H196=""),"",IF(AV196="","",AV196))</f>
        <v>022.Be</v>
      </c>
      <c r="Z196" s="843" t="str">
        <f>IF(AND(AU196&gt;0,COUNTIFS(UomConversion!$D$8:$D$500,MID(X196,1,3)*1,UomConversion!$J$8:$J$500,1)&gt;1),TEXT(AU196,"000")&amp;"."&amp;VLOOKUP(AU196,uom_list,5,FALSE),"")</f>
        <v>012.kg</v>
      </c>
      <c r="AA196" s="843">
        <f t="shared" si="147"/>
        <v>3</v>
      </c>
      <c r="AB196" s="843" t="str">
        <f t="shared" si="151"/>
        <v>51,22,12</v>
      </c>
      <c r="AC196" s="843">
        <f t="shared" ref="AC196" si="201">import_pro_number_of_price_type</f>
        <v>2</v>
      </c>
      <c r="AD196" s="1219">
        <v>0</v>
      </c>
      <c r="AE196" s="1219">
        <v>8.7999999999999995E-2</v>
      </c>
      <c r="AF196" s="1215"/>
      <c r="AG196" s="1215">
        <f t="shared" ref="AG196:AG198" si="202">AF196/R196</f>
        <v>0</v>
      </c>
      <c r="AH196" s="1215"/>
      <c r="AI196" s="1215"/>
      <c r="AJ196" s="1216"/>
      <c r="AK196" s="1216"/>
      <c r="AL196" s="1216"/>
      <c r="AM196" s="1216"/>
      <c r="AN196" s="1216"/>
      <c r="AO196" s="1216"/>
      <c r="AP196" s="1216"/>
      <c r="AQ196" s="1216"/>
      <c r="AR196" s="1216"/>
      <c r="AS196" s="1216"/>
      <c r="AT196" s="1216"/>
      <c r="AU196" s="1120" cm="1">
        <f t="array" ref="AU196">IF(H196="","",Slookup(MID(X196,1,3)*1,UomConversion!$D$8:$J$500,2,UomConversion!$I$8:$I$500,1,UomConversion!$J$8:$J$500,1))</f>
        <v>12</v>
      </c>
      <c r="AV196" s="401" t="str">
        <f t="shared" si="149"/>
        <v>022.Be</v>
      </c>
      <c r="AW196" s="757">
        <f t="shared" si="185"/>
        <v>51</v>
      </c>
      <c r="AX196" s="757">
        <f t="shared" si="185"/>
        <v>22</v>
      </c>
      <c r="AY196" s="757">
        <f t="shared" si="185"/>
        <v>12</v>
      </c>
      <c r="AZ196" s="1209" cm="1">
        <f t="array" ref="AZ196">IF(Y196="",1,Slookup(MID(X196,1,3)*1,UomConversion!$D$8:$J$500,5,UomConversion!$E$8:$E$500,MID(Y196,1,3)*1,UomConversion!$I$8:$I$500,1))</f>
        <v>0</v>
      </c>
      <c r="BA196" s="1209" cm="1">
        <f t="array" ref="BA196">IF(Z196="",1,Slookup(MID(X196,1,3)*1,UomConversion!$D$8:$J$500,5,UomConversion!$E$8:$E$500,MID(Z196,1,3)*1,UomConversion!$I$8:$I$500,1))</f>
        <v>1000</v>
      </c>
      <c r="BB196" s="1217">
        <f t="shared" si="141"/>
        <v>88</v>
      </c>
      <c r="BC196" s="1217">
        <f t="shared" si="153"/>
        <v>5</v>
      </c>
      <c r="BD196" s="1217"/>
    </row>
    <row r="197" spans="2:56" s="1120" customFormat="1" ht="24.95" customHeight="1">
      <c r="B197" s="445"/>
      <c r="C197" s="843">
        <v>178</v>
      </c>
      <c r="D197" s="843"/>
      <c r="E197" s="843"/>
      <c r="F197" s="1116" t="s">
        <v>2668</v>
      </c>
      <c r="G197" s="1117" t="s">
        <v>2668</v>
      </c>
      <c r="H197" s="868" t="s">
        <v>3154</v>
      </c>
      <c r="I197" s="1118" t="s">
        <v>3154</v>
      </c>
      <c r="J197" s="1138" t="s">
        <v>2969</v>
      </c>
      <c r="K197" s="1138" t="s">
        <v>2972</v>
      </c>
      <c r="L197" s="870" t="s">
        <v>2757</v>
      </c>
      <c r="M197" s="868" t="s">
        <v>2658</v>
      </c>
      <c r="N197" s="1118"/>
      <c r="O197" s="1119">
        <v>95</v>
      </c>
      <c r="P197" s="884">
        <v>100</v>
      </c>
      <c r="Q197" s="885"/>
      <c r="R197" s="843">
        <v>1000</v>
      </c>
      <c r="S197" s="843">
        <v>0</v>
      </c>
      <c r="T197" s="843">
        <v>1</v>
      </c>
      <c r="U197" s="843">
        <v>0</v>
      </c>
      <c r="V197" s="843">
        <v>0</v>
      </c>
      <c r="W197" s="843">
        <v>1</v>
      </c>
      <c r="X197" s="870" t="s">
        <v>2936</v>
      </c>
      <c r="Y197" s="843" t="str">
        <f>IF(OR(ISNA(MATCH(MID(X197,1,3)*1,UomConversion!$D$8:$D$500,0)),H197=""),"",IF(AV197="","",AV197))</f>
        <v>022.Be</v>
      </c>
      <c r="Z197" s="843" t="str">
        <f>IF(AND(AU197&gt;0,COUNTIFS(UomConversion!$D$8:$D$500,MID(X197,1,3)*1,UomConversion!$J$8:$J$500,1)&gt;1),TEXT(AU197,"000")&amp;"."&amp;VLOOKUP(AU197,uom_list,5,FALSE),"")</f>
        <v>012.kg</v>
      </c>
      <c r="AA197" s="843">
        <f t="shared" si="147"/>
        <v>3</v>
      </c>
      <c r="AB197" s="843" t="str">
        <f t="shared" si="151"/>
        <v>51,22,12</v>
      </c>
      <c r="AC197" s="843">
        <f t="shared" ref="AC197" si="203">import_pro_number_of_price_type</f>
        <v>2</v>
      </c>
      <c r="AD197" s="1219">
        <v>0</v>
      </c>
      <c r="AE197" s="1219">
        <v>0.1</v>
      </c>
      <c r="AF197" s="1215"/>
      <c r="AG197" s="1215">
        <f t="shared" si="202"/>
        <v>0</v>
      </c>
      <c r="AH197" s="1215"/>
      <c r="AI197" s="1215"/>
      <c r="AJ197" s="1216"/>
      <c r="AK197" s="1216"/>
      <c r="AL197" s="1216"/>
      <c r="AM197" s="1216"/>
      <c r="AN197" s="1216"/>
      <c r="AO197" s="1216"/>
      <c r="AP197" s="1216"/>
      <c r="AQ197" s="1216"/>
      <c r="AR197" s="1216"/>
      <c r="AS197" s="1216"/>
      <c r="AT197" s="1216"/>
      <c r="AU197" s="1120" cm="1">
        <f t="array" ref="AU197">IF(H197="","",Slookup(MID(X197,1,3)*1,UomConversion!$D$8:$J$500,2,UomConversion!$I$8:$I$500,1,UomConversion!$J$8:$J$500,1))</f>
        <v>12</v>
      </c>
      <c r="AV197" s="401" t="str">
        <f t="shared" si="149"/>
        <v>022.Be</v>
      </c>
      <c r="AW197" s="757">
        <f t="shared" si="185"/>
        <v>51</v>
      </c>
      <c r="AX197" s="757">
        <f t="shared" si="185"/>
        <v>22</v>
      </c>
      <c r="AY197" s="757">
        <f t="shared" si="185"/>
        <v>12</v>
      </c>
      <c r="AZ197" s="1209" cm="1">
        <f t="array" ref="AZ197">IF(Y197="",1,Slookup(MID(X197,1,3)*1,UomConversion!$D$8:$J$500,5,UomConversion!$E$8:$E$500,MID(Y197,1,3)*1,UomConversion!$I$8:$I$500,1))</f>
        <v>0</v>
      </c>
      <c r="BA197" s="1209" cm="1">
        <f t="array" ref="BA197">IF(Z197="",1,Slookup(MID(X197,1,3)*1,UomConversion!$D$8:$J$500,5,UomConversion!$E$8:$E$500,MID(Z197,1,3)*1,UomConversion!$I$8:$I$500,1))</f>
        <v>1000</v>
      </c>
      <c r="BB197" s="1217">
        <f t="shared" si="141"/>
        <v>100</v>
      </c>
      <c r="BC197" s="1217">
        <f t="shared" si="153"/>
        <v>5</v>
      </c>
      <c r="BD197" s="1217"/>
    </row>
    <row r="198" spans="2:56" s="1120" customFormat="1" ht="24.95" customHeight="1">
      <c r="B198" s="445"/>
      <c r="C198" s="843">
        <v>179</v>
      </c>
      <c r="D198" s="843"/>
      <c r="E198" s="843"/>
      <c r="F198" s="1116" t="s">
        <v>2670</v>
      </c>
      <c r="G198" s="1117" t="s">
        <v>2670</v>
      </c>
      <c r="H198" s="868" t="s">
        <v>3155</v>
      </c>
      <c r="I198" s="1118" t="s">
        <v>3155</v>
      </c>
      <c r="J198" s="1138" t="s">
        <v>2969</v>
      </c>
      <c r="K198" s="1138" t="s">
        <v>2972</v>
      </c>
      <c r="L198" s="870" t="s">
        <v>2757</v>
      </c>
      <c r="M198" s="868" t="s">
        <v>2658</v>
      </c>
      <c r="N198" s="1118"/>
      <c r="O198" s="1119">
        <v>95</v>
      </c>
      <c r="P198" s="884">
        <v>100</v>
      </c>
      <c r="Q198" s="885"/>
      <c r="R198" s="843">
        <v>1000</v>
      </c>
      <c r="S198" s="843">
        <v>0</v>
      </c>
      <c r="T198" s="843">
        <v>1</v>
      </c>
      <c r="U198" s="843">
        <v>0</v>
      </c>
      <c r="V198" s="843">
        <v>0</v>
      </c>
      <c r="W198" s="843">
        <v>1</v>
      </c>
      <c r="X198" s="870" t="s">
        <v>2936</v>
      </c>
      <c r="Y198" s="843" t="str">
        <f>IF(OR(ISNA(MATCH(MID(X198,1,3)*1,UomConversion!$D$8:$D$500,0)),H198=""),"",IF(AV198="","",AV198))</f>
        <v>022.Be</v>
      </c>
      <c r="Z198" s="843" t="str">
        <f>IF(AND(AU198&gt;0,COUNTIFS(UomConversion!$D$8:$D$500,MID(X198,1,3)*1,UomConversion!$J$8:$J$500,1)&gt;1),TEXT(AU198,"000")&amp;"."&amp;VLOOKUP(AU198,uom_list,5,FALSE),"")</f>
        <v>012.kg</v>
      </c>
      <c r="AA198" s="843">
        <f t="shared" si="147"/>
        <v>3</v>
      </c>
      <c r="AB198" s="843" t="str">
        <f t="shared" si="151"/>
        <v>51,22,12</v>
      </c>
      <c r="AC198" s="843">
        <f t="shared" ref="AC198" si="204">import_pro_number_of_price_type</f>
        <v>2</v>
      </c>
      <c r="AD198" s="1219">
        <v>0</v>
      </c>
      <c r="AE198" s="1219">
        <v>0.1</v>
      </c>
      <c r="AF198" s="1215"/>
      <c r="AG198" s="1215">
        <f t="shared" si="202"/>
        <v>0</v>
      </c>
      <c r="AH198" s="1215"/>
      <c r="AI198" s="1215"/>
      <c r="AJ198" s="1216"/>
      <c r="AK198" s="1216"/>
      <c r="AL198" s="1216"/>
      <c r="AM198" s="1216"/>
      <c r="AN198" s="1216"/>
      <c r="AO198" s="1216"/>
      <c r="AP198" s="1216"/>
      <c r="AQ198" s="1216"/>
      <c r="AR198" s="1216"/>
      <c r="AS198" s="1216"/>
      <c r="AT198" s="1216"/>
      <c r="AU198" s="1120" cm="1">
        <f t="array" ref="AU198">IF(H198="","",Slookup(MID(X198,1,3)*1,UomConversion!$D$8:$J$500,2,UomConversion!$I$8:$I$500,1,UomConversion!$J$8:$J$500,1))</f>
        <v>12</v>
      </c>
      <c r="AV198" s="401" t="str">
        <f t="shared" si="149"/>
        <v>022.Be</v>
      </c>
      <c r="AW198" s="757">
        <f t="shared" si="185"/>
        <v>51</v>
      </c>
      <c r="AX198" s="757">
        <f t="shared" si="185"/>
        <v>22</v>
      </c>
      <c r="AY198" s="757">
        <f t="shared" si="185"/>
        <v>12</v>
      </c>
      <c r="AZ198" s="1209" cm="1">
        <f t="array" ref="AZ198">IF(Y198="",1,Slookup(MID(X198,1,3)*1,UomConversion!$D$8:$J$500,5,UomConversion!$E$8:$E$500,MID(Y198,1,3)*1,UomConversion!$I$8:$I$500,1))</f>
        <v>0</v>
      </c>
      <c r="BA198" s="1209" cm="1">
        <f t="array" ref="BA198">IF(Z198="",1,Slookup(MID(X198,1,3)*1,UomConversion!$D$8:$J$500,5,UomConversion!$E$8:$E$500,MID(Z198,1,3)*1,UomConversion!$I$8:$I$500,1))</f>
        <v>1000</v>
      </c>
      <c r="BB198" s="1217">
        <f t="shared" si="141"/>
        <v>100</v>
      </c>
      <c r="BC198" s="1217">
        <f t="shared" si="153"/>
        <v>5</v>
      </c>
      <c r="BD198" s="1217"/>
    </row>
    <row r="199" spans="2:56" s="1120" customFormat="1" ht="24.95" customHeight="1">
      <c r="B199" s="445"/>
      <c r="C199" s="843">
        <v>180</v>
      </c>
      <c r="D199" s="843"/>
      <c r="E199" s="843"/>
      <c r="F199" s="1116" t="s">
        <v>2672</v>
      </c>
      <c r="G199" s="1117" t="s">
        <v>2672</v>
      </c>
      <c r="H199" s="868" t="s">
        <v>3156</v>
      </c>
      <c r="I199" s="1118" t="s">
        <v>3156</v>
      </c>
      <c r="J199" s="1138" t="s">
        <v>2970</v>
      </c>
      <c r="K199" s="1138" t="s">
        <v>2972</v>
      </c>
      <c r="L199" s="870" t="s">
        <v>2759</v>
      </c>
      <c r="M199" s="868" t="s">
        <v>2658</v>
      </c>
      <c r="N199" s="1118"/>
      <c r="O199" s="1119">
        <v>0.5</v>
      </c>
      <c r="P199" s="884">
        <v>1</v>
      </c>
      <c r="Q199" s="885"/>
      <c r="R199" s="843">
        <v>12</v>
      </c>
      <c r="S199" s="843">
        <v>0</v>
      </c>
      <c r="T199" s="843">
        <v>1</v>
      </c>
      <c r="U199" s="843">
        <v>0</v>
      </c>
      <c r="V199" s="843">
        <v>0</v>
      </c>
      <c r="W199" s="843">
        <v>1</v>
      </c>
      <c r="X199" s="870" t="s">
        <v>2937</v>
      </c>
      <c r="Y199" s="843" t="str">
        <f>IF(OR(ISNA(MATCH(MID(X199,1,3)*1,UomConversion!$D$8:$D$500,0)),H199=""),"",IF(AV199="","",AV199))</f>
        <v>016.m</v>
      </c>
      <c r="Z199" s="843" t="str">
        <f>IF(AND(AU199&gt;0,COUNTIFS(UomConversion!$D$8:$D$500,MID(X199,1,3)*1,UomConversion!$J$8:$J$500,1)&gt;1),TEXT(AU199,"000")&amp;"."&amp;VLOOKUP(AU199,uom_list,5,FALSE),"")</f>
        <v/>
      </c>
      <c r="AA199" s="843">
        <f t="shared" si="147"/>
        <v>2</v>
      </c>
      <c r="AB199" s="843" t="str">
        <f t="shared" si="151"/>
        <v>54,16</v>
      </c>
      <c r="AC199" s="843">
        <f t="shared" ref="AC199" si="205">import_pro_number_of_price_type</f>
        <v>2</v>
      </c>
      <c r="AD199" s="1219">
        <v>0</v>
      </c>
      <c r="AE199" s="1219">
        <v>8.3333333333333329E-2</v>
      </c>
      <c r="AF199" s="1215"/>
      <c r="AG199" s="1215"/>
      <c r="AH199" s="1215"/>
      <c r="AI199" s="1215"/>
      <c r="AJ199" s="1216"/>
      <c r="AK199" s="1216"/>
      <c r="AL199" s="1216"/>
      <c r="AM199" s="1216"/>
      <c r="AN199" s="1216"/>
      <c r="AO199" s="1216"/>
      <c r="AP199" s="1216"/>
      <c r="AQ199" s="1216"/>
      <c r="AR199" s="1216"/>
      <c r="AS199" s="1216"/>
      <c r="AT199" s="1216"/>
      <c r="AU199" s="1120" cm="1">
        <f t="array" ref="AU199">IF(H199="","",Slookup(MID(X199,1,3)*1,UomConversion!$D$8:$J$500,2,UomConversion!$I$8:$I$500,1,UomConversion!$J$8:$J$500,1))</f>
        <v>16</v>
      </c>
      <c r="AV199" s="401" t="str">
        <f t="shared" si="149"/>
        <v>016.m</v>
      </c>
      <c r="AW199" s="757">
        <f t="shared" si="185"/>
        <v>54</v>
      </c>
      <c r="AX199" s="757">
        <f t="shared" si="185"/>
        <v>16</v>
      </c>
      <c r="AY199" s="757" t="str">
        <f t="shared" si="185"/>
        <v/>
      </c>
      <c r="AZ199" s="1209" cm="1">
        <f t="array" ref="AZ199">IF(Y199="",1,Slookup(MID(X199,1,3)*1,UomConversion!$D$8:$J$500,5,UomConversion!$E$8:$E$500,MID(Y199,1,3)*1,UomConversion!$I$8:$I$500,1))</f>
        <v>12</v>
      </c>
      <c r="BA199" s="1209" cm="1">
        <f t="array" ref="BA199">IF(Z199="",1,Slookup(MID(X199,1,3)*1,UomConversion!$D$8:$J$500,5,UomConversion!$E$8:$E$500,MID(Z199,1,3)*1,UomConversion!$I$8:$I$500,1))</f>
        <v>1</v>
      </c>
      <c r="BB199" s="1217">
        <f t="shared" si="141"/>
        <v>1</v>
      </c>
      <c r="BC199" s="1217">
        <f t="shared" si="153"/>
        <v>0.5</v>
      </c>
      <c r="BD199" s="1217"/>
    </row>
    <row r="200" spans="2:56" s="1120" customFormat="1" ht="24.95" customHeight="1">
      <c r="B200" s="445"/>
      <c r="C200" s="843">
        <v>181</v>
      </c>
      <c r="D200" s="843"/>
      <c r="E200" s="843"/>
      <c r="F200" s="1116" t="s">
        <v>2674</v>
      </c>
      <c r="G200" s="1117" t="s">
        <v>2674</v>
      </c>
      <c r="H200" s="868" t="s">
        <v>3157</v>
      </c>
      <c r="I200" s="1118" t="s">
        <v>3157</v>
      </c>
      <c r="J200" s="1138" t="s">
        <v>2970</v>
      </c>
      <c r="K200" s="1138" t="s">
        <v>2972</v>
      </c>
      <c r="L200" s="870" t="s">
        <v>2759</v>
      </c>
      <c r="M200" s="868" t="s">
        <v>2658</v>
      </c>
      <c r="N200" s="1118"/>
      <c r="O200" s="1119">
        <v>1</v>
      </c>
      <c r="P200" s="884">
        <v>1.5</v>
      </c>
      <c r="Q200" s="885"/>
      <c r="R200" s="843">
        <v>12</v>
      </c>
      <c r="S200" s="843">
        <v>0</v>
      </c>
      <c r="T200" s="843">
        <v>1</v>
      </c>
      <c r="U200" s="843">
        <v>0</v>
      </c>
      <c r="V200" s="843">
        <v>0</v>
      </c>
      <c r="W200" s="843">
        <v>1</v>
      </c>
      <c r="X200" s="870" t="s">
        <v>2937</v>
      </c>
      <c r="Y200" s="843" t="str">
        <f>IF(OR(ISNA(MATCH(MID(X200,1,3)*1,UomConversion!$D$8:$D$500,0)),H200=""),"",IF(AV200="","",AV200))</f>
        <v>016.m</v>
      </c>
      <c r="Z200" s="843" t="str">
        <f>IF(AND(AU200&gt;0,COUNTIFS(UomConversion!$D$8:$D$500,MID(X200,1,3)*1,UomConversion!$J$8:$J$500,1)&gt;1),TEXT(AU200,"000")&amp;"."&amp;VLOOKUP(AU200,uom_list,5,FALSE),"")</f>
        <v/>
      </c>
      <c r="AA200" s="843">
        <f t="shared" si="147"/>
        <v>2</v>
      </c>
      <c r="AB200" s="843" t="str">
        <f t="shared" si="151"/>
        <v>54,16</v>
      </c>
      <c r="AC200" s="843">
        <f t="shared" ref="AC200" si="206">import_pro_number_of_price_type</f>
        <v>2</v>
      </c>
      <c r="AD200" s="1219">
        <v>0</v>
      </c>
      <c r="AE200" s="1219">
        <v>0.125</v>
      </c>
      <c r="AF200" s="1215"/>
      <c r="AG200" s="1215"/>
      <c r="AH200" s="1215"/>
      <c r="AI200" s="1215"/>
      <c r="AJ200" s="1216"/>
      <c r="AK200" s="1216"/>
      <c r="AL200" s="1216"/>
      <c r="AM200" s="1216"/>
      <c r="AN200" s="1216"/>
      <c r="AO200" s="1216"/>
      <c r="AP200" s="1216"/>
      <c r="AQ200" s="1216"/>
      <c r="AR200" s="1216"/>
      <c r="AS200" s="1216"/>
      <c r="AT200" s="1216"/>
      <c r="AU200" s="1120" cm="1">
        <f t="array" ref="AU200">IF(H200="","",Slookup(MID(X200,1,3)*1,UomConversion!$D$8:$J$500,2,UomConversion!$I$8:$I$500,1,UomConversion!$J$8:$J$500,1))</f>
        <v>16</v>
      </c>
      <c r="AV200" s="401" t="str">
        <f t="shared" si="149"/>
        <v>016.m</v>
      </c>
      <c r="AW200" s="757">
        <f t="shared" si="185"/>
        <v>54</v>
      </c>
      <c r="AX200" s="757">
        <f t="shared" si="185"/>
        <v>16</v>
      </c>
      <c r="AY200" s="757" t="str">
        <f t="shared" si="185"/>
        <v/>
      </c>
      <c r="AZ200" s="1209" cm="1">
        <f t="array" ref="AZ200">IF(Y200="",1,Slookup(MID(X200,1,3)*1,UomConversion!$D$8:$J$500,5,UomConversion!$E$8:$E$500,MID(Y200,1,3)*1,UomConversion!$I$8:$I$500,1))</f>
        <v>12</v>
      </c>
      <c r="BA200" s="1209" cm="1">
        <f t="array" ref="BA200">IF(Z200="",1,Slookup(MID(X200,1,3)*1,UomConversion!$D$8:$J$500,5,UomConversion!$E$8:$E$500,MID(Z200,1,3)*1,UomConversion!$I$8:$I$500,1))</f>
        <v>1</v>
      </c>
      <c r="BB200" s="1217">
        <f t="shared" si="141"/>
        <v>1.5</v>
      </c>
      <c r="BC200" s="1217">
        <f t="shared" si="153"/>
        <v>0.5</v>
      </c>
      <c r="BD200" s="1217"/>
    </row>
    <row r="201" spans="2:56" s="1120" customFormat="1" ht="24.95" customHeight="1">
      <c r="B201" s="445"/>
      <c r="C201" s="843">
        <v>182</v>
      </c>
      <c r="D201" s="843"/>
      <c r="E201" s="843"/>
      <c r="F201" s="1116" t="s">
        <v>2676</v>
      </c>
      <c r="G201" s="1117" t="s">
        <v>2676</v>
      </c>
      <c r="H201" s="868" t="s">
        <v>3158</v>
      </c>
      <c r="I201" s="1118" t="s">
        <v>3158</v>
      </c>
      <c r="J201" s="1138" t="s">
        <v>2970</v>
      </c>
      <c r="K201" s="1138" t="s">
        <v>2972</v>
      </c>
      <c r="L201" s="870" t="s">
        <v>2759</v>
      </c>
      <c r="M201" s="868" t="s">
        <v>2658</v>
      </c>
      <c r="N201" s="1118"/>
      <c r="O201" s="1119">
        <v>2</v>
      </c>
      <c r="P201" s="884">
        <v>2.5</v>
      </c>
      <c r="Q201" s="885"/>
      <c r="R201" s="843">
        <v>12</v>
      </c>
      <c r="S201" s="843">
        <v>0</v>
      </c>
      <c r="T201" s="843">
        <v>1</v>
      </c>
      <c r="U201" s="843">
        <v>0</v>
      </c>
      <c r="V201" s="843">
        <v>0</v>
      </c>
      <c r="W201" s="843">
        <v>1</v>
      </c>
      <c r="X201" s="870" t="s">
        <v>2937</v>
      </c>
      <c r="Y201" s="843" t="str">
        <f>IF(OR(ISNA(MATCH(MID(X201,1,3)*1,UomConversion!$D$8:$D$500,0)),H201=""),"",IF(AV201="","",AV201))</f>
        <v>016.m</v>
      </c>
      <c r="Z201" s="843" t="str">
        <f>IF(AND(AU201&gt;0,COUNTIFS(UomConversion!$D$8:$D$500,MID(X201,1,3)*1,UomConversion!$J$8:$J$500,1)&gt;1),TEXT(AU201,"000")&amp;"."&amp;VLOOKUP(AU201,uom_list,5,FALSE),"")</f>
        <v/>
      </c>
      <c r="AA201" s="843">
        <f t="shared" si="147"/>
        <v>2</v>
      </c>
      <c r="AB201" s="843" t="str">
        <f t="shared" si="151"/>
        <v>54,16</v>
      </c>
      <c r="AC201" s="843">
        <f t="shared" ref="AC201" si="207">import_pro_number_of_price_type</f>
        <v>2</v>
      </c>
      <c r="AD201" s="1219">
        <v>0</v>
      </c>
      <c r="AE201" s="1219">
        <v>0.20833333333333334</v>
      </c>
      <c r="AF201" s="1215"/>
      <c r="AG201" s="1215"/>
      <c r="AH201" s="1215"/>
      <c r="AI201" s="1215"/>
      <c r="AJ201" s="1216"/>
      <c r="AK201" s="1216"/>
      <c r="AL201" s="1216"/>
      <c r="AM201" s="1216"/>
      <c r="AN201" s="1216"/>
      <c r="AO201" s="1216"/>
      <c r="AP201" s="1216"/>
      <c r="AQ201" s="1216"/>
      <c r="AR201" s="1216"/>
      <c r="AS201" s="1216"/>
      <c r="AT201" s="1216"/>
      <c r="AU201" s="1120" cm="1">
        <f t="array" ref="AU201">IF(H201="","",Slookup(MID(X201,1,3)*1,UomConversion!$D$8:$J$500,2,UomConversion!$I$8:$I$500,1,UomConversion!$J$8:$J$500,1))</f>
        <v>16</v>
      </c>
      <c r="AV201" s="401" t="str">
        <f t="shared" si="149"/>
        <v>016.m</v>
      </c>
      <c r="AW201" s="757">
        <f t="shared" si="185"/>
        <v>54</v>
      </c>
      <c r="AX201" s="757">
        <f t="shared" si="185"/>
        <v>16</v>
      </c>
      <c r="AY201" s="757" t="str">
        <f t="shared" si="185"/>
        <v/>
      </c>
      <c r="AZ201" s="1209" cm="1">
        <f t="array" ref="AZ201">IF(Y201="",1,Slookup(MID(X201,1,3)*1,UomConversion!$D$8:$J$500,5,UomConversion!$E$8:$E$500,MID(Y201,1,3)*1,UomConversion!$I$8:$I$500,1))</f>
        <v>12</v>
      </c>
      <c r="BA201" s="1209" cm="1">
        <f t="array" ref="BA201">IF(Z201="",1,Slookup(MID(X201,1,3)*1,UomConversion!$D$8:$J$500,5,UomConversion!$E$8:$E$500,MID(Z201,1,3)*1,UomConversion!$I$8:$I$500,1))</f>
        <v>1</v>
      </c>
      <c r="BB201" s="1217">
        <f t="shared" si="141"/>
        <v>2.5</v>
      </c>
      <c r="BC201" s="1217">
        <f t="shared" si="153"/>
        <v>0.5</v>
      </c>
      <c r="BD201" s="1217"/>
    </row>
    <row r="202" spans="2:56" s="1120" customFormat="1" ht="24.95" customHeight="1">
      <c r="B202" s="445"/>
      <c r="C202" s="843">
        <v>183</v>
      </c>
      <c r="D202" s="843"/>
      <c r="E202" s="843"/>
      <c r="F202" s="1116" t="s">
        <v>2678</v>
      </c>
      <c r="G202" s="1117" t="s">
        <v>2678</v>
      </c>
      <c r="H202" s="868" t="s">
        <v>3159</v>
      </c>
      <c r="I202" s="1118" t="s">
        <v>3159</v>
      </c>
      <c r="J202" s="1138" t="s">
        <v>2970</v>
      </c>
      <c r="K202" s="1138" t="s">
        <v>2972</v>
      </c>
      <c r="L202" s="870" t="s">
        <v>2759</v>
      </c>
      <c r="M202" s="868" t="s">
        <v>2658</v>
      </c>
      <c r="N202" s="1118"/>
      <c r="O202" s="1119">
        <v>4</v>
      </c>
      <c r="P202" s="884">
        <v>4.5</v>
      </c>
      <c r="Q202" s="885"/>
      <c r="R202" s="843">
        <v>12</v>
      </c>
      <c r="S202" s="843">
        <v>0</v>
      </c>
      <c r="T202" s="843">
        <v>1</v>
      </c>
      <c r="U202" s="843">
        <v>0</v>
      </c>
      <c r="V202" s="843">
        <v>0</v>
      </c>
      <c r="W202" s="843">
        <v>1</v>
      </c>
      <c r="X202" s="870" t="s">
        <v>2937</v>
      </c>
      <c r="Y202" s="843" t="str">
        <f>IF(OR(ISNA(MATCH(MID(X202,1,3)*1,UomConversion!$D$8:$D$500,0)),H202=""),"",IF(AV202="","",AV202))</f>
        <v>016.m</v>
      </c>
      <c r="Z202" s="843" t="str">
        <f>IF(AND(AU202&gt;0,COUNTIFS(UomConversion!$D$8:$D$500,MID(X202,1,3)*1,UomConversion!$J$8:$J$500,1)&gt;1),TEXT(AU202,"000")&amp;"."&amp;VLOOKUP(AU202,uom_list,5,FALSE),"")</f>
        <v/>
      </c>
      <c r="AA202" s="843">
        <f t="shared" si="147"/>
        <v>2</v>
      </c>
      <c r="AB202" s="843" t="str">
        <f t="shared" si="151"/>
        <v>54,16</v>
      </c>
      <c r="AC202" s="843">
        <f t="shared" ref="AC202" si="208">import_pro_number_of_price_type</f>
        <v>2</v>
      </c>
      <c r="AD202" s="1219">
        <v>0</v>
      </c>
      <c r="AE202" s="1219">
        <v>0.375</v>
      </c>
      <c r="AF202" s="1215"/>
      <c r="AG202" s="1215"/>
      <c r="AH202" s="1215"/>
      <c r="AI202" s="1215"/>
      <c r="AJ202" s="1216"/>
      <c r="AK202" s="1216"/>
      <c r="AL202" s="1216"/>
      <c r="AM202" s="1216"/>
      <c r="AN202" s="1216"/>
      <c r="AO202" s="1216"/>
      <c r="AP202" s="1216"/>
      <c r="AQ202" s="1216"/>
      <c r="AR202" s="1216"/>
      <c r="AS202" s="1216"/>
      <c r="AT202" s="1216"/>
      <c r="AU202" s="1120" cm="1">
        <f t="array" ref="AU202">IF(H202="","",Slookup(MID(X202,1,3)*1,UomConversion!$D$8:$J$500,2,UomConversion!$I$8:$I$500,1,UomConversion!$J$8:$J$500,1))</f>
        <v>16</v>
      </c>
      <c r="AV202" s="401" t="str">
        <f t="shared" si="149"/>
        <v>016.m</v>
      </c>
      <c r="AW202" s="757">
        <f t="shared" si="185"/>
        <v>54</v>
      </c>
      <c r="AX202" s="757">
        <f t="shared" si="185"/>
        <v>16</v>
      </c>
      <c r="AY202" s="757" t="str">
        <f t="shared" si="185"/>
        <v/>
      </c>
      <c r="AZ202" s="1209" cm="1">
        <f t="array" ref="AZ202">IF(Y202="",1,Slookup(MID(X202,1,3)*1,UomConversion!$D$8:$J$500,5,UomConversion!$E$8:$E$500,MID(Y202,1,3)*1,UomConversion!$I$8:$I$500,1))</f>
        <v>12</v>
      </c>
      <c r="BA202" s="1209" cm="1">
        <f t="array" ref="BA202">IF(Z202="",1,Slookup(MID(X202,1,3)*1,UomConversion!$D$8:$J$500,5,UomConversion!$E$8:$E$500,MID(Z202,1,3)*1,UomConversion!$I$8:$I$500,1))</f>
        <v>1</v>
      </c>
      <c r="BB202" s="1217">
        <f t="shared" si="141"/>
        <v>4.5</v>
      </c>
      <c r="BC202" s="1217">
        <f t="shared" si="153"/>
        <v>0.5</v>
      </c>
      <c r="BD202" s="1217"/>
    </row>
    <row r="203" spans="2:56" s="1120" customFormat="1" ht="24.95" customHeight="1">
      <c r="B203" s="445"/>
      <c r="C203" s="843">
        <v>184</v>
      </c>
      <c r="D203" s="843"/>
      <c r="E203" s="843"/>
      <c r="F203" s="1116" t="s">
        <v>2680</v>
      </c>
      <c r="G203" s="1117" t="s">
        <v>2680</v>
      </c>
      <c r="H203" s="868" t="s">
        <v>3160</v>
      </c>
      <c r="I203" s="1118" t="s">
        <v>3160</v>
      </c>
      <c r="J203" s="1138" t="s">
        <v>2970</v>
      </c>
      <c r="K203" s="1138" t="s">
        <v>2972</v>
      </c>
      <c r="L203" s="870" t="s">
        <v>2759</v>
      </c>
      <c r="M203" s="868" t="s">
        <v>2658</v>
      </c>
      <c r="N203" s="1118"/>
      <c r="O203" s="1119">
        <v>6</v>
      </c>
      <c r="P203" s="884">
        <v>6.5</v>
      </c>
      <c r="Q203" s="885"/>
      <c r="R203" s="843">
        <v>12</v>
      </c>
      <c r="S203" s="843">
        <v>0</v>
      </c>
      <c r="T203" s="843">
        <v>1</v>
      </c>
      <c r="U203" s="843">
        <v>0</v>
      </c>
      <c r="V203" s="843">
        <v>0</v>
      </c>
      <c r="W203" s="843">
        <v>1</v>
      </c>
      <c r="X203" s="870" t="s">
        <v>2937</v>
      </c>
      <c r="Y203" s="843" t="str">
        <f>IF(OR(ISNA(MATCH(MID(X203,1,3)*1,UomConversion!$D$8:$D$500,0)),H203=""),"",IF(AV203="","",AV203))</f>
        <v>016.m</v>
      </c>
      <c r="Z203" s="843" t="str">
        <f>IF(AND(AU203&gt;0,COUNTIFS(UomConversion!$D$8:$D$500,MID(X203,1,3)*1,UomConversion!$J$8:$J$500,1)&gt;1),TEXT(AU203,"000")&amp;"."&amp;VLOOKUP(AU203,uom_list,5,FALSE),"")</f>
        <v/>
      </c>
      <c r="AA203" s="843">
        <f t="shared" si="147"/>
        <v>2</v>
      </c>
      <c r="AB203" s="843" t="str">
        <f t="shared" si="151"/>
        <v>54,16</v>
      </c>
      <c r="AC203" s="843">
        <f t="shared" ref="AC203" si="209">import_pro_number_of_price_type</f>
        <v>2</v>
      </c>
      <c r="AD203" s="1219">
        <v>0</v>
      </c>
      <c r="AE203" s="1219">
        <v>0.54166666666666663</v>
      </c>
      <c r="AF203" s="1215"/>
      <c r="AG203" s="1215"/>
      <c r="AH203" s="1215"/>
      <c r="AI203" s="1215"/>
      <c r="AJ203" s="1216"/>
      <c r="AK203" s="1216"/>
      <c r="AL203" s="1216"/>
      <c r="AM203" s="1216"/>
      <c r="AN203" s="1216"/>
      <c r="AO203" s="1216"/>
      <c r="AP203" s="1216"/>
      <c r="AQ203" s="1216"/>
      <c r="AR203" s="1216"/>
      <c r="AS203" s="1216"/>
      <c r="AT203" s="1216"/>
      <c r="AU203" s="1120" cm="1">
        <f t="array" ref="AU203">IF(H203="","",Slookup(MID(X203,1,3)*1,UomConversion!$D$8:$J$500,2,UomConversion!$I$8:$I$500,1,UomConversion!$J$8:$J$500,1))</f>
        <v>16</v>
      </c>
      <c r="AV203" s="401" t="str">
        <f t="shared" si="149"/>
        <v>016.m</v>
      </c>
      <c r="AW203" s="757">
        <f t="shared" si="185"/>
        <v>54</v>
      </c>
      <c r="AX203" s="757">
        <f t="shared" si="185"/>
        <v>16</v>
      </c>
      <c r="AY203" s="757" t="str">
        <f t="shared" si="185"/>
        <v/>
      </c>
      <c r="AZ203" s="1209" cm="1">
        <f t="array" ref="AZ203">IF(Y203="",1,Slookup(MID(X203,1,3)*1,UomConversion!$D$8:$J$500,5,UomConversion!$E$8:$E$500,MID(Y203,1,3)*1,UomConversion!$I$8:$I$500,1))</f>
        <v>12</v>
      </c>
      <c r="BA203" s="1209" cm="1">
        <f t="array" ref="BA203">IF(Z203="",1,Slookup(MID(X203,1,3)*1,UomConversion!$D$8:$J$500,5,UomConversion!$E$8:$E$500,MID(Z203,1,3)*1,UomConversion!$I$8:$I$500,1))</f>
        <v>1</v>
      </c>
      <c r="BB203" s="1217">
        <f t="shared" si="141"/>
        <v>6.5</v>
      </c>
      <c r="BC203" s="1217">
        <f t="shared" si="153"/>
        <v>0.5</v>
      </c>
      <c r="BD203" s="1217"/>
    </row>
    <row r="204" spans="2:56" s="1120" customFormat="1" ht="24.95" customHeight="1">
      <c r="B204" s="445"/>
      <c r="C204" s="843">
        <v>185</v>
      </c>
      <c r="D204" s="843"/>
      <c r="E204" s="843"/>
      <c r="F204" s="1116" t="s">
        <v>2682</v>
      </c>
      <c r="G204" s="1117" t="s">
        <v>2682</v>
      </c>
      <c r="H204" s="868" t="s">
        <v>3161</v>
      </c>
      <c r="I204" s="1118" t="s">
        <v>3161</v>
      </c>
      <c r="J204" s="1138" t="s">
        <v>2970</v>
      </c>
      <c r="K204" s="1138" t="s">
        <v>2972</v>
      </c>
      <c r="L204" s="870" t="s">
        <v>2759</v>
      </c>
      <c r="M204" s="868" t="s">
        <v>2658</v>
      </c>
      <c r="N204" s="1118"/>
      <c r="O204" s="1119">
        <v>8</v>
      </c>
      <c r="P204" s="884">
        <v>8.5</v>
      </c>
      <c r="Q204" s="885"/>
      <c r="R204" s="843">
        <v>12</v>
      </c>
      <c r="S204" s="843">
        <v>0</v>
      </c>
      <c r="T204" s="843">
        <v>1</v>
      </c>
      <c r="U204" s="843">
        <v>0</v>
      </c>
      <c r="V204" s="843">
        <v>0</v>
      </c>
      <c r="W204" s="843">
        <v>1</v>
      </c>
      <c r="X204" s="870" t="s">
        <v>2937</v>
      </c>
      <c r="Y204" s="843" t="str">
        <f>IF(OR(ISNA(MATCH(MID(X204,1,3)*1,UomConversion!$D$8:$D$500,0)),H204=""),"",IF(AV204="","",AV204))</f>
        <v>016.m</v>
      </c>
      <c r="Z204" s="843" t="str">
        <f>IF(AND(AU204&gt;0,COUNTIFS(UomConversion!$D$8:$D$500,MID(X204,1,3)*1,UomConversion!$J$8:$J$500,1)&gt;1),TEXT(AU204,"000")&amp;"."&amp;VLOOKUP(AU204,uom_list,5,FALSE),"")</f>
        <v/>
      </c>
      <c r="AA204" s="843">
        <f t="shared" si="147"/>
        <v>2</v>
      </c>
      <c r="AB204" s="843" t="str">
        <f t="shared" si="151"/>
        <v>54,16</v>
      </c>
      <c r="AC204" s="843">
        <f t="shared" ref="AC204" si="210">import_pro_number_of_price_type</f>
        <v>2</v>
      </c>
      <c r="AD204" s="1219">
        <v>0</v>
      </c>
      <c r="AE204" s="1219">
        <v>0.70833333333333337</v>
      </c>
      <c r="AF204" s="1215"/>
      <c r="AG204" s="1215"/>
      <c r="AH204" s="1215"/>
      <c r="AI204" s="1215"/>
      <c r="AJ204" s="1216"/>
      <c r="AK204" s="1216"/>
      <c r="AL204" s="1216"/>
      <c r="AM204" s="1216"/>
      <c r="AN204" s="1216"/>
      <c r="AO204" s="1216"/>
      <c r="AP204" s="1216"/>
      <c r="AQ204" s="1216"/>
      <c r="AR204" s="1216"/>
      <c r="AS204" s="1216"/>
      <c r="AT204" s="1216"/>
      <c r="AU204" s="1120" cm="1">
        <f t="array" ref="AU204">IF(H204="","",Slookup(MID(X204,1,3)*1,UomConversion!$D$8:$J$500,2,UomConversion!$I$8:$I$500,1,UomConversion!$J$8:$J$500,1))</f>
        <v>16</v>
      </c>
      <c r="AV204" s="401" t="str">
        <f t="shared" si="149"/>
        <v>016.m</v>
      </c>
      <c r="AW204" s="757">
        <f t="shared" si="185"/>
        <v>54</v>
      </c>
      <c r="AX204" s="757">
        <f t="shared" si="185"/>
        <v>16</v>
      </c>
      <c r="AY204" s="757" t="str">
        <f t="shared" si="185"/>
        <v/>
      </c>
      <c r="AZ204" s="1209" cm="1">
        <f t="array" ref="AZ204">IF(Y204="",1,Slookup(MID(X204,1,3)*1,UomConversion!$D$8:$J$500,5,UomConversion!$E$8:$E$500,MID(Y204,1,3)*1,UomConversion!$I$8:$I$500,1))</f>
        <v>12</v>
      </c>
      <c r="BA204" s="1209" cm="1">
        <f t="array" ref="BA204">IF(Z204="",1,Slookup(MID(X204,1,3)*1,UomConversion!$D$8:$J$500,5,UomConversion!$E$8:$E$500,MID(Z204,1,3)*1,UomConversion!$I$8:$I$500,1))</f>
        <v>1</v>
      </c>
      <c r="BB204" s="1217">
        <f t="shared" si="141"/>
        <v>8.5</v>
      </c>
      <c r="BC204" s="1217">
        <f t="shared" si="153"/>
        <v>0.5</v>
      </c>
      <c r="BD204" s="1217"/>
    </row>
    <row r="205" spans="2:56" s="1120" customFormat="1" ht="24.95" customHeight="1">
      <c r="B205" s="445"/>
      <c r="C205" s="843">
        <v>186</v>
      </c>
      <c r="D205" s="843"/>
      <c r="E205" s="843"/>
      <c r="F205" s="1116" t="s">
        <v>2684</v>
      </c>
      <c r="G205" s="1117" t="s">
        <v>2684</v>
      </c>
      <c r="H205" s="868" t="s">
        <v>3162</v>
      </c>
      <c r="I205" s="1118" t="s">
        <v>3162</v>
      </c>
      <c r="J205" s="1138" t="s">
        <v>2970</v>
      </c>
      <c r="K205" s="1138" t="s">
        <v>2972</v>
      </c>
      <c r="L205" s="870" t="s">
        <v>2759</v>
      </c>
      <c r="M205" s="868" t="s">
        <v>2658</v>
      </c>
      <c r="N205" s="1118"/>
      <c r="O205" s="1119">
        <v>12</v>
      </c>
      <c r="P205" s="884">
        <v>12.5</v>
      </c>
      <c r="Q205" s="885"/>
      <c r="R205" s="843">
        <v>12</v>
      </c>
      <c r="S205" s="843">
        <v>0</v>
      </c>
      <c r="T205" s="843">
        <v>1</v>
      </c>
      <c r="U205" s="843">
        <v>0</v>
      </c>
      <c r="V205" s="843">
        <v>0</v>
      </c>
      <c r="W205" s="843">
        <v>1</v>
      </c>
      <c r="X205" s="870" t="s">
        <v>2937</v>
      </c>
      <c r="Y205" s="843" t="str">
        <f>IF(OR(ISNA(MATCH(MID(X205,1,3)*1,UomConversion!$D$8:$D$500,0)),H205=""),"",IF(AV205="","",AV205))</f>
        <v>016.m</v>
      </c>
      <c r="Z205" s="843" t="str">
        <f>IF(AND(AU205&gt;0,COUNTIFS(UomConversion!$D$8:$D$500,MID(X205,1,3)*1,UomConversion!$J$8:$J$500,1)&gt;1),TEXT(AU205,"000")&amp;"."&amp;VLOOKUP(AU205,uom_list,5,FALSE),"")</f>
        <v/>
      </c>
      <c r="AA205" s="843">
        <f t="shared" si="147"/>
        <v>2</v>
      </c>
      <c r="AB205" s="843" t="str">
        <f t="shared" si="151"/>
        <v>54,16</v>
      </c>
      <c r="AC205" s="843">
        <f t="shared" ref="AC205" si="211">import_pro_number_of_price_type</f>
        <v>2</v>
      </c>
      <c r="AD205" s="1219">
        <v>0</v>
      </c>
      <c r="AE205" s="1219">
        <v>1.0416666666666667</v>
      </c>
      <c r="AF205" s="1215"/>
      <c r="AG205" s="1215"/>
      <c r="AH205" s="1215"/>
      <c r="AI205" s="1215"/>
      <c r="AJ205" s="1216"/>
      <c r="AK205" s="1216"/>
      <c r="AL205" s="1216"/>
      <c r="AM205" s="1216"/>
      <c r="AN205" s="1216"/>
      <c r="AO205" s="1216"/>
      <c r="AP205" s="1216"/>
      <c r="AQ205" s="1216"/>
      <c r="AR205" s="1216"/>
      <c r="AS205" s="1216"/>
      <c r="AT205" s="1216"/>
      <c r="AU205" s="1120" cm="1">
        <f t="array" ref="AU205">IF(H205="","",Slookup(MID(X205,1,3)*1,UomConversion!$D$8:$J$500,2,UomConversion!$I$8:$I$500,1,UomConversion!$J$8:$J$500,1))</f>
        <v>16</v>
      </c>
      <c r="AV205" s="401" t="str">
        <f t="shared" si="149"/>
        <v>016.m</v>
      </c>
      <c r="AW205" s="757">
        <f t="shared" si="185"/>
        <v>54</v>
      </c>
      <c r="AX205" s="757">
        <f t="shared" si="185"/>
        <v>16</v>
      </c>
      <c r="AY205" s="757" t="str">
        <f t="shared" si="185"/>
        <v/>
      </c>
      <c r="AZ205" s="1209" cm="1">
        <f t="array" ref="AZ205">IF(Y205="",1,Slookup(MID(X205,1,3)*1,UomConversion!$D$8:$J$500,5,UomConversion!$E$8:$E$500,MID(Y205,1,3)*1,UomConversion!$I$8:$I$500,1))</f>
        <v>12</v>
      </c>
      <c r="BA205" s="1209" cm="1">
        <f t="array" ref="BA205">IF(Z205="",1,Slookup(MID(X205,1,3)*1,UomConversion!$D$8:$J$500,5,UomConversion!$E$8:$E$500,MID(Z205,1,3)*1,UomConversion!$I$8:$I$500,1))</f>
        <v>1</v>
      </c>
      <c r="BB205" s="1217">
        <f t="shared" si="141"/>
        <v>12.5</v>
      </c>
      <c r="BC205" s="1217">
        <f t="shared" si="153"/>
        <v>0.5</v>
      </c>
      <c r="BD205" s="1217"/>
    </row>
    <row r="206" spans="2:56" s="1120" customFormat="1" ht="24.95" customHeight="1">
      <c r="B206" s="445"/>
      <c r="C206" s="843">
        <v>187</v>
      </c>
      <c r="D206" s="843"/>
      <c r="E206" s="843"/>
      <c r="F206" s="1116" t="s">
        <v>2686</v>
      </c>
      <c r="G206" s="1117" t="s">
        <v>2686</v>
      </c>
      <c r="H206" s="868" t="s">
        <v>3163</v>
      </c>
      <c r="I206" s="1118" t="s">
        <v>3163</v>
      </c>
      <c r="J206" s="1138" t="s">
        <v>2971</v>
      </c>
      <c r="K206" s="1138" t="s">
        <v>2972</v>
      </c>
      <c r="L206" s="870" t="s">
        <v>2761</v>
      </c>
      <c r="M206" s="868" t="s">
        <v>2658</v>
      </c>
      <c r="N206" s="1118"/>
      <c r="O206" s="1119">
        <v>3.37</v>
      </c>
      <c r="P206" s="884">
        <v>3.65</v>
      </c>
      <c r="Q206" s="885"/>
      <c r="R206" s="843">
        <v>4</v>
      </c>
      <c r="S206" s="843">
        <v>0</v>
      </c>
      <c r="T206" s="843">
        <v>1</v>
      </c>
      <c r="U206" s="843">
        <v>0</v>
      </c>
      <c r="V206" s="843">
        <v>0</v>
      </c>
      <c r="W206" s="843">
        <v>1</v>
      </c>
      <c r="X206" s="870" t="s">
        <v>2938</v>
      </c>
      <c r="Y206" s="843" t="str">
        <f>IF(OR(ISNA(MATCH(MID(X206,1,3)*1,UomConversion!$D$8:$D$500,0)),H206=""),"",IF(AV206="","",AV206))</f>
        <v>016.m</v>
      </c>
      <c r="Z206" s="843" t="str">
        <f>IF(AND(AU206&gt;0,COUNTIFS(UomConversion!$D$8:$D$500,MID(X206,1,3)*1,UomConversion!$J$8:$J$500,1)&gt;1),TEXT(AU206,"000")&amp;"."&amp;VLOOKUP(AU206,uom_list,5,FALSE),"")</f>
        <v/>
      </c>
      <c r="AA206" s="843">
        <f t="shared" si="147"/>
        <v>2</v>
      </c>
      <c r="AB206" s="843" t="str">
        <f t="shared" si="151"/>
        <v>53,16</v>
      </c>
      <c r="AC206" s="843">
        <f t="shared" ref="AC206" si="212">import_pro_number_of_price_type</f>
        <v>2</v>
      </c>
      <c r="AD206" s="1219">
        <v>0</v>
      </c>
      <c r="AE206" s="1219">
        <v>0.91249999999999998</v>
      </c>
      <c r="AF206" s="1215"/>
      <c r="AG206" s="1215"/>
      <c r="AH206" s="1215"/>
      <c r="AI206" s="1215"/>
      <c r="AJ206" s="1216"/>
      <c r="AK206" s="1216"/>
      <c r="AL206" s="1216"/>
      <c r="AM206" s="1216"/>
      <c r="AN206" s="1216"/>
      <c r="AO206" s="1216"/>
      <c r="AP206" s="1216"/>
      <c r="AQ206" s="1216"/>
      <c r="AR206" s="1216"/>
      <c r="AS206" s="1216"/>
      <c r="AT206" s="1216"/>
      <c r="AU206" s="1120" cm="1">
        <f t="array" ref="AU206">IF(H206="","",Slookup(MID(X206,1,3)*1,UomConversion!$D$8:$J$500,2,UomConversion!$I$8:$I$500,1,UomConversion!$J$8:$J$500,1))</f>
        <v>16</v>
      </c>
      <c r="AV206" s="401" t="str">
        <f t="shared" si="149"/>
        <v>016.m</v>
      </c>
      <c r="AW206" s="757">
        <f t="shared" si="185"/>
        <v>53</v>
      </c>
      <c r="AX206" s="757">
        <f t="shared" si="185"/>
        <v>16</v>
      </c>
      <c r="AY206" s="757" t="str">
        <f t="shared" si="185"/>
        <v/>
      </c>
      <c r="AZ206" s="1209" cm="1">
        <f t="array" ref="AZ206">IF(Y206="",1,Slookup(MID(X206,1,3)*1,UomConversion!$D$8:$J$500,5,UomConversion!$E$8:$E$500,MID(Y206,1,3)*1,UomConversion!$I$8:$I$500,1))</f>
        <v>4</v>
      </c>
      <c r="BA206" s="1209" cm="1">
        <f t="array" ref="BA206">IF(Z206="",1,Slookup(MID(X206,1,3)*1,UomConversion!$D$8:$J$500,5,UomConversion!$E$8:$E$500,MID(Z206,1,3)*1,UomConversion!$I$8:$I$500,1))</f>
        <v>1</v>
      </c>
      <c r="BB206" s="1217">
        <f t="shared" ref="BB206:BB219" si="213">IF(AA206=1,AE206,IF(AA206=2,AE206*R206,IF(AA206=3,AE206*BA206,0)))</f>
        <v>3.65</v>
      </c>
      <c r="BC206" s="1217">
        <f t="shared" si="153"/>
        <v>0.2799999999999998</v>
      </c>
      <c r="BD206" s="1217"/>
    </row>
    <row r="207" spans="2:56" s="1120" customFormat="1" ht="24.95" customHeight="1">
      <c r="B207" s="445"/>
      <c r="C207" s="843">
        <v>188</v>
      </c>
      <c r="D207" s="843"/>
      <c r="E207" s="843"/>
      <c r="F207" s="1116" t="s">
        <v>2688</v>
      </c>
      <c r="G207" s="1117" t="s">
        <v>2688</v>
      </c>
      <c r="H207" s="868" t="s">
        <v>3164</v>
      </c>
      <c r="I207" s="1118" t="s">
        <v>3164</v>
      </c>
      <c r="J207" s="1138" t="s">
        <v>2971</v>
      </c>
      <c r="K207" s="1138" t="s">
        <v>2972</v>
      </c>
      <c r="L207" s="870" t="s">
        <v>2761</v>
      </c>
      <c r="M207" s="868" t="s">
        <v>2658</v>
      </c>
      <c r="N207" s="1118"/>
      <c r="O207" s="1119">
        <v>3.9</v>
      </c>
      <c r="P207" s="884">
        <v>4.4000000000000004</v>
      </c>
      <c r="Q207" s="885"/>
      <c r="R207" s="843">
        <v>4</v>
      </c>
      <c r="S207" s="843">
        <v>0</v>
      </c>
      <c r="T207" s="843">
        <v>1</v>
      </c>
      <c r="U207" s="843">
        <v>0</v>
      </c>
      <c r="V207" s="843">
        <v>0</v>
      </c>
      <c r="W207" s="843">
        <v>1</v>
      </c>
      <c r="X207" s="870" t="s">
        <v>2938</v>
      </c>
      <c r="Y207" s="843" t="str">
        <f>IF(OR(ISNA(MATCH(MID(X207,1,3)*1,UomConversion!$D$8:$D$500,0)),H207=""),"",IF(AV207="","",AV207))</f>
        <v>016.m</v>
      </c>
      <c r="Z207" s="843" t="str">
        <f>IF(AND(AU207&gt;0,COUNTIFS(UomConversion!$D$8:$D$500,MID(X207,1,3)*1,UomConversion!$J$8:$J$500,1)&gt;1),TEXT(AU207,"000")&amp;"."&amp;VLOOKUP(AU207,uom_list,5,FALSE),"")</f>
        <v/>
      </c>
      <c r="AA207" s="843">
        <f t="shared" si="147"/>
        <v>2</v>
      </c>
      <c r="AB207" s="843" t="str">
        <f t="shared" si="151"/>
        <v>53,16</v>
      </c>
      <c r="AC207" s="843">
        <f t="shared" ref="AC207" si="214">import_pro_number_of_price_type</f>
        <v>2</v>
      </c>
      <c r="AD207" s="1219">
        <v>0</v>
      </c>
      <c r="AE207" s="1219">
        <v>1.1000000000000001</v>
      </c>
      <c r="AF207" s="1215"/>
      <c r="AG207" s="1215"/>
      <c r="AH207" s="1215"/>
      <c r="AI207" s="1215"/>
      <c r="AJ207" s="1216"/>
      <c r="AK207" s="1216"/>
      <c r="AL207" s="1216"/>
      <c r="AM207" s="1216"/>
      <c r="AN207" s="1216"/>
      <c r="AO207" s="1216"/>
      <c r="AP207" s="1216"/>
      <c r="AQ207" s="1216"/>
      <c r="AR207" s="1216"/>
      <c r="AS207" s="1216"/>
      <c r="AT207" s="1216"/>
      <c r="AU207" s="1120" cm="1">
        <f t="array" ref="AU207">IF(H207="","",Slookup(MID(X207,1,3)*1,UomConversion!$D$8:$J$500,2,UomConversion!$I$8:$I$500,1,UomConversion!$J$8:$J$500,1))</f>
        <v>16</v>
      </c>
      <c r="AV207" s="401" t="str">
        <f t="shared" si="149"/>
        <v>016.m</v>
      </c>
      <c r="AW207" s="757">
        <f t="shared" si="185"/>
        <v>53</v>
      </c>
      <c r="AX207" s="757">
        <f t="shared" si="185"/>
        <v>16</v>
      </c>
      <c r="AY207" s="757" t="str">
        <f t="shared" si="185"/>
        <v/>
      </c>
      <c r="AZ207" s="1209" cm="1">
        <f t="array" ref="AZ207">IF(Y207="",1,Slookup(MID(X207,1,3)*1,UomConversion!$D$8:$J$500,5,UomConversion!$E$8:$E$500,MID(Y207,1,3)*1,UomConversion!$I$8:$I$500,1))</f>
        <v>4</v>
      </c>
      <c r="BA207" s="1209" cm="1">
        <f t="array" ref="BA207">IF(Z207="",1,Slookup(MID(X207,1,3)*1,UomConversion!$D$8:$J$500,5,UomConversion!$E$8:$E$500,MID(Z207,1,3)*1,UomConversion!$I$8:$I$500,1))</f>
        <v>1</v>
      </c>
      <c r="BB207" s="1217">
        <f t="shared" si="213"/>
        <v>4.4000000000000004</v>
      </c>
      <c r="BC207" s="1217">
        <f t="shared" si="153"/>
        <v>0.50000000000000044</v>
      </c>
      <c r="BD207" s="1217"/>
    </row>
    <row r="208" spans="2:56" s="1120" customFormat="1" ht="24.95" customHeight="1">
      <c r="B208" s="445"/>
      <c r="C208" s="843">
        <v>189</v>
      </c>
      <c r="D208" s="843"/>
      <c r="E208" s="843"/>
      <c r="F208" s="1116" t="s">
        <v>2690</v>
      </c>
      <c r="G208" s="1117" t="s">
        <v>2690</v>
      </c>
      <c r="H208" s="868" t="s">
        <v>3165</v>
      </c>
      <c r="I208" s="1118" t="s">
        <v>3165</v>
      </c>
      <c r="J208" s="1138" t="s">
        <v>2971</v>
      </c>
      <c r="K208" s="1138" t="s">
        <v>2972</v>
      </c>
      <c r="L208" s="870" t="s">
        <v>2761</v>
      </c>
      <c r="M208" s="868" t="s">
        <v>2658</v>
      </c>
      <c r="N208" s="1118"/>
      <c r="O208" s="1119">
        <v>4.09</v>
      </c>
      <c r="P208" s="884">
        <v>4.59</v>
      </c>
      <c r="Q208" s="885"/>
      <c r="R208" s="843">
        <v>4</v>
      </c>
      <c r="S208" s="843">
        <v>0</v>
      </c>
      <c r="T208" s="843">
        <v>1</v>
      </c>
      <c r="U208" s="843">
        <v>0</v>
      </c>
      <c r="V208" s="843">
        <v>0</v>
      </c>
      <c r="W208" s="843">
        <v>1</v>
      </c>
      <c r="X208" s="870" t="s">
        <v>2938</v>
      </c>
      <c r="Y208" s="843" t="str">
        <f>IF(OR(ISNA(MATCH(MID(X208,1,3)*1,UomConversion!$D$8:$D$500,0)),H208=""),"",IF(AV208="","",AV208))</f>
        <v>016.m</v>
      </c>
      <c r="Z208" s="843" t="str">
        <f>IF(AND(AU208&gt;0,COUNTIFS(UomConversion!$D$8:$D$500,MID(X208,1,3)*1,UomConversion!$J$8:$J$500,1)&gt;1),TEXT(AU208,"000")&amp;"."&amp;VLOOKUP(AU208,uom_list,5,FALSE),"")</f>
        <v/>
      </c>
      <c r="AA208" s="843">
        <f t="shared" si="147"/>
        <v>2</v>
      </c>
      <c r="AB208" s="843" t="str">
        <f t="shared" si="151"/>
        <v>53,16</v>
      </c>
      <c r="AC208" s="843">
        <f t="shared" ref="AC208" si="215">import_pro_number_of_price_type</f>
        <v>2</v>
      </c>
      <c r="AD208" s="1219">
        <v>0</v>
      </c>
      <c r="AE208" s="1219">
        <v>1.1475</v>
      </c>
      <c r="AF208" s="1215"/>
      <c r="AG208" s="1215"/>
      <c r="AH208" s="1215"/>
      <c r="AI208" s="1215"/>
      <c r="AJ208" s="1216"/>
      <c r="AK208" s="1216"/>
      <c r="AL208" s="1216"/>
      <c r="AM208" s="1216"/>
      <c r="AN208" s="1216"/>
      <c r="AO208" s="1216"/>
      <c r="AP208" s="1216"/>
      <c r="AQ208" s="1216"/>
      <c r="AR208" s="1216"/>
      <c r="AS208" s="1216"/>
      <c r="AT208" s="1216"/>
      <c r="AU208" s="1120" cm="1">
        <f t="array" ref="AU208">IF(H208="","",Slookup(MID(X208,1,3)*1,UomConversion!$D$8:$J$500,2,UomConversion!$I$8:$I$500,1,UomConversion!$J$8:$J$500,1))</f>
        <v>16</v>
      </c>
      <c r="AV208" s="401" t="str">
        <f t="shared" si="149"/>
        <v>016.m</v>
      </c>
      <c r="AW208" s="757">
        <f t="shared" si="185"/>
        <v>53</v>
      </c>
      <c r="AX208" s="757">
        <f t="shared" si="185"/>
        <v>16</v>
      </c>
      <c r="AY208" s="757" t="str">
        <f t="shared" si="185"/>
        <v/>
      </c>
      <c r="AZ208" s="1209" cm="1">
        <f t="array" ref="AZ208">IF(Y208="",1,Slookup(MID(X208,1,3)*1,UomConversion!$D$8:$J$500,5,UomConversion!$E$8:$E$500,MID(Y208,1,3)*1,UomConversion!$I$8:$I$500,1))</f>
        <v>4</v>
      </c>
      <c r="BA208" s="1209" cm="1">
        <f t="array" ref="BA208">IF(Z208="",1,Slookup(MID(X208,1,3)*1,UomConversion!$D$8:$J$500,5,UomConversion!$E$8:$E$500,MID(Z208,1,3)*1,UomConversion!$I$8:$I$500,1))</f>
        <v>1</v>
      </c>
      <c r="BB208" s="1217">
        <f t="shared" si="213"/>
        <v>4.59</v>
      </c>
      <c r="BC208" s="1217">
        <f t="shared" si="153"/>
        <v>0.5</v>
      </c>
      <c r="BD208" s="1217"/>
    </row>
    <row r="209" spans="2:56" s="1120" customFormat="1" ht="24.95" customHeight="1">
      <c r="B209" s="445"/>
      <c r="C209" s="843">
        <v>190</v>
      </c>
      <c r="D209" s="843"/>
      <c r="E209" s="843"/>
      <c r="F209" s="1116" t="s">
        <v>2692</v>
      </c>
      <c r="G209" s="1117" t="s">
        <v>2692</v>
      </c>
      <c r="H209" s="868" t="s">
        <v>3166</v>
      </c>
      <c r="I209" s="1118" t="s">
        <v>3166</v>
      </c>
      <c r="J209" s="1138" t="s">
        <v>2971</v>
      </c>
      <c r="K209" s="1138" t="s">
        <v>2972</v>
      </c>
      <c r="L209" s="870" t="s">
        <v>2761</v>
      </c>
      <c r="M209" s="868" t="s">
        <v>2658</v>
      </c>
      <c r="N209" s="1118"/>
      <c r="O209" s="1119">
        <v>4.7300000000000004</v>
      </c>
      <c r="P209" s="884">
        <v>5.2</v>
      </c>
      <c r="Q209" s="885"/>
      <c r="R209" s="843">
        <v>4</v>
      </c>
      <c r="S209" s="843">
        <v>0</v>
      </c>
      <c r="T209" s="843">
        <v>1</v>
      </c>
      <c r="U209" s="843">
        <v>0</v>
      </c>
      <c r="V209" s="843">
        <v>0</v>
      </c>
      <c r="W209" s="843">
        <v>1</v>
      </c>
      <c r="X209" s="870" t="s">
        <v>2938</v>
      </c>
      <c r="Y209" s="843" t="str">
        <f>IF(OR(ISNA(MATCH(MID(X209,1,3)*1,UomConversion!$D$8:$D$500,0)),H209=""),"",IF(AV209="","",AV209))</f>
        <v>016.m</v>
      </c>
      <c r="Z209" s="843" t="str">
        <f>IF(AND(AU209&gt;0,COUNTIFS(UomConversion!$D$8:$D$500,MID(X209,1,3)*1,UomConversion!$J$8:$J$500,1)&gt;1),TEXT(AU209,"000")&amp;"."&amp;VLOOKUP(AU209,uom_list,5,FALSE),"")</f>
        <v/>
      </c>
      <c r="AA209" s="843">
        <f t="shared" si="147"/>
        <v>2</v>
      </c>
      <c r="AB209" s="843" t="str">
        <f t="shared" si="151"/>
        <v>53,16</v>
      </c>
      <c r="AC209" s="843">
        <f t="shared" ref="AC209" si="216">import_pro_number_of_price_type</f>
        <v>2</v>
      </c>
      <c r="AD209" s="1219">
        <v>0</v>
      </c>
      <c r="AE209" s="1219">
        <v>1.3</v>
      </c>
      <c r="AF209" s="1215"/>
      <c r="AG209" s="1215"/>
      <c r="AH209" s="1215"/>
      <c r="AI209" s="1215"/>
      <c r="AJ209" s="1216"/>
      <c r="AK209" s="1216"/>
      <c r="AL209" s="1216"/>
      <c r="AM209" s="1216"/>
      <c r="AN209" s="1216"/>
      <c r="AO209" s="1216"/>
      <c r="AP209" s="1216"/>
      <c r="AQ209" s="1216"/>
      <c r="AR209" s="1216"/>
      <c r="AS209" s="1216"/>
      <c r="AT209" s="1216"/>
      <c r="AU209" s="1120" cm="1">
        <f t="array" ref="AU209">IF(H209="","",Slookup(MID(X209,1,3)*1,UomConversion!$D$8:$J$500,2,UomConversion!$I$8:$I$500,1,UomConversion!$J$8:$J$500,1))</f>
        <v>16</v>
      </c>
      <c r="AV209" s="401" t="str">
        <f t="shared" si="149"/>
        <v>016.m</v>
      </c>
      <c r="AW209" s="757">
        <f t="shared" si="185"/>
        <v>53</v>
      </c>
      <c r="AX209" s="757">
        <f t="shared" si="185"/>
        <v>16</v>
      </c>
      <c r="AY209" s="757" t="str">
        <f t="shared" si="185"/>
        <v/>
      </c>
      <c r="AZ209" s="1209" cm="1">
        <f t="array" ref="AZ209">IF(Y209="",1,Slookup(MID(X209,1,3)*1,UomConversion!$D$8:$J$500,5,UomConversion!$E$8:$E$500,MID(Y209,1,3)*1,UomConversion!$I$8:$I$500,1))</f>
        <v>4</v>
      </c>
      <c r="BA209" s="1209" cm="1">
        <f t="array" ref="BA209">IF(Z209="",1,Slookup(MID(X209,1,3)*1,UomConversion!$D$8:$J$500,5,UomConversion!$E$8:$E$500,MID(Z209,1,3)*1,UomConversion!$I$8:$I$500,1))</f>
        <v>1</v>
      </c>
      <c r="BB209" s="1217">
        <f t="shared" si="213"/>
        <v>5.2</v>
      </c>
      <c r="BC209" s="1217">
        <f t="shared" si="153"/>
        <v>0.46999999999999975</v>
      </c>
      <c r="BD209" s="1217"/>
    </row>
    <row r="210" spans="2:56" s="1120" customFormat="1" ht="24.95" customHeight="1">
      <c r="B210" s="445"/>
      <c r="C210" s="843">
        <v>191</v>
      </c>
      <c r="D210" s="843"/>
      <c r="E210" s="843"/>
      <c r="F210" s="1116" t="s">
        <v>2694</v>
      </c>
      <c r="G210" s="1117" t="s">
        <v>2694</v>
      </c>
      <c r="H210" s="868" t="s">
        <v>3167</v>
      </c>
      <c r="I210" s="1118" t="s">
        <v>3167</v>
      </c>
      <c r="J210" s="1138" t="s">
        <v>2971</v>
      </c>
      <c r="K210" s="1138" t="s">
        <v>2972</v>
      </c>
      <c r="L210" s="870" t="s">
        <v>2761</v>
      </c>
      <c r="M210" s="868" t="s">
        <v>2658</v>
      </c>
      <c r="N210" s="1118"/>
      <c r="O210" s="1119">
        <v>4.92</v>
      </c>
      <c r="P210" s="884">
        <v>5.4</v>
      </c>
      <c r="Q210" s="885"/>
      <c r="R210" s="843">
        <v>4</v>
      </c>
      <c r="S210" s="843">
        <v>0</v>
      </c>
      <c r="T210" s="843">
        <v>1</v>
      </c>
      <c r="U210" s="843">
        <v>0</v>
      </c>
      <c r="V210" s="843">
        <v>0</v>
      </c>
      <c r="W210" s="843">
        <v>1</v>
      </c>
      <c r="X210" s="870" t="s">
        <v>2938</v>
      </c>
      <c r="Y210" s="843" t="str">
        <f>IF(OR(ISNA(MATCH(MID(X210,1,3)*1,UomConversion!$D$8:$D$500,0)),H210=""),"",IF(AV210="","",AV210))</f>
        <v>016.m</v>
      </c>
      <c r="Z210" s="843" t="str">
        <f>IF(AND(AU210&gt;0,COUNTIFS(UomConversion!$D$8:$D$500,MID(X210,1,3)*1,UomConversion!$J$8:$J$500,1)&gt;1),TEXT(AU210,"000")&amp;"."&amp;VLOOKUP(AU210,uom_list,5,FALSE),"")</f>
        <v/>
      </c>
      <c r="AA210" s="843">
        <f t="shared" si="147"/>
        <v>2</v>
      </c>
      <c r="AB210" s="843" t="str">
        <f t="shared" si="151"/>
        <v>53,16</v>
      </c>
      <c r="AC210" s="843">
        <f t="shared" ref="AC210" si="217">import_pro_number_of_price_type</f>
        <v>2</v>
      </c>
      <c r="AD210" s="1219">
        <v>0</v>
      </c>
      <c r="AE210" s="1219">
        <v>1.35</v>
      </c>
      <c r="AF210" s="1215"/>
      <c r="AG210" s="1215"/>
      <c r="AH210" s="1215"/>
      <c r="AI210" s="1215"/>
      <c r="AJ210" s="1216"/>
      <c r="AK210" s="1216"/>
      <c r="AL210" s="1216"/>
      <c r="AM210" s="1216"/>
      <c r="AN210" s="1216"/>
      <c r="AO210" s="1216"/>
      <c r="AP210" s="1216"/>
      <c r="AQ210" s="1216"/>
      <c r="AR210" s="1216"/>
      <c r="AS210" s="1216"/>
      <c r="AT210" s="1216"/>
      <c r="AU210" s="1120" cm="1">
        <f t="array" ref="AU210">IF(H210="","",Slookup(MID(X210,1,3)*1,UomConversion!$D$8:$J$500,2,UomConversion!$I$8:$I$500,1,UomConversion!$J$8:$J$500,1))</f>
        <v>16</v>
      </c>
      <c r="AV210" s="401" t="str">
        <f t="shared" si="149"/>
        <v>016.m</v>
      </c>
      <c r="AW210" s="757">
        <f t="shared" si="185"/>
        <v>53</v>
      </c>
      <c r="AX210" s="757">
        <f t="shared" si="185"/>
        <v>16</v>
      </c>
      <c r="AY210" s="757" t="str">
        <f t="shared" si="185"/>
        <v/>
      </c>
      <c r="AZ210" s="1209" cm="1">
        <f t="array" ref="AZ210">IF(Y210="",1,Slookup(MID(X210,1,3)*1,UomConversion!$D$8:$J$500,5,UomConversion!$E$8:$E$500,MID(Y210,1,3)*1,UomConversion!$I$8:$I$500,1))</f>
        <v>4</v>
      </c>
      <c r="BA210" s="1209" cm="1">
        <f t="array" ref="BA210">IF(Z210="",1,Slookup(MID(X210,1,3)*1,UomConversion!$D$8:$J$500,5,UomConversion!$E$8:$E$500,MID(Z210,1,3)*1,UomConversion!$I$8:$I$500,1))</f>
        <v>1</v>
      </c>
      <c r="BB210" s="1217">
        <f t="shared" si="213"/>
        <v>5.4</v>
      </c>
      <c r="BC210" s="1217">
        <f t="shared" si="153"/>
        <v>0.48000000000000043</v>
      </c>
      <c r="BD210" s="1217"/>
    </row>
    <row r="211" spans="2:56" s="1120" customFormat="1" ht="24.95" customHeight="1">
      <c r="B211" s="445"/>
      <c r="C211" s="843">
        <v>192</v>
      </c>
      <c r="D211" s="843"/>
      <c r="E211" s="843"/>
      <c r="F211" s="1116" t="s">
        <v>2696</v>
      </c>
      <c r="G211" s="1117" t="s">
        <v>2696</v>
      </c>
      <c r="H211" s="868" t="s">
        <v>3168</v>
      </c>
      <c r="I211" s="1118" t="s">
        <v>3168</v>
      </c>
      <c r="J211" s="1138" t="s">
        <v>2971</v>
      </c>
      <c r="K211" s="1138" t="s">
        <v>2972</v>
      </c>
      <c r="L211" s="870" t="s">
        <v>2761</v>
      </c>
      <c r="M211" s="868" t="s">
        <v>2658</v>
      </c>
      <c r="N211" s="1118"/>
      <c r="O211" s="1119">
        <v>6.03</v>
      </c>
      <c r="P211" s="884">
        <v>6.53</v>
      </c>
      <c r="Q211" s="885"/>
      <c r="R211" s="843">
        <v>4</v>
      </c>
      <c r="S211" s="843">
        <v>0</v>
      </c>
      <c r="T211" s="843">
        <v>1</v>
      </c>
      <c r="U211" s="843">
        <v>0</v>
      </c>
      <c r="V211" s="843">
        <v>0</v>
      </c>
      <c r="W211" s="843">
        <v>1</v>
      </c>
      <c r="X211" s="870" t="s">
        <v>2938</v>
      </c>
      <c r="Y211" s="843" t="str">
        <f>IF(OR(ISNA(MATCH(MID(X211,1,3)*1,UomConversion!$D$8:$D$500,0)),H211=""),"",IF(AV211="","",AV211))</f>
        <v>016.m</v>
      </c>
      <c r="Z211" s="843" t="str">
        <f>IF(AND(AU211&gt;0,COUNTIFS(UomConversion!$D$8:$D$500,MID(X211,1,3)*1,UomConversion!$J$8:$J$500,1)&gt;1),TEXT(AU211,"000")&amp;"."&amp;VLOOKUP(AU211,uom_list,5,FALSE),"")</f>
        <v/>
      </c>
      <c r="AA211" s="843">
        <f t="shared" si="147"/>
        <v>2</v>
      </c>
      <c r="AB211" s="843" t="str">
        <f t="shared" si="151"/>
        <v>53,16</v>
      </c>
      <c r="AC211" s="843">
        <f t="shared" ref="AC211" si="218">import_pro_number_of_price_type</f>
        <v>2</v>
      </c>
      <c r="AD211" s="1219">
        <v>0</v>
      </c>
      <c r="AE211" s="1219">
        <v>1.6325000000000001</v>
      </c>
      <c r="AF211" s="1215"/>
      <c r="AG211" s="1215"/>
      <c r="AH211" s="1215"/>
      <c r="AI211" s="1215"/>
      <c r="AJ211" s="1216"/>
      <c r="AK211" s="1216"/>
      <c r="AL211" s="1216"/>
      <c r="AM211" s="1216"/>
      <c r="AN211" s="1216"/>
      <c r="AO211" s="1216"/>
      <c r="AP211" s="1216"/>
      <c r="AQ211" s="1216"/>
      <c r="AR211" s="1216"/>
      <c r="AS211" s="1216"/>
      <c r="AT211" s="1216"/>
      <c r="AU211" s="1120" cm="1">
        <f t="array" ref="AU211">IF(H211="","",Slookup(MID(X211,1,3)*1,UomConversion!$D$8:$J$500,2,UomConversion!$I$8:$I$500,1,UomConversion!$J$8:$J$500,1))</f>
        <v>16</v>
      </c>
      <c r="AV211" s="401" t="str">
        <f t="shared" si="149"/>
        <v>016.m</v>
      </c>
      <c r="AW211" s="757">
        <f t="shared" si="185"/>
        <v>53</v>
      </c>
      <c r="AX211" s="757">
        <f t="shared" si="185"/>
        <v>16</v>
      </c>
      <c r="AY211" s="757" t="str">
        <f t="shared" si="185"/>
        <v/>
      </c>
      <c r="AZ211" s="1209" cm="1">
        <f t="array" ref="AZ211">IF(Y211="",1,Slookup(MID(X211,1,3)*1,UomConversion!$D$8:$J$500,5,UomConversion!$E$8:$E$500,MID(Y211,1,3)*1,UomConversion!$I$8:$I$500,1))</f>
        <v>4</v>
      </c>
      <c r="BA211" s="1209" cm="1">
        <f t="array" ref="BA211">IF(Z211="",1,Slookup(MID(X211,1,3)*1,UomConversion!$D$8:$J$500,5,UomConversion!$E$8:$E$500,MID(Z211,1,3)*1,UomConversion!$I$8:$I$500,1))</f>
        <v>1</v>
      </c>
      <c r="BB211" s="1217">
        <f t="shared" si="213"/>
        <v>6.53</v>
      </c>
      <c r="BC211" s="1217">
        <f t="shared" si="153"/>
        <v>0.5</v>
      </c>
      <c r="BD211" s="1217"/>
    </row>
    <row r="212" spans="2:56" s="1120" customFormat="1" ht="24.95" customHeight="1">
      <c r="B212" s="445"/>
      <c r="C212" s="843">
        <v>193</v>
      </c>
      <c r="D212" s="843"/>
      <c r="E212" s="843"/>
      <c r="F212" s="1116" t="s">
        <v>2698</v>
      </c>
      <c r="G212" s="1117" t="s">
        <v>2698</v>
      </c>
      <c r="H212" s="868" t="s">
        <v>3169</v>
      </c>
      <c r="I212" s="1118" t="s">
        <v>3169</v>
      </c>
      <c r="J212" s="1138" t="s">
        <v>2971</v>
      </c>
      <c r="K212" s="1138" t="s">
        <v>2972</v>
      </c>
      <c r="L212" s="870" t="s">
        <v>2761</v>
      </c>
      <c r="M212" s="868" t="s">
        <v>2658</v>
      </c>
      <c r="N212" s="1118"/>
      <c r="O212" s="1119">
        <v>3.88</v>
      </c>
      <c r="P212" s="884">
        <v>4.3</v>
      </c>
      <c r="Q212" s="885"/>
      <c r="R212" s="843">
        <v>4</v>
      </c>
      <c r="S212" s="843">
        <v>0</v>
      </c>
      <c r="T212" s="843">
        <v>1</v>
      </c>
      <c r="U212" s="843">
        <v>0</v>
      </c>
      <c r="V212" s="843">
        <v>0</v>
      </c>
      <c r="W212" s="843">
        <v>1</v>
      </c>
      <c r="X212" s="870" t="s">
        <v>2938</v>
      </c>
      <c r="Y212" s="843" t="str">
        <f>IF(OR(ISNA(MATCH(MID(X212,1,3)*1,UomConversion!$D$8:$D$500,0)),H212=""),"",IF(AV212="","",AV212))</f>
        <v>016.m</v>
      </c>
      <c r="Z212" s="843" t="str">
        <f>IF(AND(AU212&gt;0,COUNTIFS(UomConversion!$D$8:$D$500,MID(X212,1,3)*1,UomConversion!$J$8:$J$500,1)&gt;1),TEXT(AU212,"000")&amp;"."&amp;VLOOKUP(AU212,uom_list,5,FALSE),"")</f>
        <v/>
      </c>
      <c r="AA212" s="843">
        <f t="shared" ref="AA212:AA219" si="219">COUNT(AW212:AY212)</f>
        <v>2</v>
      </c>
      <c r="AB212" s="843" t="str">
        <f t="shared" si="151"/>
        <v>53,16</v>
      </c>
      <c r="AC212" s="843">
        <f t="shared" ref="AC212" si="220">import_pro_number_of_price_type</f>
        <v>2</v>
      </c>
      <c r="AD212" s="1219">
        <v>0</v>
      </c>
      <c r="AE212" s="1219">
        <v>1.075</v>
      </c>
      <c r="AF212" s="1215"/>
      <c r="AG212" s="1215"/>
      <c r="AH212" s="1215"/>
      <c r="AI212" s="1215"/>
      <c r="AJ212" s="1216"/>
      <c r="AK212" s="1216"/>
      <c r="AL212" s="1216"/>
      <c r="AM212" s="1216"/>
      <c r="AN212" s="1216"/>
      <c r="AO212" s="1216"/>
      <c r="AP212" s="1216"/>
      <c r="AQ212" s="1216"/>
      <c r="AR212" s="1216"/>
      <c r="AS212" s="1216"/>
      <c r="AT212" s="1216"/>
      <c r="AU212" s="1120" cm="1">
        <f t="array" ref="AU212">IF(H212="","",Slookup(MID(X212,1,3)*1,UomConversion!$D$8:$J$500,2,UomConversion!$I$8:$I$500,1,UomConversion!$J$8:$J$500,1))</f>
        <v>16</v>
      </c>
      <c r="AV212" s="401" t="str">
        <f t="shared" ref="AV212:AV219" si="221">IF(OR(ISNA(VLOOKUP(MID(X212,1,3)*1,uom_converion_list,2,FALSE)),H212=""),"",TEXT(VLOOKUP(MID(X212,1,3)*1,uom_converion_list,2,FALSE),"000")&amp;"."&amp;VLOOKUP(VLOOKUP(MID(X212,1,3)*1,uom_converion_list,2,FALSE),uom_list,5,FALSE))</f>
        <v>016.m</v>
      </c>
      <c r="AW212" s="757">
        <f t="shared" ref="AW212:AY219" si="222">IF(X212="","",MID(X212,1,3)*1)</f>
        <v>53</v>
      </c>
      <c r="AX212" s="757">
        <f t="shared" si="222"/>
        <v>16</v>
      </c>
      <c r="AY212" s="757" t="str">
        <f t="shared" si="222"/>
        <v/>
      </c>
      <c r="AZ212" s="1209" cm="1">
        <f t="array" ref="AZ212">IF(Y212="",1,Slookup(MID(X212,1,3)*1,UomConversion!$D$8:$J$500,5,UomConversion!$E$8:$E$500,MID(Y212,1,3)*1,UomConversion!$I$8:$I$500,1))</f>
        <v>4</v>
      </c>
      <c r="BA212" s="1209" cm="1">
        <f t="array" ref="BA212">IF(Z212="",1,Slookup(MID(X212,1,3)*1,UomConversion!$D$8:$J$500,5,UomConversion!$E$8:$E$500,MID(Z212,1,3)*1,UomConversion!$I$8:$I$500,1))</f>
        <v>1</v>
      </c>
      <c r="BB212" s="1217">
        <f t="shared" si="213"/>
        <v>4.3</v>
      </c>
      <c r="BC212" s="1217">
        <f t="shared" si="153"/>
        <v>0.41999999999999993</v>
      </c>
      <c r="BD212" s="1217"/>
    </row>
    <row r="213" spans="2:56" s="1120" customFormat="1" ht="24.95" customHeight="1">
      <c r="B213" s="445"/>
      <c r="C213" s="843">
        <v>194</v>
      </c>
      <c r="D213" s="843"/>
      <c r="E213" s="843"/>
      <c r="F213" s="1116" t="s">
        <v>2700</v>
      </c>
      <c r="G213" s="1117" t="s">
        <v>2700</v>
      </c>
      <c r="H213" s="868" t="s">
        <v>3170</v>
      </c>
      <c r="I213" s="1118" t="s">
        <v>3170</v>
      </c>
      <c r="J213" s="1138" t="s">
        <v>2971</v>
      </c>
      <c r="K213" s="1138" t="s">
        <v>2972</v>
      </c>
      <c r="L213" s="870" t="s">
        <v>2761</v>
      </c>
      <c r="M213" s="868" t="s">
        <v>2658</v>
      </c>
      <c r="N213" s="1118"/>
      <c r="O213" s="1119">
        <v>4.7</v>
      </c>
      <c r="P213" s="884">
        <v>5.2</v>
      </c>
      <c r="Q213" s="885"/>
      <c r="R213" s="843">
        <v>4</v>
      </c>
      <c r="S213" s="843">
        <v>0</v>
      </c>
      <c r="T213" s="843">
        <v>1</v>
      </c>
      <c r="U213" s="843">
        <v>0</v>
      </c>
      <c r="V213" s="843">
        <v>0</v>
      </c>
      <c r="W213" s="843">
        <v>1</v>
      </c>
      <c r="X213" s="870" t="s">
        <v>2938</v>
      </c>
      <c r="Y213" s="843" t="str">
        <f>IF(OR(ISNA(MATCH(MID(X213,1,3)*1,UomConversion!$D$8:$D$500,0)),H213=""),"",IF(AV213="","",AV213))</f>
        <v>016.m</v>
      </c>
      <c r="Z213" s="843" t="str">
        <f>IF(AND(AU213&gt;0,COUNTIFS(UomConversion!$D$8:$D$500,MID(X213,1,3)*1,UomConversion!$J$8:$J$500,1)&gt;1),TEXT(AU213,"000")&amp;"."&amp;VLOOKUP(AU213,uom_list,5,FALSE),"")</f>
        <v/>
      </c>
      <c r="AA213" s="843">
        <f t="shared" si="219"/>
        <v>2</v>
      </c>
      <c r="AB213" s="843" t="str">
        <f t="shared" ref="AB213:AB219" si="223">_xlfn.TEXTJOIN(",",TRUE,AW213:AY213)</f>
        <v>53,16</v>
      </c>
      <c r="AC213" s="843">
        <f t="shared" ref="AC213" si="224">import_pro_number_of_price_type</f>
        <v>2</v>
      </c>
      <c r="AD213" s="1219">
        <v>0</v>
      </c>
      <c r="AE213" s="1219">
        <v>1.3</v>
      </c>
      <c r="AF213" s="1215"/>
      <c r="AG213" s="1215"/>
      <c r="AH213" s="1215"/>
      <c r="AI213" s="1215"/>
      <c r="AJ213" s="1216"/>
      <c r="AK213" s="1216"/>
      <c r="AL213" s="1216"/>
      <c r="AM213" s="1216"/>
      <c r="AN213" s="1216"/>
      <c r="AO213" s="1216"/>
      <c r="AP213" s="1216"/>
      <c r="AQ213" s="1216"/>
      <c r="AR213" s="1216"/>
      <c r="AS213" s="1216"/>
      <c r="AT213" s="1216"/>
      <c r="AU213" s="1120" cm="1">
        <f t="array" ref="AU213">IF(H213="","",Slookup(MID(X213,1,3)*1,UomConversion!$D$8:$J$500,2,UomConversion!$I$8:$I$500,1,UomConversion!$J$8:$J$500,1))</f>
        <v>16</v>
      </c>
      <c r="AV213" s="401" t="str">
        <f t="shared" si="221"/>
        <v>016.m</v>
      </c>
      <c r="AW213" s="757">
        <f t="shared" si="222"/>
        <v>53</v>
      </c>
      <c r="AX213" s="757">
        <f t="shared" si="222"/>
        <v>16</v>
      </c>
      <c r="AY213" s="757" t="str">
        <f t="shared" si="222"/>
        <v/>
      </c>
      <c r="AZ213" s="1209" cm="1">
        <f t="array" ref="AZ213">IF(Y213="",1,Slookup(MID(X213,1,3)*1,UomConversion!$D$8:$J$500,5,UomConversion!$E$8:$E$500,MID(Y213,1,3)*1,UomConversion!$I$8:$I$500,1))</f>
        <v>4</v>
      </c>
      <c r="BA213" s="1209" cm="1">
        <f t="array" ref="BA213">IF(Z213="",1,Slookup(MID(X213,1,3)*1,UomConversion!$D$8:$J$500,5,UomConversion!$E$8:$E$500,MID(Z213,1,3)*1,UomConversion!$I$8:$I$500,1))</f>
        <v>1</v>
      </c>
      <c r="BB213" s="1217">
        <f t="shared" si="213"/>
        <v>5.2</v>
      </c>
      <c r="BC213" s="1217">
        <f t="shared" ref="BC213:BC219" si="225">P213-O213</f>
        <v>0.5</v>
      </c>
      <c r="BD213" s="1217"/>
    </row>
    <row r="214" spans="2:56" s="1120" customFormat="1" ht="24.95" customHeight="1">
      <c r="B214" s="445"/>
      <c r="C214" s="843">
        <v>195</v>
      </c>
      <c r="D214" s="843"/>
      <c r="E214" s="843"/>
      <c r="F214" s="1116" t="s">
        <v>2702</v>
      </c>
      <c r="G214" s="1117" t="s">
        <v>2702</v>
      </c>
      <c r="H214" s="868" t="s">
        <v>3171</v>
      </c>
      <c r="I214" s="1118" t="s">
        <v>3171</v>
      </c>
      <c r="J214" s="1138" t="s">
        <v>2971</v>
      </c>
      <c r="K214" s="1138" t="s">
        <v>2972</v>
      </c>
      <c r="L214" s="870" t="s">
        <v>2761</v>
      </c>
      <c r="M214" s="868" t="s">
        <v>2658</v>
      </c>
      <c r="N214" s="1118"/>
      <c r="O214" s="1119">
        <v>6.28</v>
      </c>
      <c r="P214" s="884">
        <v>6.75</v>
      </c>
      <c r="Q214" s="885"/>
      <c r="R214" s="843">
        <v>4</v>
      </c>
      <c r="S214" s="843">
        <v>0</v>
      </c>
      <c r="T214" s="843">
        <v>1</v>
      </c>
      <c r="U214" s="843">
        <v>0</v>
      </c>
      <c r="V214" s="843">
        <v>0</v>
      </c>
      <c r="W214" s="843">
        <v>1</v>
      </c>
      <c r="X214" s="870" t="s">
        <v>2938</v>
      </c>
      <c r="Y214" s="843" t="str">
        <f>IF(OR(ISNA(MATCH(MID(X214,1,3)*1,UomConversion!$D$8:$D$500,0)),H214=""),"",IF(AV214="","",AV214))</f>
        <v>016.m</v>
      </c>
      <c r="Z214" s="843" t="str">
        <f>IF(AND(AU214&gt;0,COUNTIFS(UomConversion!$D$8:$D$500,MID(X214,1,3)*1,UomConversion!$J$8:$J$500,1)&gt;1),TEXT(AU214,"000")&amp;"."&amp;VLOOKUP(AU214,uom_list,5,FALSE),"")</f>
        <v/>
      </c>
      <c r="AA214" s="843">
        <f t="shared" si="219"/>
        <v>2</v>
      </c>
      <c r="AB214" s="843" t="str">
        <f t="shared" si="223"/>
        <v>53,16</v>
      </c>
      <c r="AC214" s="843">
        <f t="shared" ref="AC214" si="226">import_pro_number_of_price_type</f>
        <v>2</v>
      </c>
      <c r="AD214" s="1219">
        <v>0</v>
      </c>
      <c r="AE214" s="1219">
        <v>1.6875</v>
      </c>
      <c r="AF214" s="1215"/>
      <c r="AG214" s="1215"/>
      <c r="AH214" s="1215"/>
      <c r="AI214" s="1215"/>
      <c r="AJ214" s="1216"/>
      <c r="AK214" s="1216"/>
      <c r="AL214" s="1216"/>
      <c r="AM214" s="1216"/>
      <c r="AN214" s="1216"/>
      <c r="AO214" s="1216"/>
      <c r="AP214" s="1216"/>
      <c r="AQ214" s="1216"/>
      <c r="AR214" s="1216"/>
      <c r="AS214" s="1216"/>
      <c r="AT214" s="1216"/>
      <c r="AU214" s="1120" cm="1">
        <f t="array" ref="AU214">IF(H214="","",Slookup(MID(X214,1,3)*1,UomConversion!$D$8:$J$500,2,UomConversion!$I$8:$I$500,1,UomConversion!$J$8:$J$500,1))</f>
        <v>16</v>
      </c>
      <c r="AV214" s="401" t="str">
        <f t="shared" si="221"/>
        <v>016.m</v>
      </c>
      <c r="AW214" s="757">
        <f t="shared" si="222"/>
        <v>53</v>
      </c>
      <c r="AX214" s="757">
        <f t="shared" si="222"/>
        <v>16</v>
      </c>
      <c r="AY214" s="757" t="str">
        <f t="shared" si="222"/>
        <v/>
      </c>
      <c r="AZ214" s="1209" cm="1">
        <f t="array" ref="AZ214">IF(Y214="",1,Slookup(MID(X214,1,3)*1,UomConversion!$D$8:$J$500,5,UomConversion!$E$8:$E$500,MID(Y214,1,3)*1,UomConversion!$I$8:$I$500,1))</f>
        <v>4</v>
      </c>
      <c r="BA214" s="1209" cm="1">
        <f t="array" ref="BA214">IF(Z214="",1,Slookup(MID(X214,1,3)*1,UomConversion!$D$8:$J$500,5,UomConversion!$E$8:$E$500,MID(Z214,1,3)*1,UomConversion!$I$8:$I$500,1))</f>
        <v>1</v>
      </c>
      <c r="BB214" s="1217">
        <f t="shared" si="213"/>
        <v>6.75</v>
      </c>
      <c r="BC214" s="1217">
        <f t="shared" si="225"/>
        <v>0.46999999999999975</v>
      </c>
      <c r="BD214" s="1217"/>
    </row>
    <row r="215" spans="2:56" s="1120" customFormat="1" ht="24.95" customHeight="1">
      <c r="B215" s="445"/>
      <c r="C215" s="843">
        <v>196</v>
      </c>
      <c r="D215" s="843"/>
      <c r="E215" s="843"/>
      <c r="F215" s="1116" t="s">
        <v>2704</v>
      </c>
      <c r="G215" s="1117" t="s">
        <v>2704</v>
      </c>
      <c r="H215" s="868" t="s">
        <v>3172</v>
      </c>
      <c r="I215" s="1118" t="s">
        <v>3172</v>
      </c>
      <c r="J215" s="1138" t="s">
        <v>2971</v>
      </c>
      <c r="K215" s="1138" t="s">
        <v>2972</v>
      </c>
      <c r="L215" s="870" t="s">
        <v>2761</v>
      </c>
      <c r="M215" s="868" t="s">
        <v>2658</v>
      </c>
      <c r="N215" s="1118"/>
      <c r="O215" s="1119">
        <v>7.06</v>
      </c>
      <c r="P215" s="884">
        <v>7.56</v>
      </c>
      <c r="Q215" s="885"/>
      <c r="R215" s="843">
        <v>4</v>
      </c>
      <c r="S215" s="843">
        <v>0</v>
      </c>
      <c r="T215" s="843">
        <v>1</v>
      </c>
      <c r="U215" s="843">
        <v>0</v>
      </c>
      <c r="V215" s="843">
        <v>0</v>
      </c>
      <c r="W215" s="843">
        <v>1</v>
      </c>
      <c r="X215" s="870" t="s">
        <v>2938</v>
      </c>
      <c r="Y215" s="843" t="str">
        <f>IF(OR(ISNA(MATCH(MID(X215,1,3)*1,UomConversion!$D$8:$D$500,0)),H215=""),"",IF(AV215="","",AV215))</f>
        <v>016.m</v>
      </c>
      <c r="Z215" s="843" t="str">
        <f>IF(AND(AU215&gt;0,COUNTIFS(UomConversion!$D$8:$D$500,MID(X215,1,3)*1,UomConversion!$J$8:$J$500,1)&gt;1),TEXT(AU215,"000")&amp;"."&amp;VLOOKUP(AU215,uom_list,5,FALSE),"")</f>
        <v/>
      </c>
      <c r="AA215" s="843">
        <f t="shared" si="219"/>
        <v>2</v>
      </c>
      <c r="AB215" s="843" t="str">
        <f t="shared" si="223"/>
        <v>53,16</v>
      </c>
      <c r="AC215" s="843">
        <f t="shared" ref="AC215" si="227">import_pro_number_of_price_type</f>
        <v>2</v>
      </c>
      <c r="AD215" s="1219">
        <v>0</v>
      </c>
      <c r="AE215" s="1219">
        <v>1.89</v>
      </c>
      <c r="AF215" s="1215"/>
      <c r="AG215" s="1215"/>
      <c r="AH215" s="1215"/>
      <c r="AI215" s="1215"/>
      <c r="AJ215" s="1216"/>
      <c r="AK215" s="1216"/>
      <c r="AL215" s="1216"/>
      <c r="AM215" s="1216"/>
      <c r="AN215" s="1216"/>
      <c r="AO215" s="1216"/>
      <c r="AP215" s="1216"/>
      <c r="AQ215" s="1216"/>
      <c r="AR215" s="1216"/>
      <c r="AS215" s="1216"/>
      <c r="AT215" s="1216"/>
      <c r="AU215" s="1120" cm="1">
        <f t="array" ref="AU215">IF(H215="","",Slookup(MID(X215,1,3)*1,UomConversion!$D$8:$J$500,2,UomConversion!$I$8:$I$500,1,UomConversion!$J$8:$J$500,1))</f>
        <v>16</v>
      </c>
      <c r="AV215" s="401" t="str">
        <f t="shared" si="221"/>
        <v>016.m</v>
      </c>
      <c r="AW215" s="757">
        <f t="shared" si="222"/>
        <v>53</v>
      </c>
      <c r="AX215" s="757">
        <f t="shared" si="222"/>
        <v>16</v>
      </c>
      <c r="AY215" s="757" t="str">
        <f t="shared" si="222"/>
        <v/>
      </c>
      <c r="AZ215" s="1209" cm="1">
        <f t="array" ref="AZ215">IF(Y215="",1,Slookup(MID(X215,1,3)*1,UomConversion!$D$8:$J$500,5,UomConversion!$E$8:$E$500,MID(Y215,1,3)*1,UomConversion!$I$8:$I$500,1))</f>
        <v>4</v>
      </c>
      <c r="BA215" s="1209" cm="1">
        <f t="array" ref="BA215">IF(Z215="",1,Slookup(MID(X215,1,3)*1,UomConversion!$D$8:$J$500,5,UomConversion!$E$8:$E$500,MID(Z215,1,3)*1,UomConversion!$I$8:$I$500,1))</f>
        <v>1</v>
      </c>
      <c r="BB215" s="1217">
        <f t="shared" si="213"/>
        <v>7.56</v>
      </c>
      <c r="BC215" s="1217">
        <f t="shared" si="225"/>
        <v>0.5</v>
      </c>
      <c r="BD215" s="1217"/>
    </row>
    <row r="216" spans="2:56" s="1120" customFormat="1" ht="24.95" customHeight="1">
      <c r="B216" s="445"/>
      <c r="C216" s="843">
        <v>197</v>
      </c>
      <c r="D216" s="843"/>
      <c r="E216" s="843"/>
      <c r="F216" s="1116" t="s">
        <v>2706</v>
      </c>
      <c r="G216" s="1117" t="s">
        <v>2706</v>
      </c>
      <c r="H216" s="868" t="s">
        <v>3173</v>
      </c>
      <c r="I216" s="1118" t="s">
        <v>3173</v>
      </c>
      <c r="J216" s="1138" t="s">
        <v>2971</v>
      </c>
      <c r="K216" s="1138" t="s">
        <v>2972</v>
      </c>
      <c r="L216" s="870" t="s">
        <v>2761</v>
      </c>
      <c r="M216" s="868" t="s">
        <v>2658</v>
      </c>
      <c r="N216" s="1118"/>
      <c r="O216" s="1119">
        <v>8.36</v>
      </c>
      <c r="P216" s="884">
        <v>8.7799999999999994</v>
      </c>
      <c r="Q216" s="885"/>
      <c r="R216" s="843">
        <v>4</v>
      </c>
      <c r="S216" s="843">
        <v>0</v>
      </c>
      <c r="T216" s="843">
        <v>1</v>
      </c>
      <c r="U216" s="843">
        <v>0</v>
      </c>
      <c r="V216" s="843">
        <v>0</v>
      </c>
      <c r="W216" s="843">
        <v>1</v>
      </c>
      <c r="X216" s="870" t="s">
        <v>2938</v>
      </c>
      <c r="Y216" s="843" t="str">
        <f>IF(OR(ISNA(MATCH(MID(X216,1,3)*1,UomConversion!$D$8:$D$500,0)),H216=""),"",IF(AV216="","",AV216))</f>
        <v>016.m</v>
      </c>
      <c r="Z216" s="843" t="str">
        <f>IF(AND(AU216&gt;0,COUNTIFS(UomConversion!$D$8:$D$500,MID(X216,1,3)*1,UomConversion!$J$8:$J$500,1)&gt;1),TEXT(AU216,"000")&amp;"."&amp;VLOOKUP(AU216,uom_list,5,FALSE),"")</f>
        <v/>
      </c>
      <c r="AA216" s="843">
        <f t="shared" si="219"/>
        <v>2</v>
      </c>
      <c r="AB216" s="843" t="str">
        <f t="shared" si="223"/>
        <v>53,16</v>
      </c>
      <c r="AC216" s="843">
        <f t="shared" ref="AC216" si="228">import_pro_number_of_price_type</f>
        <v>2</v>
      </c>
      <c r="AD216" s="1219">
        <v>0</v>
      </c>
      <c r="AE216" s="1219">
        <v>2.1949999999999998</v>
      </c>
      <c r="AF216" s="1215"/>
      <c r="AG216" s="1215"/>
      <c r="AH216" s="1215"/>
      <c r="AI216" s="1215"/>
      <c r="AJ216" s="1216"/>
      <c r="AK216" s="1216"/>
      <c r="AL216" s="1216"/>
      <c r="AM216" s="1216"/>
      <c r="AN216" s="1216"/>
      <c r="AO216" s="1216"/>
      <c r="AP216" s="1216"/>
      <c r="AQ216" s="1216"/>
      <c r="AR216" s="1216"/>
      <c r="AS216" s="1216"/>
      <c r="AT216" s="1216"/>
      <c r="AU216" s="1120" cm="1">
        <f t="array" ref="AU216">IF(H216="","",Slookup(MID(X216,1,3)*1,UomConversion!$D$8:$J$500,2,UomConversion!$I$8:$I$500,1,UomConversion!$J$8:$J$500,1))</f>
        <v>16</v>
      </c>
      <c r="AV216" s="401" t="str">
        <f t="shared" si="221"/>
        <v>016.m</v>
      </c>
      <c r="AW216" s="757">
        <f t="shared" si="222"/>
        <v>53</v>
      </c>
      <c r="AX216" s="757">
        <f t="shared" si="222"/>
        <v>16</v>
      </c>
      <c r="AY216" s="757" t="str">
        <f t="shared" si="222"/>
        <v/>
      </c>
      <c r="AZ216" s="1209" cm="1">
        <f t="array" ref="AZ216">IF(Y216="",1,Slookup(MID(X216,1,3)*1,UomConversion!$D$8:$J$500,5,UomConversion!$E$8:$E$500,MID(Y216,1,3)*1,UomConversion!$I$8:$I$500,1))</f>
        <v>4</v>
      </c>
      <c r="BA216" s="1209" cm="1">
        <f t="array" ref="BA216">IF(Z216="",1,Slookup(MID(X216,1,3)*1,UomConversion!$D$8:$J$500,5,UomConversion!$E$8:$E$500,MID(Z216,1,3)*1,UomConversion!$I$8:$I$500,1))</f>
        <v>1</v>
      </c>
      <c r="BB216" s="1217">
        <f t="shared" si="213"/>
        <v>8.7799999999999994</v>
      </c>
      <c r="BC216" s="1217">
        <f t="shared" si="225"/>
        <v>0.41999999999999993</v>
      </c>
      <c r="BD216" s="1217"/>
    </row>
    <row r="217" spans="2:56" s="1120" customFormat="1" ht="24.95" customHeight="1">
      <c r="B217" s="445"/>
      <c r="C217" s="843">
        <v>198</v>
      </c>
      <c r="D217" s="843"/>
      <c r="E217" s="843"/>
      <c r="F217" s="1116" t="s">
        <v>2717</v>
      </c>
      <c r="G217" s="1117" t="s">
        <v>2717</v>
      </c>
      <c r="H217" s="868" t="s">
        <v>3174</v>
      </c>
      <c r="I217" s="1118" t="s">
        <v>3174</v>
      </c>
      <c r="J217" s="1138" t="s">
        <v>2971</v>
      </c>
      <c r="K217" s="1138" t="s">
        <v>2972</v>
      </c>
      <c r="L217" s="870" t="s">
        <v>2761</v>
      </c>
      <c r="M217" s="868" t="s">
        <v>2658</v>
      </c>
      <c r="N217" s="1118"/>
      <c r="O217" s="1119">
        <v>9.48</v>
      </c>
      <c r="P217" s="884">
        <v>10</v>
      </c>
      <c r="Q217" s="885"/>
      <c r="R217" s="843">
        <v>4</v>
      </c>
      <c r="S217" s="843">
        <v>0</v>
      </c>
      <c r="T217" s="843">
        <v>1</v>
      </c>
      <c r="U217" s="843">
        <v>0</v>
      </c>
      <c r="V217" s="843">
        <v>0</v>
      </c>
      <c r="W217" s="843">
        <v>1</v>
      </c>
      <c r="X217" s="870" t="s">
        <v>2938</v>
      </c>
      <c r="Y217" s="843" t="str">
        <f>IF(OR(ISNA(MATCH(MID(X217,1,3)*1,UomConversion!$D$8:$D$500,0)),H217=""),"",IF(AV217="","",AV217))</f>
        <v>016.m</v>
      </c>
      <c r="Z217" s="843" t="str">
        <f>IF(AND(AU217&gt;0,COUNTIFS(UomConversion!$D$8:$D$500,MID(X217,1,3)*1,UomConversion!$J$8:$J$500,1)&gt;1),TEXT(AU217,"000")&amp;"."&amp;VLOOKUP(AU217,uom_list,5,FALSE),"")</f>
        <v/>
      </c>
      <c r="AA217" s="843">
        <f t="shared" si="219"/>
        <v>2</v>
      </c>
      <c r="AB217" s="843" t="str">
        <f t="shared" si="223"/>
        <v>53,16</v>
      </c>
      <c r="AC217" s="843">
        <f t="shared" ref="AC217" si="229">import_pro_number_of_price_type</f>
        <v>2</v>
      </c>
      <c r="AD217" s="1219">
        <v>0</v>
      </c>
      <c r="AE217" s="1219">
        <v>2.5</v>
      </c>
      <c r="AF217" s="1215"/>
      <c r="AG217" s="1215"/>
      <c r="AH217" s="1215"/>
      <c r="AI217" s="1215"/>
      <c r="AJ217" s="1216"/>
      <c r="AK217" s="1216"/>
      <c r="AL217" s="1216"/>
      <c r="AM217" s="1216"/>
      <c r="AN217" s="1216"/>
      <c r="AO217" s="1216"/>
      <c r="AP217" s="1216"/>
      <c r="AQ217" s="1216"/>
      <c r="AR217" s="1216"/>
      <c r="AS217" s="1216"/>
      <c r="AT217" s="1216"/>
      <c r="AU217" s="1120" cm="1">
        <f t="array" ref="AU217">IF(H217="","",Slookup(MID(X217,1,3)*1,UomConversion!$D$8:$J$500,2,UomConversion!$I$8:$I$500,1,UomConversion!$J$8:$J$500,1))</f>
        <v>16</v>
      </c>
      <c r="AV217" s="401" t="str">
        <f t="shared" si="221"/>
        <v>016.m</v>
      </c>
      <c r="AW217" s="757">
        <f t="shared" si="222"/>
        <v>53</v>
      </c>
      <c r="AX217" s="757">
        <f t="shared" si="222"/>
        <v>16</v>
      </c>
      <c r="AY217" s="757" t="str">
        <f t="shared" si="222"/>
        <v/>
      </c>
      <c r="AZ217" s="1209" cm="1">
        <f t="array" ref="AZ217">IF(Y217="",1,Slookup(MID(X217,1,3)*1,UomConversion!$D$8:$J$500,5,UomConversion!$E$8:$E$500,MID(Y217,1,3)*1,UomConversion!$I$8:$I$500,1))</f>
        <v>4</v>
      </c>
      <c r="BA217" s="1209" cm="1">
        <f t="array" ref="BA217">IF(Z217="",1,Slookup(MID(X217,1,3)*1,UomConversion!$D$8:$J$500,5,UomConversion!$E$8:$E$500,MID(Z217,1,3)*1,UomConversion!$I$8:$I$500,1))</f>
        <v>1</v>
      </c>
      <c r="BB217" s="1217">
        <f t="shared" si="213"/>
        <v>10</v>
      </c>
      <c r="BC217" s="1217">
        <f t="shared" si="225"/>
        <v>0.51999999999999957</v>
      </c>
      <c r="BD217" s="1217"/>
    </row>
    <row r="218" spans="2:56" s="1120" customFormat="1" ht="24.95" customHeight="1">
      <c r="B218" s="445"/>
      <c r="C218" s="843">
        <v>199</v>
      </c>
      <c r="D218" s="843"/>
      <c r="E218" s="843"/>
      <c r="F218" s="1116" t="s">
        <v>2718</v>
      </c>
      <c r="G218" s="1117" t="s">
        <v>2718</v>
      </c>
      <c r="H218" s="868" t="s">
        <v>3175</v>
      </c>
      <c r="I218" s="1118" t="s">
        <v>3175</v>
      </c>
      <c r="J218" s="1138" t="s">
        <v>2971</v>
      </c>
      <c r="K218" s="1138" t="s">
        <v>2972</v>
      </c>
      <c r="L218" s="870" t="s">
        <v>2761</v>
      </c>
      <c r="M218" s="868" t="s">
        <v>2658</v>
      </c>
      <c r="N218" s="1118"/>
      <c r="O218" s="1119">
        <v>10.58</v>
      </c>
      <c r="P218" s="884">
        <v>11</v>
      </c>
      <c r="Q218" s="885"/>
      <c r="R218" s="843">
        <v>4</v>
      </c>
      <c r="S218" s="843">
        <v>0</v>
      </c>
      <c r="T218" s="843">
        <v>1</v>
      </c>
      <c r="U218" s="843">
        <v>0</v>
      </c>
      <c r="V218" s="843">
        <v>0</v>
      </c>
      <c r="W218" s="843">
        <v>1</v>
      </c>
      <c r="X218" s="870" t="s">
        <v>2938</v>
      </c>
      <c r="Y218" s="843" t="str">
        <f>IF(OR(ISNA(MATCH(MID(X218,1,3)*1,UomConversion!$D$8:$D$500,0)),H218=""),"",IF(AV218="","",AV218))</f>
        <v>016.m</v>
      </c>
      <c r="Z218" s="843" t="str">
        <f>IF(AND(AU218&gt;0,COUNTIFS(UomConversion!$D$8:$D$500,MID(X218,1,3)*1,UomConversion!$J$8:$J$500,1)&gt;1),TEXT(AU218,"000")&amp;"."&amp;VLOOKUP(AU218,uom_list,5,FALSE),"")</f>
        <v/>
      </c>
      <c r="AA218" s="843">
        <f t="shared" si="219"/>
        <v>2</v>
      </c>
      <c r="AB218" s="843" t="str">
        <f t="shared" si="223"/>
        <v>53,16</v>
      </c>
      <c r="AC218" s="843">
        <f t="shared" ref="AC218" si="230">import_pro_number_of_price_type</f>
        <v>2</v>
      </c>
      <c r="AD218" s="1219">
        <v>0</v>
      </c>
      <c r="AE218" s="1219">
        <v>2.75</v>
      </c>
      <c r="AF218" s="1215"/>
      <c r="AG218" s="1215"/>
      <c r="AH218" s="1215"/>
      <c r="AI218" s="1215"/>
      <c r="AJ218" s="1216"/>
      <c r="AK218" s="1216"/>
      <c r="AL218" s="1216"/>
      <c r="AM218" s="1216"/>
      <c r="AN218" s="1216"/>
      <c r="AO218" s="1216"/>
      <c r="AP218" s="1216"/>
      <c r="AQ218" s="1216"/>
      <c r="AR218" s="1216"/>
      <c r="AS218" s="1216"/>
      <c r="AT218" s="1216"/>
      <c r="AU218" s="1120" cm="1">
        <f t="array" ref="AU218">IF(H218="","",Slookup(MID(X218,1,3)*1,UomConversion!$D$8:$J$500,2,UomConversion!$I$8:$I$500,1,UomConversion!$J$8:$J$500,1))</f>
        <v>16</v>
      </c>
      <c r="AV218" s="401" t="str">
        <f t="shared" si="221"/>
        <v>016.m</v>
      </c>
      <c r="AW218" s="757">
        <f t="shared" si="222"/>
        <v>53</v>
      </c>
      <c r="AX218" s="757">
        <f t="shared" si="222"/>
        <v>16</v>
      </c>
      <c r="AY218" s="757" t="str">
        <f t="shared" si="222"/>
        <v/>
      </c>
      <c r="AZ218" s="1209" cm="1">
        <f t="array" ref="AZ218">IF(Y218="",1,Slookup(MID(X218,1,3)*1,UomConversion!$D$8:$J$500,5,UomConversion!$E$8:$E$500,MID(Y218,1,3)*1,UomConversion!$I$8:$I$500,1))</f>
        <v>4</v>
      </c>
      <c r="BA218" s="1209" cm="1">
        <f t="array" ref="BA218">IF(Z218="",1,Slookup(MID(X218,1,3)*1,UomConversion!$D$8:$J$500,5,UomConversion!$E$8:$E$500,MID(Z218,1,3)*1,UomConversion!$I$8:$I$500,1))</f>
        <v>1</v>
      </c>
      <c r="BB218" s="1217">
        <f t="shared" si="213"/>
        <v>11</v>
      </c>
      <c r="BC218" s="1217">
        <f t="shared" si="225"/>
        <v>0.41999999999999993</v>
      </c>
      <c r="BD218" s="1217"/>
    </row>
    <row r="219" spans="2:56" s="1120" customFormat="1" ht="24.95" customHeight="1">
      <c r="B219" s="445"/>
      <c r="C219" s="843">
        <v>200</v>
      </c>
      <c r="D219" s="843"/>
      <c r="E219" s="843"/>
      <c r="F219" s="1116" t="s">
        <v>2719</v>
      </c>
      <c r="G219" s="1117" t="s">
        <v>2719</v>
      </c>
      <c r="H219" s="868" t="s">
        <v>3176</v>
      </c>
      <c r="I219" s="1118" t="s">
        <v>3176</v>
      </c>
      <c r="J219" s="1138" t="s">
        <v>2971</v>
      </c>
      <c r="K219" s="1138" t="s">
        <v>2972</v>
      </c>
      <c r="L219" s="870" t="s">
        <v>2761</v>
      </c>
      <c r="M219" s="868" t="s">
        <v>2658</v>
      </c>
      <c r="N219" s="1118"/>
      <c r="O219" s="1119">
        <v>11.94</v>
      </c>
      <c r="P219" s="884">
        <v>12.5</v>
      </c>
      <c r="Q219" s="885"/>
      <c r="R219" s="843">
        <v>4</v>
      </c>
      <c r="S219" s="843">
        <v>0</v>
      </c>
      <c r="T219" s="843">
        <v>1</v>
      </c>
      <c r="U219" s="843">
        <v>0</v>
      </c>
      <c r="V219" s="843">
        <v>0</v>
      </c>
      <c r="W219" s="843">
        <v>1</v>
      </c>
      <c r="X219" s="870" t="s">
        <v>2938</v>
      </c>
      <c r="Y219" s="843" t="str">
        <f>IF(OR(ISNA(MATCH(MID(X219,1,3)*1,UomConversion!$D$8:$D$500,0)),H219=""),"",IF(AV219="","",AV219))</f>
        <v>016.m</v>
      </c>
      <c r="Z219" s="843" t="str">
        <f>IF(AND(AU219&gt;0,COUNTIFS(UomConversion!$D$8:$D$500,MID(X219,1,3)*1,UomConversion!$J$8:$J$500,1)&gt;1),TEXT(AU219,"000")&amp;"."&amp;VLOOKUP(AU219,uom_list,5,FALSE),"")</f>
        <v/>
      </c>
      <c r="AA219" s="843">
        <f t="shared" si="219"/>
        <v>2</v>
      </c>
      <c r="AB219" s="843" t="str">
        <f t="shared" si="223"/>
        <v>53,16</v>
      </c>
      <c r="AC219" s="843">
        <f t="shared" ref="AC219" si="231">import_pro_number_of_price_type</f>
        <v>2</v>
      </c>
      <c r="AD219" s="1219">
        <v>0</v>
      </c>
      <c r="AE219" s="1219">
        <v>3.125</v>
      </c>
      <c r="AF219" s="1215"/>
      <c r="AG219" s="1215"/>
      <c r="AH219" s="1215"/>
      <c r="AI219" s="1215"/>
      <c r="AJ219" s="1216"/>
      <c r="AK219" s="1216"/>
      <c r="AL219" s="1216"/>
      <c r="AM219" s="1216"/>
      <c r="AN219" s="1216"/>
      <c r="AO219" s="1216"/>
      <c r="AP219" s="1216"/>
      <c r="AQ219" s="1216"/>
      <c r="AR219" s="1216"/>
      <c r="AS219" s="1216"/>
      <c r="AT219" s="1216"/>
      <c r="AU219" s="1120" cm="1">
        <f t="array" ref="AU219">IF(H219="","",Slookup(MID(X219,1,3)*1,UomConversion!$D$8:$J$500,2,UomConversion!$I$8:$I$500,1,UomConversion!$J$8:$J$500,1))</f>
        <v>16</v>
      </c>
      <c r="AV219" s="401" t="str">
        <f t="shared" si="221"/>
        <v>016.m</v>
      </c>
      <c r="AW219" s="757">
        <f t="shared" si="222"/>
        <v>53</v>
      </c>
      <c r="AX219" s="757">
        <f t="shared" si="222"/>
        <v>16</v>
      </c>
      <c r="AY219" s="757" t="str">
        <f t="shared" si="222"/>
        <v/>
      </c>
      <c r="AZ219" s="1209" cm="1">
        <f t="array" ref="AZ219">IF(Y219="",1,Slookup(MID(X219,1,3)*1,UomConversion!$D$8:$J$500,5,UomConversion!$E$8:$E$500,MID(Y219,1,3)*1,UomConversion!$I$8:$I$500,1))</f>
        <v>4</v>
      </c>
      <c r="BA219" s="1209" cm="1">
        <f t="array" ref="BA219">IF(Z219="",1,Slookup(MID(X219,1,3)*1,UomConversion!$D$8:$J$500,5,UomConversion!$E$8:$E$500,MID(Z219,1,3)*1,UomConversion!$I$8:$I$500,1))</f>
        <v>1</v>
      </c>
      <c r="BB219" s="1217">
        <f t="shared" si="213"/>
        <v>12.5</v>
      </c>
      <c r="BC219" s="1217">
        <f t="shared" si="225"/>
        <v>0.5600000000000005</v>
      </c>
      <c r="BD219" s="1217"/>
    </row>
    <row r="220" spans="2:56" s="1120" customFormat="1" ht="24.95" customHeight="1">
      <c r="B220" s="445"/>
      <c r="C220" s="843"/>
      <c r="D220" s="843"/>
      <c r="E220" s="843"/>
      <c r="F220" s="1116"/>
      <c r="G220" s="1117"/>
      <c r="H220" s="868"/>
      <c r="I220" s="1118"/>
      <c r="J220" s="1138"/>
      <c r="K220" s="1138"/>
      <c r="L220" s="868"/>
      <c r="M220" s="868"/>
      <c r="N220" s="1118"/>
      <c r="O220" s="1119"/>
      <c r="P220" s="884"/>
      <c r="Q220" s="885"/>
      <c r="R220" s="843"/>
      <c r="S220" s="843"/>
      <c r="T220" s="843"/>
      <c r="U220" s="843"/>
      <c r="V220" s="843"/>
      <c r="W220" s="843"/>
      <c r="X220" s="870"/>
      <c r="Y220" s="843"/>
      <c r="Z220" s="843"/>
      <c r="AA220" s="843"/>
      <c r="AB220" s="204"/>
      <c r="AC220" s="204"/>
      <c r="AD220" s="1212"/>
      <c r="AE220" s="1212"/>
      <c r="AF220" s="1186"/>
      <c r="AG220" s="1186"/>
      <c r="AH220" s="1137"/>
      <c r="AI220" s="1137"/>
      <c r="AJ220" s="1137"/>
      <c r="AK220" s="1137"/>
      <c r="AL220" s="1137"/>
      <c r="AM220" s="1137"/>
      <c r="AN220" s="1137"/>
      <c r="AO220" s="1137"/>
      <c r="AP220" s="1137"/>
      <c r="AQ220" s="1137"/>
      <c r="AR220" s="1137"/>
      <c r="AS220" s="1137"/>
      <c r="AT220" s="1137"/>
      <c r="AV220" s="445"/>
      <c r="AW220" s="607"/>
      <c r="AX220" s="607"/>
      <c r="AY220" s="607"/>
      <c r="AZ220" s="1209"/>
      <c r="BA220" s="1209"/>
    </row>
    <row r="221" spans="2:56" s="256" customFormat="1" ht="24.95" customHeight="1">
      <c r="B221" s="445"/>
      <c r="C221" s="843"/>
      <c r="D221" s="843"/>
      <c r="E221" s="843"/>
      <c r="F221" s="1116"/>
      <c r="G221" s="1117"/>
      <c r="H221" s="868"/>
      <c r="I221" s="1118"/>
      <c r="J221" s="1138"/>
      <c r="K221" s="1138"/>
      <c r="L221" s="868"/>
      <c r="M221" s="868"/>
      <c r="N221" s="1118"/>
      <c r="O221" s="1119"/>
      <c r="P221" s="884"/>
      <c r="Q221" s="885"/>
      <c r="R221" s="843"/>
      <c r="S221" s="843"/>
      <c r="T221" s="843"/>
      <c r="U221" s="843"/>
      <c r="V221" s="843"/>
      <c r="W221" s="843"/>
      <c r="X221" s="870"/>
      <c r="Y221" s="843"/>
      <c r="Z221" s="843"/>
      <c r="AA221" s="843"/>
      <c r="AB221" s="204"/>
      <c r="AC221" s="204"/>
      <c r="AD221" s="1212"/>
      <c r="AE221" s="1212"/>
      <c r="AF221" s="1186"/>
      <c r="AG221" s="1186"/>
      <c r="AH221" s="1222"/>
      <c r="AI221" s="1222"/>
      <c r="AJ221" s="1222"/>
      <c r="AK221" s="1222"/>
      <c r="AL221" s="1222"/>
      <c r="AM221" s="1222"/>
      <c r="AN221" s="1222"/>
      <c r="AO221" s="1222"/>
      <c r="AP221" s="1222"/>
      <c r="AQ221" s="1222"/>
      <c r="AR221" s="1222"/>
      <c r="AS221" s="1222"/>
      <c r="AT221" s="1222"/>
      <c r="AU221" s="1120"/>
      <c r="AV221" s="445"/>
      <c r="AW221" s="607"/>
      <c r="AX221" s="607"/>
      <c r="AY221" s="607"/>
      <c r="AZ221" s="1209"/>
      <c r="BA221" s="1209"/>
    </row>
    <row r="222" spans="2:56" s="256" customFormat="1" ht="24.95" customHeight="1">
      <c r="B222" s="445"/>
      <c r="C222" s="843"/>
      <c r="D222" s="843"/>
      <c r="E222" s="843"/>
      <c r="F222" s="1116"/>
      <c r="G222" s="1117"/>
      <c r="H222" s="868"/>
      <c r="I222" s="1118"/>
      <c r="J222" s="1138"/>
      <c r="K222" s="1138"/>
      <c r="L222" s="868"/>
      <c r="M222" s="868"/>
      <c r="N222" s="1118"/>
      <c r="O222" s="1119"/>
      <c r="P222" s="884"/>
      <c r="Q222" s="885"/>
      <c r="R222" s="843"/>
      <c r="S222" s="843"/>
      <c r="T222" s="843"/>
      <c r="U222" s="843"/>
      <c r="V222" s="843"/>
      <c r="W222" s="843"/>
      <c r="X222" s="870"/>
      <c r="Y222" s="843"/>
      <c r="Z222" s="843"/>
      <c r="AA222" s="843"/>
      <c r="AB222" s="204"/>
      <c r="AC222" s="204"/>
      <c r="AD222" s="1212"/>
      <c r="AE222" s="1212"/>
      <c r="AF222" s="1186"/>
      <c r="AG222" s="1186"/>
      <c r="AH222" s="1222"/>
      <c r="AI222" s="1222"/>
      <c r="AJ222" s="1222"/>
      <c r="AK222" s="1222"/>
      <c r="AL222" s="1222"/>
      <c r="AM222" s="1222"/>
      <c r="AN222" s="1222"/>
      <c r="AO222" s="1222"/>
      <c r="AP222" s="1222"/>
      <c r="AQ222" s="1222"/>
      <c r="AR222" s="1222"/>
      <c r="AS222" s="1222"/>
      <c r="AT222" s="1222"/>
      <c r="AU222" s="1120"/>
      <c r="AV222" s="445"/>
      <c r="AW222" s="607"/>
      <c r="AX222" s="607"/>
      <c r="AY222" s="607"/>
      <c r="AZ222" s="1209"/>
      <c r="BA222" s="1209"/>
    </row>
    <row r="223" spans="2:56" s="256" customFormat="1" ht="24.95" customHeight="1">
      <c r="B223" s="445"/>
      <c r="C223" s="843"/>
      <c r="D223" s="843"/>
      <c r="E223" s="843"/>
      <c r="F223" s="1116"/>
      <c r="G223" s="1117"/>
      <c r="H223" s="868"/>
      <c r="I223" s="1118"/>
      <c r="J223" s="1138"/>
      <c r="K223" s="1138"/>
      <c r="L223" s="868"/>
      <c r="M223" s="868"/>
      <c r="N223" s="1118"/>
      <c r="O223" s="1119"/>
      <c r="P223" s="884"/>
      <c r="Q223" s="885"/>
      <c r="R223" s="843"/>
      <c r="S223" s="843"/>
      <c r="T223" s="843"/>
      <c r="U223" s="843"/>
      <c r="V223" s="843"/>
      <c r="W223" s="843"/>
      <c r="X223" s="870"/>
      <c r="Y223" s="843"/>
      <c r="Z223" s="843"/>
      <c r="AA223" s="843"/>
      <c r="AB223" s="204"/>
      <c r="AC223" s="204"/>
      <c r="AD223" s="1212"/>
      <c r="AE223" s="1212"/>
      <c r="AF223" s="1186"/>
      <c r="AG223" s="1186"/>
      <c r="AH223" s="1222"/>
      <c r="AI223" s="1222"/>
      <c r="AJ223" s="1222"/>
      <c r="AK223" s="1222"/>
      <c r="AL223" s="1222"/>
      <c r="AM223" s="1222"/>
      <c r="AN223" s="1222"/>
      <c r="AO223" s="1222"/>
      <c r="AP223" s="1222"/>
      <c r="AQ223" s="1222"/>
      <c r="AR223" s="1222"/>
      <c r="AS223" s="1222"/>
      <c r="AT223" s="1222"/>
      <c r="AU223" s="1120"/>
      <c r="AV223" s="445"/>
      <c r="AW223" s="607"/>
      <c r="AX223" s="607"/>
      <c r="AY223" s="607"/>
      <c r="AZ223" s="1209"/>
      <c r="BA223" s="1209"/>
    </row>
    <row r="224" spans="2:56" s="256" customFormat="1" ht="24.95" customHeight="1">
      <c r="B224" s="445"/>
      <c r="C224" s="843"/>
      <c r="D224" s="843"/>
      <c r="E224" s="843"/>
      <c r="F224" s="1116"/>
      <c r="G224" s="1117"/>
      <c r="H224" s="868"/>
      <c r="I224" s="1118"/>
      <c r="J224" s="1138"/>
      <c r="K224" s="1138"/>
      <c r="L224" s="868"/>
      <c r="M224" s="868"/>
      <c r="N224" s="1118"/>
      <c r="O224" s="1119"/>
      <c r="P224" s="884"/>
      <c r="Q224" s="885"/>
      <c r="R224" s="843"/>
      <c r="S224" s="843"/>
      <c r="T224" s="843"/>
      <c r="U224" s="843"/>
      <c r="V224" s="843"/>
      <c r="W224" s="843"/>
      <c r="X224" s="870"/>
      <c r="Y224" s="843"/>
      <c r="Z224" s="843"/>
      <c r="AA224" s="843"/>
      <c r="AB224" s="204"/>
      <c r="AC224" s="204"/>
      <c r="AD224" s="1212"/>
      <c r="AE224" s="1212"/>
      <c r="AF224" s="1186"/>
      <c r="AG224" s="1186"/>
      <c r="AH224" s="1222"/>
      <c r="AI224" s="1222"/>
      <c r="AJ224" s="1222"/>
      <c r="AK224" s="1222"/>
      <c r="AL224" s="1222"/>
      <c r="AM224" s="1222"/>
      <c r="AN224" s="1222"/>
      <c r="AO224" s="1222"/>
      <c r="AP224" s="1222"/>
      <c r="AQ224" s="1222"/>
      <c r="AR224" s="1222"/>
      <c r="AS224" s="1222"/>
      <c r="AT224" s="1222"/>
      <c r="AU224" s="1120"/>
      <c r="AV224" s="445"/>
      <c r="AW224" s="607"/>
      <c r="AX224" s="607"/>
      <c r="AY224" s="607"/>
      <c r="AZ224" s="1209"/>
      <c r="BA224" s="1209"/>
    </row>
    <row r="225" spans="2:53" s="256" customFormat="1" ht="24.95" customHeight="1">
      <c r="B225" s="445"/>
      <c r="C225" s="843"/>
      <c r="D225" s="843"/>
      <c r="E225" s="843"/>
      <c r="F225" s="1116"/>
      <c r="G225" s="1117"/>
      <c r="H225" s="868"/>
      <c r="I225" s="1118"/>
      <c r="J225" s="1138"/>
      <c r="K225" s="1138"/>
      <c r="L225" s="868"/>
      <c r="M225" s="868"/>
      <c r="N225" s="1118"/>
      <c r="O225" s="1119"/>
      <c r="P225" s="884"/>
      <c r="Q225" s="885"/>
      <c r="R225" s="843"/>
      <c r="S225" s="843"/>
      <c r="T225" s="843"/>
      <c r="U225" s="843"/>
      <c r="V225" s="843"/>
      <c r="W225" s="843"/>
      <c r="X225" s="870"/>
      <c r="Y225" s="843"/>
      <c r="Z225" s="843"/>
      <c r="AA225" s="843"/>
      <c r="AB225" s="204"/>
      <c r="AC225" s="204"/>
      <c r="AD225" s="1212"/>
      <c r="AE225" s="1212"/>
      <c r="AF225" s="1186"/>
      <c r="AG225" s="1186"/>
      <c r="AH225" s="1222"/>
      <c r="AI225" s="1222"/>
      <c r="AJ225" s="1222"/>
      <c r="AK225" s="1222"/>
      <c r="AL225" s="1222"/>
      <c r="AM225" s="1222"/>
      <c r="AN225" s="1222"/>
      <c r="AO225" s="1222"/>
      <c r="AP225" s="1222"/>
      <c r="AQ225" s="1222"/>
      <c r="AR225" s="1222"/>
      <c r="AS225" s="1222"/>
      <c r="AT225" s="1222"/>
      <c r="AU225" s="1120"/>
      <c r="AV225" s="445"/>
      <c r="AW225" s="607"/>
      <c r="AX225" s="607"/>
      <c r="AY225" s="607"/>
      <c r="AZ225" s="1209"/>
      <c r="BA225" s="1209"/>
    </row>
    <row r="226" spans="2:53" s="256" customFormat="1" ht="24.95" customHeight="1">
      <c r="B226" s="445"/>
      <c r="C226" s="843"/>
      <c r="D226" s="843"/>
      <c r="E226" s="843"/>
      <c r="F226" s="1116"/>
      <c r="G226" s="1117"/>
      <c r="H226" s="868"/>
      <c r="I226" s="1118"/>
      <c r="J226" s="1138"/>
      <c r="K226" s="1138"/>
      <c r="L226" s="868"/>
      <c r="M226" s="868"/>
      <c r="N226" s="1118"/>
      <c r="O226" s="1119"/>
      <c r="P226" s="884"/>
      <c r="Q226" s="885"/>
      <c r="R226" s="843"/>
      <c r="S226" s="843"/>
      <c r="T226" s="843"/>
      <c r="U226" s="843"/>
      <c r="V226" s="843"/>
      <c r="W226" s="843"/>
      <c r="X226" s="870"/>
      <c r="Y226" s="843"/>
      <c r="Z226" s="843"/>
      <c r="AA226" s="843"/>
      <c r="AB226" s="204"/>
      <c r="AC226" s="204"/>
      <c r="AD226" s="1212"/>
      <c r="AE226" s="1212"/>
      <c r="AF226" s="1186"/>
      <c r="AG226" s="1186"/>
      <c r="AH226" s="1222"/>
      <c r="AI226" s="1222"/>
      <c r="AJ226" s="1222"/>
      <c r="AK226" s="1222"/>
      <c r="AL226" s="1222"/>
      <c r="AM226" s="1222"/>
      <c r="AN226" s="1222"/>
      <c r="AO226" s="1222"/>
      <c r="AP226" s="1222"/>
      <c r="AQ226" s="1222"/>
      <c r="AR226" s="1222"/>
      <c r="AS226" s="1222"/>
      <c r="AT226" s="1222"/>
      <c r="AU226" s="1120"/>
      <c r="AV226" s="445"/>
      <c r="AW226" s="607"/>
      <c r="AX226" s="607"/>
      <c r="AY226" s="607"/>
      <c r="AZ226" s="1209"/>
      <c r="BA226" s="1209"/>
    </row>
    <row r="227" spans="2:53" s="256" customFormat="1" ht="24.95" customHeight="1">
      <c r="B227" s="445"/>
      <c r="C227" s="843"/>
      <c r="D227" s="843"/>
      <c r="E227" s="843"/>
      <c r="F227" s="1116"/>
      <c r="G227" s="1117"/>
      <c r="H227" s="868"/>
      <c r="I227" s="1118"/>
      <c r="J227" s="1138"/>
      <c r="K227" s="1138"/>
      <c r="L227" s="868"/>
      <c r="M227" s="868"/>
      <c r="N227" s="1118"/>
      <c r="O227" s="1119"/>
      <c r="P227" s="884"/>
      <c r="Q227" s="885"/>
      <c r="R227" s="843"/>
      <c r="S227" s="843"/>
      <c r="T227" s="843"/>
      <c r="U227" s="843"/>
      <c r="V227" s="843"/>
      <c r="W227" s="843"/>
      <c r="X227" s="870"/>
      <c r="Y227" s="843"/>
      <c r="Z227" s="843"/>
      <c r="AA227" s="843"/>
      <c r="AB227" s="204"/>
      <c r="AC227" s="204"/>
      <c r="AD227" s="1212"/>
      <c r="AE227" s="1212"/>
      <c r="AF227" s="1186"/>
      <c r="AG227" s="1186"/>
      <c r="AH227" s="1222"/>
      <c r="AI227" s="1222"/>
      <c r="AJ227" s="1222"/>
      <c r="AK227" s="1222"/>
      <c r="AL227" s="1222"/>
      <c r="AM227" s="1222"/>
      <c r="AN227" s="1222"/>
      <c r="AO227" s="1222"/>
      <c r="AP227" s="1222"/>
      <c r="AQ227" s="1222"/>
      <c r="AR227" s="1222"/>
      <c r="AS227" s="1222"/>
      <c r="AT227" s="1222"/>
      <c r="AU227" s="1120"/>
      <c r="AV227" s="445"/>
      <c r="AW227" s="607"/>
      <c r="AX227" s="607"/>
      <c r="AY227" s="607"/>
      <c r="AZ227" s="1209"/>
      <c r="BA227" s="1209"/>
    </row>
    <row r="228" spans="2:53" s="256" customFormat="1" ht="24.95" customHeight="1">
      <c r="B228" s="445"/>
      <c r="C228" s="843"/>
      <c r="D228" s="843"/>
      <c r="E228" s="843"/>
      <c r="F228" s="1116"/>
      <c r="G228" s="1117"/>
      <c r="H228" s="868"/>
      <c r="I228" s="1118"/>
      <c r="J228" s="1138"/>
      <c r="K228" s="1138"/>
      <c r="L228" s="868"/>
      <c r="M228" s="868"/>
      <c r="N228" s="1118"/>
      <c r="O228" s="1119"/>
      <c r="P228" s="884"/>
      <c r="Q228" s="885"/>
      <c r="R228" s="843"/>
      <c r="S228" s="843"/>
      <c r="T228" s="843"/>
      <c r="U228" s="843"/>
      <c r="V228" s="843"/>
      <c r="W228" s="843"/>
      <c r="X228" s="870"/>
      <c r="Y228" s="843"/>
      <c r="Z228" s="843"/>
      <c r="AA228" s="843"/>
      <c r="AB228" s="204"/>
      <c r="AC228" s="204"/>
      <c r="AD228" s="1212"/>
      <c r="AE228" s="1212"/>
      <c r="AF228" s="1186"/>
      <c r="AG228" s="1186"/>
      <c r="AH228" s="1222"/>
      <c r="AI228" s="1222"/>
      <c r="AJ228" s="1222"/>
      <c r="AK228" s="1222"/>
      <c r="AL228" s="1222"/>
      <c r="AM228" s="1222"/>
      <c r="AN228" s="1222"/>
      <c r="AO228" s="1222"/>
      <c r="AP228" s="1222"/>
      <c r="AQ228" s="1222"/>
      <c r="AR228" s="1222"/>
      <c r="AS228" s="1222"/>
      <c r="AT228" s="1222"/>
      <c r="AU228" s="1120"/>
      <c r="AV228" s="445"/>
      <c r="AW228" s="607"/>
      <c r="AX228" s="607"/>
      <c r="AY228" s="607"/>
      <c r="AZ228" s="1209"/>
      <c r="BA228" s="1209"/>
    </row>
    <row r="229" spans="2:53" s="256" customFormat="1" ht="24.95" customHeight="1">
      <c r="B229" s="445"/>
      <c r="C229" s="843"/>
      <c r="D229" s="843"/>
      <c r="E229" s="843"/>
      <c r="F229" s="1116"/>
      <c r="G229" s="1117"/>
      <c r="H229" s="868"/>
      <c r="I229" s="1118"/>
      <c r="J229" s="1138"/>
      <c r="K229" s="1138"/>
      <c r="L229" s="868"/>
      <c r="M229" s="868"/>
      <c r="N229" s="1118"/>
      <c r="O229" s="1119"/>
      <c r="P229" s="884"/>
      <c r="Q229" s="885"/>
      <c r="R229" s="843"/>
      <c r="S229" s="843"/>
      <c r="T229" s="843"/>
      <c r="U229" s="843"/>
      <c r="V229" s="843"/>
      <c r="W229" s="843"/>
      <c r="X229" s="870"/>
      <c r="Y229" s="843"/>
      <c r="Z229" s="843"/>
      <c r="AA229" s="843"/>
      <c r="AB229" s="204"/>
      <c r="AC229" s="204"/>
      <c r="AD229" s="1212"/>
      <c r="AE229" s="1212"/>
      <c r="AF229" s="1186"/>
      <c r="AG229" s="1186"/>
      <c r="AH229" s="1222"/>
      <c r="AI229" s="1222"/>
      <c r="AJ229" s="1222"/>
      <c r="AK229" s="1222"/>
      <c r="AL229" s="1222"/>
      <c r="AM229" s="1222"/>
      <c r="AN229" s="1222"/>
      <c r="AO229" s="1222"/>
      <c r="AP229" s="1222"/>
      <c r="AQ229" s="1222"/>
      <c r="AR229" s="1222"/>
      <c r="AS229" s="1222"/>
      <c r="AT229" s="1222"/>
      <c r="AU229" s="1120"/>
      <c r="AV229" s="445"/>
      <c r="AW229" s="607"/>
      <c r="AX229" s="607"/>
      <c r="AY229" s="607"/>
      <c r="AZ229" s="1209"/>
      <c r="BA229" s="1209"/>
    </row>
    <row r="230" spans="2:53" s="256" customFormat="1" ht="24.95" customHeight="1">
      <c r="B230" s="445"/>
      <c r="C230" s="843"/>
      <c r="D230" s="843"/>
      <c r="E230" s="843"/>
      <c r="F230" s="1116"/>
      <c r="G230" s="1117"/>
      <c r="H230" s="868"/>
      <c r="I230" s="1118"/>
      <c r="J230" s="1138"/>
      <c r="K230" s="1138"/>
      <c r="L230" s="868"/>
      <c r="M230" s="868"/>
      <c r="N230" s="1118"/>
      <c r="O230" s="1119"/>
      <c r="P230" s="884"/>
      <c r="Q230" s="885"/>
      <c r="R230" s="843"/>
      <c r="S230" s="843"/>
      <c r="T230" s="843"/>
      <c r="U230" s="843"/>
      <c r="V230" s="843"/>
      <c r="W230" s="843"/>
      <c r="X230" s="870"/>
      <c r="Y230" s="843"/>
      <c r="Z230" s="843"/>
      <c r="AA230" s="843"/>
      <c r="AB230" s="204"/>
      <c r="AC230" s="204"/>
      <c r="AD230" s="1212"/>
      <c r="AE230" s="1212"/>
      <c r="AF230" s="1186"/>
      <c r="AG230" s="1186"/>
      <c r="AH230" s="1222"/>
      <c r="AI230" s="1222"/>
      <c r="AJ230" s="1222"/>
      <c r="AK230" s="1222"/>
      <c r="AL230" s="1222"/>
      <c r="AM230" s="1222"/>
      <c r="AN230" s="1222"/>
      <c r="AO230" s="1222"/>
      <c r="AP230" s="1222"/>
      <c r="AQ230" s="1222"/>
      <c r="AR230" s="1222"/>
      <c r="AS230" s="1222"/>
      <c r="AT230" s="1222"/>
      <c r="AU230" s="1120"/>
      <c r="AV230" s="445"/>
      <c r="AW230" s="607"/>
      <c r="AX230" s="607"/>
      <c r="AY230" s="607"/>
      <c r="AZ230" s="1209"/>
      <c r="BA230" s="1209"/>
    </row>
    <row r="231" spans="2:53" s="256" customFormat="1" ht="24.95" customHeight="1">
      <c r="B231" s="445"/>
      <c r="C231" s="843"/>
      <c r="D231" s="843"/>
      <c r="E231" s="843"/>
      <c r="F231" s="1116"/>
      <c r="G231" s="1117"/>
      <c r="H231" s="868"/>
      <c r="I231" s="1118"/>
      <c r="J231" s="1138"/>
      <c r="K231" s="1138"/>
      <c r="L231" s="868"/>
      <c r="M231" s="868"/>
      <c r="N231" s="1118"/>
      <c r="O231" s="1119"/>
      <c r="P231" s="884"/>
      <c r="Q231" s="885"/>
      <c r="R231" s="843"/>
      <c r="S231" s="843"/>
      <c r="T231" s="843"/>
      <c r="U231" s="843"/>
      <c r="V231" s="843"/>
      <c r="W231" s="843"/>
      <c r="X231" s="870"/>
      <c r="Y231" s="843"/>
      <c r="Z231" s="843"/>
      <c r="AA231" s="843"/>
      <c r="AB231" s="204"/>
      <c r="AC231" s="204"/>
      <c r="AD231" s="1212"/>
      <c r="AE231" s="1212"/>
      <c r="AF231" s="1186"/>
      <c r="AG231" s="1186"/>
      <c r="AH231" s="1222"/>
      <c r="AI231" s="1222"/>
      <c r="AJ231" s="1222"/>
      <c r="AK231" s="1222"/>
      <c r="AL231" s="1222"/>
      <c r="AM231" s="1222"/>
      <c r="AN231" s="1222"/>
      <c r="AO231" s="1222"/>
      <c r="AP231" s="1222"/>
      <c r="AQ231" s="1222"/>
      <c r="AR231" s="1222"/>
      <c r="AS231" s="1222"/>
      <c r="AT231" s="1222"/>
      <c r="AU231" s="1120"/>
      <c r="AV231" s="445"/>
      <c r="AW231" s="607"/>
      <c r="AX231" s="607"/>
      <c r="AY231" s="607"/>
      <c r="AZ231" s="1209"/>
      <c r="BA231" s="1209"/>
    </row>
    <row r="232" spans="2:53" s="256" customFormat="1" ht="24.95" customHeight="1">
      <c r="B232" s="445"/>
      <c r="C232" s="843"/>
      <c r="D232" s="843"/>
      <c r="E232" s="843"/>
      <c r="F232" s="1116"/>
      <c r="G232" s="1117"/>
      <c r="H232" s="868"/>
      <c r="I232" s="1118"/>
      <c r="J232" s="1138"/>
      <c r="K232" s="1138"/>
      <c r="L232" s="868"/>
      <c r="M232" s="868"/>
      <c r="N232" s="1118"/>
      <c r="O232" s="1119"/>
      <c r="P232" s="884"/>
      <c r="Q232" s="885"/>
      <c r="R232" s="843"/>
      <c r="S232" s="843"/>
      <c r="T232" s="843"/>
      <c r="U232" s="843"/>
      <c r="V232" s="843"/>
      <c r="W232" s="843"/>
      <c r="X232" s="870"/>
      <c r="Y232" s="843"/>
      <c r="Z232" s="843"/>
      <c r="AA232" s="843"/>
      <c r="AB232" s="204"/>
      <c r="AC232" s="204"/>
      <c r="AD232" s="1212"/>
      <c r="AE232" s="1212"/>
      <c r="AF232" s="1186"/>
      <c r="AG232" s="1186"/>
      <c r="AH232" s="1222"/>
      <c r="AI232" s="1222"/>
      <c r="AJ232" s="1222"/>
      <c r="AK232" s="1222"/>
      <c r="AL232" s="1222"/>
      <c r="AM232" s="1222"/>
      <c r="AN232" s="1222"/>
      <c r="AO232" s="1222"/>
      <c r="AP232" s="1222"/>
      <c r="AQ232" s="1222"/>
      <c r="AR232" s="1222"/>
      <c r="AS232" s="1222"/>
      <c r="AT232" s="1222"/>
      <c r="AU232" s="1120"/>
      <c r="AV232" s="445"/>
      <c r="AW232" s="607"/>
      <c r="AX232" s="607"/>
      <c r="AY232" s="607"/>
      <c r="AZ232" s="1209"/>
      <c r="BA232" s="1209"/>
    </row>
    <row r="233" spans="2:53" s="256" customFormat="1" ht="24.95" customHeight="1">
      <c r="B233" s="445"/>
      <c r="C233" s="843"/>
      <c r="D233" s="843"/>
      <c r="E233" s="843"/>
      <c r="F233" s="1116"/>
      <c r="G233" s="1117"/>
      <c r="H233" s="868"/>
      <c r="I233" s="1118"/>
      <c r="J233" s="1138"/>
      <c r="K233" s="1138"/>
      <c r="L233" s="868"/>
      <c r="M233" s="868"/>
      <c r="N233" s="1118"/>
      <c r="O233" s="1119"/>
      <c r="P233" s="884"/>
      <c r="Q233" s="885"/>
      <c r="R233" s="843"/>
      <c r="S233" s="843"/>
      <c r="T233" s="843"/>
      <c r="U233" s="843"/>
      <c r="V233" s="843"/>
      <c r="W233" s="843"/>
      <c r="X233" s="870"/>
      <c r="Y233" s="843"/>
      <c r="Z233" s="843"/>
      <c r="AA233" s="843"/>
      <c r="AB233" s="204"/>
      <c r="AC233" s="204"/>
      <c r="AD233" s="1212"/>
      <c r="AE233" s="1212"/>
      <c r="AF233" s="1186"/>
      <c r="AG233" s="1186"/>
      <c r="AH233" s="1222"/>
      <c r="AI233" s="1222"/>
      <c r="AJ233" s="1222"/>
      <c r="AK233" s="1222"/>
      <c r="AL233" s="1222"/>
      <c r="AM233" s="1222"/>
      <c r="AN233" s="1222"/>
      <c r="AO233" s="1222"/>
      <c r="AP233" s="1222"/>
      <c r="AQ233" s="1222"/>
      <c r="AR233" s="1222"/>
      <c r="AS233" s="1222"/>
      <c r="AT233" s="1222"/>
      <c r="AU233" s="1120"/>
      <c r="AV233" s="445"/>
      <c r="AW233" s="607"/>
      <c r="AX233" s="607"/>
      <c r="AY233" s="607"/>
      <c r="AZ233" s="1209"/>
      <c r="BA233" s="1209"/>
    </row>
    <row r="234" spans="2:53" s="256" customFormat="1" ht="24.95" customHeight="1">
      <c r="B234" s="445"/>
      <c r="C234" s="843"/>
      <c r="D234" s="843"/>
      <c r="E234" s="843"/>
      <c r="F234" s="1116"/>
      <c r="G234" s="1117"/>
      <c r="H234" s="868"/>
      <c r="I234" s="1118"/>
      <c r="J234" s="1138"/>
      <c r="K234" s="1138"/>
      <c r="L234" s="868"/>
      <c r="M234" s="868"/>
      <c r="N234" s="1118"/>
      <c r="O234" s="1119"/>
      <c r="P234" s="884"/>
      <c r="Q234" s="885"/>
      <c r="R234" s="843"/>
      <c r="S234" s="843"/>
      <c r="T234" s="843"/>
      <c r="U234" s="843"/>
      <c r="V234" s="843"/>
      <c r="W234" s="843"/>
      <c r="X234" s="870"/>
      <c r="Y234" s="843"/>
      <c r="Z234" s="843"/>
      <c r="AA234" s="843"/>
      <c r="AB234" s="204"/>
      <c r="AC234" s="204"/>
      <c r="AD234" s="1212"/>
      <c r="AE234" s="1212"/>
      <c r="AF234" s="1186"/>
      <c r="AG234" s="1186"/>
      <c r="AH234" s="1222"/>
      <c r="AI234" s="1222"/>
      <c r="AJ234" s="1222"/>
      <c r="AK234" s="1222"/>
      <c r="AL234" s="1222"/>
      <c r="AM234" s="1222"/>
      <c r="AN234" s="1222"/>
      <c r="AO234" s="1222"/>
      <c r="AP234" s="1222"/>
      <c r="AQ234" s="1222"/>
      <c r="AR234" s="1222"/>
      <c r="AS234" s="1222"/>
      <c r="AT234" s="1222"/>
      <c r="AU234" s="1120"/>
      <c r="AV234" s="445"/>
      <c r="AW234" s="607"/>
      <c r="AX234" s="607"/>
      <c r="AY234" s="607"/>
      <c r="AZ234" s="1209"/>
      <c r="BA234" s="1209"/>
    </row>
    <row r="235" spans="2:53" s="256" customFormat="1" ht="24.95" customHeight="1">
      <c r="B235" s="445"/>
      <c r="C235" s="843"/>
      <c r="D235" s="843"/>
      <c r="E235" s="843"/>
      <c r="F235" s="1116"/>
      <c r="G235" s="1117"/>
      <c r="H235" s="868"/>
      <c r="I235" s="1118"/>
      <c r="J235" s="1138"/>
      <c r="K235" s="1138"/>
      <c r="L235" s="868"/>
      <c r="M235" s="868"/>
      <c r="N235" s="1118"/>
      <c r="O235" s="1119"/>
      <c r="P235" s="884"/>
      <c r="Q235" s="885"/>
      <c r="R235" s="843"/>
      <c r="S235" s="843"/>
      <c r="T235" s="843"/>
      <c r="U235" s="843"/>
      <c r="V235" s="843"/>
      <c r="W235" s="843"/>
      <c r="X235" s="870"/>
      <c r="Y235" s="843"/>
      <c r="Z235" s="843"/>
      <c r="AA235" s="843"/>
      <c r="AB235" s="204"/>
      <c r="AC235" s="204"/>
      <c r="AD235" s="1212"/>
      <c r="AE235" s="1212"/>
      <c r="AF235" s="1186"/>
      <c r="AG235" s="1186"/>
      <c r="AH235" s="1222"/>
      <c r="AI235" s="1222"/>
      <c r="AJ235" s="1222"/>
      <c r="AK235" s="1222"/>
      <c r="AL235" s="1222"/>
      <c r="AM235" s="1222"/>
      <c r="AN235" s="1222"/>
      <c r="AO235" s="1222"/>
      <c r="AP235" s="1222"/>
      <c r="AQ235" s="1222"/>
      <c r="AR235" s="1222"/>
      <c r="AS235" s="1222"/>
      <c r="AT235" s="1222"/>
      <c r="AU235" s="1120"/>
      <c r="AV235" s="445"/>
      <c r="AW235" s="607"/>
      <c r="AX235" s="607"/>
      <c r="AY235" s="607"/>
      <c r="AZ235" s="1209"/>
      <c r="BA235" s="1209"/>
    </row>
    <row r="236" spans="2:53" s="256" customFormat="1" ht="24.95" customHeight="1">
      <c r="B236" s="445"/>
      <c r="C236" s="843"/>
      <c r="D236" s="843"/>
      <c r="E236" s="843"/>
      <c r="F236" s="1116"/>
      <c r="G236" s="1117"/>
      <c r="H236" s="868"/>
      <c r="I236" s="1118"/>
      <c r="J236" s="1138"/>
      <c r="K236" s="1138"/>
      <c r="L236" s="868"/>
      <c r="M236" s="868"/>
      <c r="N236" s="1118"/>
      <c r="O236" s="1119"/>
      <c r="P236" s="884"/>
      <c r="Q236" s="885"/>
      <c r="R236" s="843"/>
      <c r="S236" s="843"/>
      <c r="T236" s="843"/>
      <c r="U236" s="843"/>
      <c r="V236" s="843"/>
      <c r="W236" s="843"/>
      <c r="X236" s="870"/>
      <c r="Y236" s="843"/>
      <c r="Z236" s="843"/>
      <c r="AA236" s="843"/>
      <c r="AB236" s="204"/>
      <c r="AC236" s="204"/>
      <c r="AD236" s="1212"/>
      <c r="AE236" s="1212"/>
      <c r="AF236" s="1186"/>
      <c r="AG236" s="1186"/>
      <c r="AH236" s="1222"/>
      <c r="AI236" s="1222"/>
      <c r="AJ236" s="1222"/>
      <c r="AK236" s="1222"/>
      <c r="AL236" s="1222"/>
      <c r="AM236" s="1222"/>
      <c r="AN236" s="1222"/>
      <c r="AO236" s="1222"/>
      <c r="AP236" s="1222"/>
      <c r="AQ236" s="1222"/>
      <c r="AR236" s="1222"/>
      <c r="AS236" s="1222"/>
      <c r="AT236" s="1222"/>
      <c r="AU236" s="1120"/>
      <c r="AV236" s="445"/>
      <c r="AW236" s="607"/>
      <c r="AX236" s="607"/>
      <c r="AY236" s="607"/>
      <c r="AZ236" s="1209"/>
      <c r="BA236" s="1209"/>
    </row>
    <row r="237" spans="2:53" s="256" customFormat="1" ht="24.95" customHeight="1">
      <c r="B237" s="445"/>
      <c r="C237" s="843"/>
      <c r="D237" s="843"/>
      <c r="E237" s="843"/>
      <c r="F237" s="1116"/>
      <c r="G237" s="1117"/>
      <c r="H237" s="868"/>
      <c r="I237" s="1118"/>
      <c r="J237" s="1138"/>
      <c r="K237" s="1138"/>
      <c r="L237" s="868"/>
      <c r="M237" s="868"/>
      <c r="N237" s="1118"/>
      <c r="O237" s="1119"/>
      <c r="P237" s="884"/>
      <c r="Q237" s="885"/>
      <c r="R237" s="843"/>
      <c r="S237" s="843"/>
      <c r="T237" s="843"/>
      <c r="U237" s="843"/>
      <c r="V237" s="843"/>
      <c r="W237" s="843"/>
      <c r="X237" s="870"/>
      <c r="Y237" s="843"/>
      <c r="Z237" s="843"/>
      <c r="AA237" s="843"/>
      <c r="AB237" s="204"/>
      <c r="AC237" s="204"/>
      <c r="AD237" s="1212"/>
      <c r="AE237" s="1212"/>
      <c r="AF237" s="1186"/>
      <c r="AG237" s="1186"/>
      <c r="AH237" s="1222"/>
      <c r="AI237" s="1222"/>
      <c r="AJ237" s="1222"/>
      <c r="AK237" s="1222"/>
      <c r="AL237" s="1222"/>
      <c r="AM237" s="1222"/>
      <c r="AN237" s="1222"/>
      <c r="AO237" s="1222"/>
      <c r="AP237" s="1222"/>
      <c r="AQ237" s="1222"/>
      <c r="AR237" s="1222"/>
      <c r="AS237" s="1222"/>
      <c r="AT237" s="1222"/>
      <c r="AU237" s="1120"/>
      <c r="AV237" s="445"/>
      <c r="AW237" s="607"/>
      <c r="AX237" s="607"/>
      <c r="AY237" s="607"/>
      <c r="AZ237" s="1209"/>
      <c r="BA237" s="1209"/>
    </row>
    <row r="238" spans="2:53" s="256" customFormat="1" ht="24.95" customHeight="1">
      <c r="B238" s="445"/>
      <c r="C238" s="843"/>
      <c r="D238" s="843"/>
      <c r="E238" s="843"/>
      <c r="F238" s="1116"/>
      <c r="G238" s="1117"/>
      <c r="H238" s="868"/>
      <c r="I238" s="1118"/>
      <c r="J238" s="1138"/>
      <c r="K238" s="1138"/>
      <c r="L238" s="868"/>
      <c r="M238" s="868"/>
      <c r="N238" s="1118"/>
      <c r="O238" s="1119"/>
      <c r="P238" s="884"/>
      <c r="Q238" s="885"/>
      <c r="R238" s="843"/>
      <c r="S238" s="843"/>
      <c r="T238" s="843"/>
      <c r="U238" s="843"/>
      <c r="V238" s="843"/>
      <c r="W238" s="843"/>
      <c r="X238" s="870"/>
      <c r="Y238" s="843"/>
      <c r="Z238" s="843"/>
      <c r="AA238" s="843"/>
      <c r="AB238" s="204"/>
      <c r="AC238" s="204"/>
      <c r="AD238" s="1212"/>
      <c r="AE238" s="1212"/>
      <c r="AF238" s="1186"/>
      <c r="AG238" s="1186"/>
      <c r="AH238" s="1222"/>
      <c r="AI238" s="1222"/>
      <c r="AJ238" s="1222"/>
      <c r="AK238" s="1222"/>
      <c r="AL238" s="1222"/>
      <c r="AM238" s="1222"/>
      <c r="AN238" s="1222"/>
      <c r="AO238" s="1222"/>
      <c r="AP238" s="1222"/>
      <c r="AQ238" s="1222"/>
      <c r="AR238" s="1222"/>
      <c r="AS238" s="1222"/>
      <c r="AT238" s="1222"/>
      <c r="AU238" s="1120"/>
      <c r="AV238" s="445"/>
      <c r="AW238" s="607"/>
      <c r="AX238" s="607"/>
      <c r="AY238" s="607"/>
      <c r="AZ238" s="1209"/>
      <c r="BA238" s="1209"/>
    </row>
    <row r="239" spans="2:53" s="256" customFormat="1" ht="24.95" customHeight="1">
      <c r="B239" s="445"/>
      <c r="C239" s="843"/>
      <c r="D239" s="843"/>
      <c r="E239" s="843"/>
      <c r="F239" s="1116"/>
      <c r="G239" s="1117"/>
      <c r="H239" s="868"/>
      <c r="I239" s="1118"/>
      <c r="J239" s="1138"/>
      <c r="K239" s="1138"/>
      <c r="L239" s="868"/>
      <c r="M239" s="868"/>
      <c r="N239" s="1118"/>
      <c r="O239" s="1119"/>
      <c r="P239" s="884"/>
      <c r="Q239" s="885"/>
      <c r="R239" s="843"/>
      <c r="S239" s="843"/>
      <c r="T239" s="843"/>
      <c r="U239" s="843"/>
      <c r="V239" s="843"/>
      <c r="W239" s="843"/>
      <c r="X239" s="870"/>
      <c r="Y239" s="843"/>
      <c r="Z239" s="843"/>
      <c r="AA239" s="843"/>
      <c r="AB239" s="204"/>
      <c r="AC239" s="204"/>
      <c r="AD239" s="1212"/>
      <c r="AE239" s="1212"/>
      <c r="AF239" s="1186"/>
      <c r="AG239" s="1186"/>
      <c r="AH239" s="1222"/>
      <c r="AI239" s="1222"/>
      <c r="AJ239" s="1222"/>
      <c r="AK239" s="1222"/>
      <c r="AL239" s="1222"/>
      <c r="AM239" s="1222"/>
      <c r="AN239" s="1222"/>
      <c r="AO239" s="1222"/>
      <c r="AP239" s="1222"/>
      <c r="AQ239" s="1222"/>
      <c r="AR239" s="1222"/>
      <c r="AS239" s="1222"/>
      <c r="AT239" s="1222"/>
      <c r="AU239" s="1120"/>
      <c r="AV239" s="445"/>
      <c r="AW239" s="607"/>
      <c r="AX239" s="607"/>
      <c r="AY239" s="607"/>
      <c r="AZ239" s="1209"/>
      <c r="BA239" s="1209"/>
    </row>
    <row r="240" spans="2:53" s="256" customFormat="1" ht="24.95" customHeight="1">
      <c r="B240" s="445"/>
      <c r="C240" s="843"/>
      <c r="D240" s="843"/>
      <c r="E240" s="843"/>
      <c r="F240" s="1116"/>
      <c r="G240" s="1117"/>
      <c r="H240" s="868"/>
      <c r="I240" s="1118"/>
      <c r="J240" s="1138"/>
      <c r="K240" s="1138"/>
      <c r="L240" s="868"/>
      <c r="M240" s="868"/>
      <c r="N240" s="1118"/>
      <c r="O240" s="1119"/>
      <c r="P240" s="884"/>
      <c r="Q240" s="885"/>
      <c r="R240" s="843"/>
      <c r="S240" s="843"/>
      <c r="T240" s="843"/>
      <c r="U240" s="843"/>
      <c r="V240" s="843"/>
      <c r="W240" s="843"/>
      <c r="X240" s="870"/>
      <c r="Y240" s="843"/>
      <c r="Z240" s="843"/>
      <c r="AA240" s="843"/>
      <c r="AB240" s="204"/>
      <c r="AC240" s="204"/>
      <c r="AD240" s="1212"/>
      <c r="AE240" s="1212"/>
      <c r="AF240" s="1186"/>
      <c r="AG240" s="1186"/>
      <c r="AH240" s="1222"/>
      <c r="AI240" s="1222"/>
      <c r="AJ240" s="1222"/>
      <c r="AK240" s="1222"/>
      <c r="AL240" s="1222"/>
      <c r="AM240" s="1222"/>
      <c r="AN240" s="1222"/>
      <c r="AO240" s="1222"/>
      <c r="AP240" s="1222"/>
      <c r="AQ240" s="1222"/>
      <c r="AR240" s="1222"/>
      <c r="AS240" s="1222"/>
      <c r="AT240" s="1222"/>
      <c r="AU240" s="1120"/>
      <c r="AV240" s="445"/>
      <c r="AW240" s="607"/>
      <c r="AX240" s="607"/>
      <c r="AY240" s="607"/>
      <c r="AZ240" s="1209"/>
      <c r="BA240" s="1209"/>
    </row>
    <row r="241" spans="2:53" s="256" customFormat="1" ht="24.95" customHeight="1">
      <c r="B241" s="445"/>
      <c r="C241" s="843"/>
      <c r="D241" s="843"/>
      <c r="E241" s="843"/>
      <c r="F241" s="1116"/>
      <c r="G241" s="1117"/>
      <c r="H241" s="868"/>
      <c r="I241" s="1118"/>
      <c r="J241" s="1138"/>
      <c r="K241" s="1138"/>
      <c r="L241" s="868"/>
      <c r="M241" s="868"/>
      <c r="N241" s="1118"/>
      <c r="O241" s="1119"/>
      <c r="P241" s="884"/>
      <c r="Q241" s="885"/>
      <c r="R241" s="843"/>
      <c r="S241" s="843"/>
      <c r="T241" s="843"/>
      <c r="U241" s="843"/>
      <c r="V241" s="843"/>
      <c r="W241" s="843"/>
      <c r="X241" s="870"/>
      <c r="Y241" s="843"/>
      <c r="Z241" s="843"/>
      <c r="AA241" s="843"/>
      <c r="AB241" s="204"/>
      <c r="AC241" s="204"/>
      <c r="AD241" s="1212"/>
      <c r="AE241" s="1212"/>
      <c r="AF241" s="1186"/>
      <c r="AG241" s="1186"/>
      <c r="AH241" s="1222"/>
      <c r="AI241" s="1222"/>
      <c r="AJ241" s="1222"/>
      <c r="AK241" s="1222"/>
      <c r="AL241" s="1222"/>
      <c r="AM241" s="1222"/>
      <c r="AN241" s="1222"/>
      <c r="AO241" s="1222"/>
      <c r="AP241" s="1222"/>
      <c r="AQ241" s="1222"/>
      <c r="AR241" s="1222"/>
      <c r="AS241" s="1222"/>
      <c r="AT241" s="1222"/>
      <c r="AU241" s="1120"/>
      <c r="AV241" s="445"/>
      <c r="AW241" s="607"/>
      <c r="AX241" s="607"/>
      <c r="AY241" s="607"/>
      <c r="AZ241" s="1209"/>
      <c r="BA241" s="1209"/>
    </row>
    <row r="242" spans="2:53" s="256" customFormat="1" ht="24.95" customHeight="1">
      <c r="B242" s="445"/>
      <c r="C242" s="843"/>
      <c r="D242" s="843"/>
      <c r="E242" s="843"/>
      <c r="F242" s="1116"/>
      <c r="G242" s="1117"/>
      <c r="H242" s="868"/>
      <c r="I242" s="1118"/>
      <c r="J242" s="1138"/>
      <c r="K242" s="1138"/>
      <c r="L242" s="868"/>
      <c r="M242" s="868"/>
      <c r="N242" s="1118"/>
      <c r="O242" s="1119"/>
      <c r="P242" s="884"/>
      <c r="Q242" s="885"/>
      <c r="R242" s="843"/>
      <c r="S242" s="843"/>
      <c r="T242" s="843"/>
      <c r="U242" s="843"/>
      <c r="V242" s="843"/>
      <c r="W242" s="843"/>
      <c r="X242" s="870"/>
      <c r="Y242" s="843"/>
      <c r="Z242" s="843"/>
      <c r="AA242" s="843"/>
      <c r="AB242" s="204"/>
      <c r="AC242" s="204"/>
      <c r="AD242" s="1212"/>
      <c r="AE242" s="1212"/>
      <c r="AF242" s="1186"/>
      <c r="AG242" s="1186"/>
      <c r="AH242" s="1222"/>
      <c r="AI242" s="1222"/>
      <c r="AJ242" s="1222"/>
      <c r="AK242" s="1222"/>
      <c r="AL242" s="1222"/>
      <c r="AM242" s="1222"/>
      <c r="AN242" s="1222"/>
      <c r="AO242" s="1222"/>
      <c r="AP242" s="1222"/>
      <c r="AQ242" s="1222"/>
      <c r="AR242" s="1222"/>
      <c r="AS242" s="1222"/>
      <c r="AT242" s="1222"/>
      <c r="AU242" s="1120"/>
      <c r="AV242" s="445"/>
      <c r="AW242" s="607"/>
      <c r="AX242" s="607"/>
      <c r="AY242" s="607"/>
      <c r="AZ242" s="1209"/>
      <c r="BA242" s="1209"/>
    </row>
    <row r="243" spans="2:53" s="256" customFormat="1" ht="24.95" customHeight="1">
      <c r="B243" s="445"/>
      <c r="C243" s="843"/>
      <c r="D243" s="843"/>
      <c r="E243" s="843"/>
      <c r="F243" s="1116"/>
      <c r="G243" s="1117"/>
      <c r="H243" s="868"/>
      <c r="I243" s="1118"/>
      <c r="J243" s="1138"/>
      <c r="K243" s="1138"/>
      <c r="L243" s="868"/>
      <c r="M243" s="868"/>
      <c r="N243" s="1118"/>
      <c r="O243" s="1119"/>
      <c r="P243" s="884"/>
      <c r="Q243" s="885"/>
      <c r="R243" s="843"/>
      <c r="S243" s="843"/>
      <c r="T243" s="843"/>
      <c r="U243" s="843"/>
      <c r="V243" s="843"/>
      <c r="W243" s="843"/>
      <c r="X243" s="870"/>
      <c r="Y243" s="843"/>
      <c r="Z243" s="843"/>
      <c r="AA243" s="843"/>
      <c r="AB243" s="204"/>
      <c r="AC243" s="204"/>
      <c r="AD243" s="1212"/>
      <c r="AE243" s="1212"/>
      <c r="AF243" s="1186"/>
      <c r="AG243" s="1186"/>
      <c r="AH243" s="1222"/>
      <c r="AI243" s="1222"/>
      <c r="AJ243" s="1222"/>
      <c r="AK243" s="1222"/>
      <c r="AL243" s="1222"/>
      <c r="AM243" s="1222"/>
      <c r="AN243" s="1222"/>
      <c r="AO243" s="1222"/>
      <c r="AP243" s="1222"/>
      <c r="AQ243" s="1222"/>
      <c r="AR243" s="1222"/>
      <c r="AS243" s="1222"/>
      <c r="AT243" s="1222"/>
      <c r="AU243" s="1120"/>
      <c r="AV243" s="445"/>
      <c r="AW243" s="607"/>
      <c r="AX243" s="607"/>
      <c r="AY243" s="607"/>
      <c r="AZ243" s="1209"/>
      <c r="BA243" s="1209"/>
    </row>
    <row r="244" spans="2:53" s="256" customFormat="1" ht="24.95" customHeight="1">
      <c r="B244" s="445"/>
      <c r="C244" s="843"/>
      <c r="D244" s="843"/>
      <c r="E244" s="843"/>
      <c r="F244" s="1116"/>
      <c r="G244" s="1117"/>
      <c r="H244" s="868"/>
      <c r="I244" s="1118"/>
      <c r="J244" s="1138"/>
      <c r="K244" s="1138"/>
      <c r="L244" s="868"/>
      <c r="M244" s="868"/>
      <c r="N244" s="1118"/>
      <c r="O244" s="1119"/>
      <c r="P244" s="884"/>
      <c r="Q244" s="885"/>
      <c r="R244" s="843"/>
      <c r="S244" s="843"/>
      <c r="T244" s="843"/>
      <c r="U244" s="843"/>
      <c r="V244" s="843"/>
      <c r="W244" s="843"/>
      <c r="X244" s="870"/>
      <c r="Y244" s="843"/>
      <c r="Z244" s="843"/>
      <c r="AA244" s="843"/>
      <c r="AB244" s="204"/>
      <c r="AC244" s="204"/>
      <c r="AD244" s="1212"/>
      <c r="AE244" s="1212"/>
      <c r="AF244" s="1186"/>
      <c r="AG244" s="1186"/>
      <c r="AH244" s="1222"/>
      <c r="AI244" s="1222"/>
      <c r="AJ244" s="1222"/>
      <c r="AK244" s="1222"/>
      <c r="AL244" s="1222"/>
      <c r="AM244" s="1222"/>
      <c r="AN244" s="1222"/>
      <c r="AO244" s="1222"/>
      <c r="AP244" s="1222"/>
      <c r="AQ244" s="1222"/>
      <c r="AR244" s="1222"/>
      <c r="AS244" s="1222"/>
      <c r="AT244" s="1222"/>
      <c r="AU244" s="1120"/>
      <c r="AV244" s="445"/>
      <c r="AW244" s="607"/>
      <c r="AX244" s="607"/>
      <c r="AY244" s="607"/>
      <c r="AZ244" s="1209"/>
      <c r="BA244" s="1209"/>
    </row>
    <row r="245" spans="2:53" s="256" customFormat="1" ht="24.95" customHeight="1">
      <c r="B245" s="445"/>
      <c r="C245" s="843"/>
      <c r="D245" s="843"/>
      <c r="E245" s="843"/>
      <c r="F245" s="1116"/>
      <c r="G245" s="1117"/>
      <c r="H245" s="868"/>
      <c r="I245" s="1118"/>
      <c r="J245" s="1138"/>
      <c r="K245" s="1138"/>
      <c r="L245" s="868"/>
      <c r="M245" s="868"/>
      <c r="N245" s="1118"/>
      <c r="O245" s="1119"/>
      <c r="P245" s="884"/>
      <c r="Q245" s="885"/>
      <c r="R245" s="843"/>
      <c r="S245" s="843"/>
      <c r="T245" s="843"/>
      <c r="U245" s="843"/>
      <c r="V245" s="843"/>
      <c r="W245" s="843"/>
      <c r="X245" s="870"/>
      <c r="Y245" s="843"/>
      <c r="Z245" s="843"/>
      <c r="AA245" s="843"/>
      <c r="AB245" s="204"/>
      <c r="AC245" s="204"/>
      <c r="AD245" s="1212"/>
      <c r="AE245" s="1212"/>
      <c r="AF245" s="1186"/>
      <c r="AG245" s="1186"/>
      <c r="AH245" s="1222"/>
      <c r="AI245" s="1222"/>
      <c r="AJ245" s="1222"/>
      <c r="AK245" s="1222"/>
      <c r="AL245" s="1222"/>
      <c r="AM245" s="1222"/>
      <c r="AN245" s="1222"/>
      <c r="AO245" s="1222"/>
      <c r="AP245" s="1222"/>
      <c r="AQ245" s="1222"/>
      <c r="AR245" s="1222"/>
      <c r="AS245" s="1222"/>
      <c r="AT245" s="1222"/>
      <c r="AU245" s="1120"/>
      <c r="AV245" s="445"/>
      <c r="AW245" s="607"/>
      <c r="AX245" s="607"/>
      <c r="AY245" s="607"/>
      <c r="AZ245" s="1209"/>
      <c r="BA245" s="1209"/>
    </row>
    <row r="246" spans="2:53" s="256" customFormat="1" ht="24.95" customHeight="1">
      <c r="B246" s="445"/>
      <c r="C246" s="843"/>
      <c r="D246" s="843"/>
      <c r="E246" s="843"/>
      <c r="F246" s="1116"/>
      <c r="G246" s="1117"/>
      <c r="H246" s="868"/>
      <c r="I246" s="1118"/>
      <c r="J246" s="1138"/>
      <c r="K246" s="1138"/>
      <c r="L246" s="868"/>
      <c r="M246" s="868"/>
      <c r="N246" s="1118"/>
      <c r="O246" s="1119"/>
      <c r="P246" s="884"/>
      <c r="Q246" s="885"/>
      <c r="R246" s="843"/>
      <c r="S246" s="843"/>
      <c r="T246" s="843"/>
      <c r="U246" s="843"/>
      <c r="V246" s="843"/>
      <c r="W246" s="843"/>
      <c r="X246" s="870"/>
      <c r="Y246" s="843"/>
      <c r="Z246" s="843"/>
      <c r="AA246" s="843"/>
      <c r="AB246" s="204"/>
      <c r="AC246" s="204"/>
      <c r="AD246" s="1212"/>
      <c r="AE246" s="1212"/>
      <c r="AF246" s="1186"/>
      <c r="AG246" s="1186"/>
      <c r="AH246" s="1222"/>
      <c r="AI246" s="1222"/>
      <c r="AJ246" s="1222"/>
      <c r="AK246" s="1222"/>
      <c r="AL246" s="1222"/>
      <c r="AM246" s="1222"/>
      <c r="AN246" s="1222"/>
      <c r="AO246" s="1222"/>
      <c r="AP246" s="1222"/>
      <c r="AQ246" s="1222"/>
      <c r="AR246" s="1222"/>
      <c r="AS246" s="1222"/>
      <c r="AT246" s="1222"/>
      <c r="AU246" s="1120"/>
      <c r="AV246" s="445"/>
      <c r="AW246" s="607"/>
      <c r="AX246" s="607"/>
      <c r="AY246" s="607"/>
      <c r="AZ246" s="1209"/>
      <c r="BA246" s="1209"/>
    </row>
    <row r="247" spans="2:53" s="256" customFormat="1" ht="24.95" customHeight="1">
      <c r="B247" s="445"/>
      <c r="C247" s="843"/>
      <c r="D247" s="843"/>
      <c r="E247" s="843"/>
      <c r="F247" s="1116"/>
      <c r="G247" s="1117"/>
      <c r="H247" s="868"/>
      <c r="I247" s="1118"/>
      <c r="J247" s="1138"/>
      <c r="K247" s="1138"/>
      <c r="L247" s="868"/>
      <c r="M247" s="868"/>
      <c r="N247" s="1118"/>
      <c r="O247" s="1119"/>
      <c r="P247" s="884"/>
      <c r="Q247" s="885"/>
      <c r="R247" s="843"/>
      <c r="S247" s="843"/>
      <c r="T247" s="843"/>
      <c r="U247" s="843"/>
      <c r="V247" s="843"/>
      <c r="W247" s="843"/>
      <c r="X247" s="870"/>
      <c r="Y247" s="843"/>
      <c r="Z247" s="843"/>
      <c r="AA247" s="843"/>
      <c r="AB247" s="204"/>
      <c r="AC247" s="204"/>
      <c r="AD247" s="1212"/>
      <c r="AE247" s="1212"/>
      <c r="AF247" s="1186"/>
      <c r="AG247" s="1186"/>
      <c r="AH247" s="1222"/>
      <c r="AI247" s="1222"/>
      <c r="AJ247" s="1222"/>
      <c r="AK247" s="1222"/>
      <c r="AL247" s="1222"/>
      <c r="AM247" s="1222"/>
      <c r="AN247" s="1222"/>
      <c r="AO247" s="1222"/>
      <c r="AP247" s="1222"/>
      <c r="AQ247" s="1222"/>
      <c r="AR247" s="1222"/>
      <c r="AS247" s="1222"/>
      <c r="AT247" s="1222"/>
      <c r="AU247" s="1120"/>
      <c r="AV247" s="445"/>
      <c r="AW247" s="607"/>
      <c r="AX247" s="607"/>
      <c r="AY247" s="607"/>
      <c r="AZ247" s="1209"/>
      <c r="BA247" s="1209"/>
    </row>
    <row r="248" spans="2:53" s="256" customFormat="1" ht="24.95" customHeight="1">
      <c r="B248" s="445"/>
      <c r="C248" s="843"/>
      <c r="D248" s="843"/>
      <c r="E248" s="843"/>
      <c r="F248" s="1116"/>
      <c r="G248" s="1117"/>
      <c r="H248" s="868"/>
      <c r="I248" s="1118"/>
      <c r="J248" s="1138"/>
      <c r="K248" s="1138"/>
      <c r="L248" s="868"/>
      <c r="M248" s="868"/>
      <c r="N248" s="1118"/>
      <c r="O248" s="1119"/>
      <c r="P248" s="884"/>
      <c r="Q248" s="885"/>
      <c r="R248" s="843"/>
      <c r="S248" s="843"/>
      <c r="T248" s="843"/>
      <c r="U248" s="843"/>
      <c r="V248" s="843"/>
      <c r="W248" s="843"/>
      <c r="X248" s="870"/>
      <c r="Y248" s="843"/>
      <c r="Z248" s="843"/>
      <c r="AA248" s="843"/>
      <c r="AB248" s="204"/>
      <c r="AC248" s="204"/>
      <c r="AD248" s="1212"/>
      <c r="AE248" s="1212"/>
      <c r="AF248" s="1186"/>
      <c r="AG248" s="1186"/>
      <c r="AH248" s="1222"/>
      <c r="AI248" s="1222"/>
      <c r="AJ248" s="1222"/>
      <c r="AK248" s="1222"/>
      <c r="AL248" s="1222"/>
      <c r="AM248" s="1222"/>
      <c r="AN248" s="1222"/>
      <c r="AO248" s="1222"/>
      <c r="AP248" s="1222"/>
      <c r="AQ248" s="1222"/>
      <c r="AR248" s="1222"/>
      <c r="AS248" s="1222"/>
      <c r="AT248" s="1222"/>
      <c r="AU248" s="1120"/>
      <c r="AV248" s="445"/>
      <c r="AW248" s="607"/>
      <c r="AX248" s="607"/>
      <c r="AY248" s="607"/>
      <c r="AZ248" s="1209"/>
      <c r="BA248" s="1209"/>
    </row>
    <row r="249" spans="2:53" s="256" customFormat="1" ht="24.95" customHeight="1">
      <c r="B249" s="445"/>
      <c r="C249" s="843"/>
      <c r="D249" s="843"/>
      <c r="E249" s="843"/>
      <c r="F249" s="1116"/>
      <c r="G249" s="1117"/>
      <c r="H249" s="868"/>
      <c r="I249" s="1118"/>
      <c r="J249" s="1138"/>
      <c r="K249" s="1138"/>
      <c r="L249" s="868"/>
      <c r="M249" s="868"/>
      <c r="N249" s="1118"/>
      <c r="O249" s="1119"/>
      <c r="P249" s="884"/>
      <c r="Q249" s="885"/>
      <c r="R249" s="843"/>
      <c r="S249" s="843"/>
      <c r="T249" s="843"/>
      <c r="U249" s="843"/>
      <c r="V249" s="843"/>
      <c r="W249" s="843"/>
      <c r="X249" s="870"/>
      <c r="Y249" s="843"/>
      <c r="Z249" s="843"/>
      <c r="AA249" s="843"/>
      <c r="AB249" s="204"/>
      <c r="AC249" s="204"/>
      <c r="AD249" s="1212"/>
      <c r="AE249" s="1212"/>
      <c r="AF249" s="1186"/>
      <c r="AG249" s="1186"/>
      <c r="AH249" s="1222"/>
      <c r="AI249" s="1222"/>
      <c r="AJ249" s="1222"/>
      <c r="AK249" s="1222"/>
      <c r="AL249" s="1222"/>
      <c r="AM249" s="1222"/>
      <c r="AN249" s="1222"/>
      <c r="AO249" s="1222"/>
      <c r="AP249" s="1222"/>
      <c r="AQ249" s="1222"/>
      <c r="AR249" s="1222"/>
      <c r="AS249" s="1222"/>
      <c r="AT249" s="1222"/>
      <c r="AU249" s="1120"/>
      <c r="AV249" s="445"/>
      <c r="AW249" s="607"/>
      <c r="AX249" s="607"/>
      <c r="AY249" s="607"/>
      <c r="AZ249" s="1209"/>
      <c r="BA249" s="1209"/>
    </row>
    <row r="250" spans="2:53" s="256" customFormat="1" ht="24.95" customHeight="1">
      <c r="B250" s="445"/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1123"/>
      <c r="O250" s="1119"/>
      <c r="P250" s="884"/>
      <c r="Q250" s="1122"/>
      <c r="R250" s="1124"/>
      <c r="S250" s="1124"/>
      <c r="T250" s="1124"/>
      <c r="U250" s="1124"/>
      <c r="V250" s="1124"/>
      <c r="W250" s="1124"/>
      <c r="X250" s="868"/>
      <c r="Y250" s="843"/>
      <c r="Z250" s="843"/>
      <c r="AA250" s="843"/>
      <c r="AB250" s="204"/>
      <c r="AC250" s="204"/>
      <c r="AD250" s="1212"/>
      <c r="AE250" s="1212"/>
      <c r="AF250" s="1186"/>
      <c r="AG250" s="1186"/>
      <c r="AH250" s="1222"/>
      <c r="AI250" s="1222"/>
      <c r="AJ250" s="1222"/>
      <c r="AK250" s="1222"/>
      <c r="AL250" s="1222"/>
      <c r="AM250" s="1222"/>
      <c r="AN250" s="1222"/>
      <c r="AO250" s="1222"/>
      <c r="AP250" s="1222"/>
      <c r="AQ250" s="1222"/>
      <c r="AR250" s="1222"/>
      <c r="AS250" s="1222"/>
      <c r="AT250" s="1222"/>
      <c r="AU250" s="1120"/>
      <c r="AV250" s="445"/>
      <c r="AW250" s="607"/>
      <c r="AX250" s="607"/>
      <c r="AY250" s="607"/>
      <c r="AZ250" s="1209"/>
      <c r="BA250" s="1209"/>
    </row>
    <row r="251" spans="2:53" s="256" customFormat="1" ht="24.95" customHeight="1">
      <c r="B251" s="445"/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1123"/>
      <c r="O251" s="1119"/>
      <c r="P251" s="884"/>
      <c r="Q251" s="1122"/>
      <c r="R251" s="1124"/>
      <c r="S251" s="1124"/>
      <c r="T251" s="1124"/>
      <c r="U251" s="1124"/>
      <c r="V251" s="1124"/>
      <c r="W251" s="1124"/>
      <c r="X251" s="868"/>
      <c r="Y251" s="843"/>
      <c r="Z251" s="843"/>
      <c r="AA251" s="843"/>
      <c r="AB251" s="204"/>
      <c r="AC251" s="204"/>
      <c r="AD251" s="1212"/>
      <c r="AE251" s="1212"/>
      <c r="AF251" s="1186"/>
      <c r="AG251" s="1186"/>
      <c r="AH251" s="1222"/>
      <c r="AI251" s="1222"/>
      <c r="AJ251" s="1222"/>
      <c r="AK251" s="1222"/>
      <c r="AL251" s="1222"/>
      <c r="AM251" s="1222"/>
      <c r="AN251" s="1222"/>
      <c r="AO251" s="1222"/>
      <c r="AP251" s="1222"/>
      <c r="AQ251" s="1222"/>
      <c r="AR251" s="1222"/>
      <c r="AS251" s="1222"/>
      <c r="AT251" s="1222"/>
      <c r="AU251" s="1120"/>
      <c r="AV251" s="445"/>
      <c r="AW251" s="607"/>
      <c r="AX251" s="607"/>
      <c r="AY251" s="607"/>
      <c r="AZ251" s="1209"/>
      <c r="BA251" s="1209"/>
    </row>
    <row r="252" spans="2:53" s="256" customFormat="1" ht="24.95" customHeight="1">
      <c r="B252" s="445"/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1123"/>
      <c r="O252" s="1119"/>
      <c r="P252" s="884"/>
      <c r="Q252" s="1122"/>
      <c r="R252" s="1124"/>
      <c r="S252" s="1124"/>
      <c r="T252" s="1124"/>
      <c r="U252" s="1124"/>
      <c r="V252" s="1124"/>
      <c r="W252" s="1124"/>
      <c r="X252" s="868"/>
      <c r="Y252" s="843"/>
      <c r="Z252" s="843"/>
      <c r="AA252" s="843"/>
      <c r="AB252" s="204"/>
      <c r="AC252" s="204"/>
      <c r="AD252" s="1212"/>
      <c r="AE252" s="1212"/>
      <c r="AF252" s="1186"/>
      <c r="AG252" s="1186"/>
      <c r="AH252" s="1222"/>
      <c r="AI252" s="1222"/>
      <c r="AJ252" s="1222"/>
      <c r="AK252" s="1222"/>
      <c r="AL252" s="1222"/>
      <c r="AM252" s="1222"/>
      <c r="AN252" s="1222"/>
      <c r="AO252" s="1222"/>
      <c r="AP252" s="1222"/>
      <c r="AQ252" s="1222"/>
      <c r="AR252" s="1222"/>
      <c r="AS252" s="1222"/>
      <c r="AT252" s="1222"/>
      <c r="AU252" s="1120"/>
      <c r="AV252" s="445"/>
      <c r="AW252" s="607"/>
      <c r="AX252" s="607"/>
      <c r="AY252" s="607"/>
      <c r="AZ252" s="1209"/>
      <c r="BA252" s="1209"/>
    </row>
    <row r="253" spans="2:53" s="256" customFormat="1" ht="24.95" customHeight="1">
      <c r="B253" s="445"/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1123"/>
      <c r="O253" s="1119"/>
      <c r="P253" s="884"/>
      <c r="Q253" s="1122"/>
      <c r="R253" s="1124"/>
      <c r="S253" s="1124"/>
      <c r="T253" s="1124"/>
      <c r="U253" s="1124"/>
      <c r="V253" s="1124"/>
      <c r="W253" s="1124"/>
      <c r="X253" s="868"/>
      <c r="Y253" s="843"/>
      <c r="Z253" s="843"/>
      <c r="AA253" s="843"/>
      <c r="AB253" s="204"/>
      <c r="AC253" s="204"/>
      <c r="AD253" s="1212"/>
      <c r="AE253" s="1212"/>
      <c r="AF253" s="1186"/>
      <c r="AG253" s="1186"/>
      <c r="AH253" s="1222"/>
      <c r="AI253" s="1222"/>
      <c r="AJ253" s="1222"/>
      <c r="AK253" s="1222"/>
      <c r="AL253" s="1222"/>
      <c r="AM253" s="1222"/>
      <c r="AN253" s="1222"/>
      <c r="AO253" s="1222"/>
      <c r="AP253" s="1222"/>
      <c r="AQ253" s="1222"/>
      <c r="AR253" s="1222"/>
      <c r="AS253" s="1222"/>
      <c r="AT253" s="1222"/>
      <c r="AU253" s="1120"/>
      <c r="AV253" s="445"/>
      <c r="AW253" s="607"/>
      <c r="AX253" s="607"/>
      <c r="AY253" s="607"/>
      <c r="AZ253" s="1209"/>
      <c r="BA253" s="1209"/>
    </row>
    <row r="254" spans="2:53" s="256" customFormat="1" ht="24.95" customHeight="1">
      <c r="B254" s="445"/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1123"/>
      <c r="O254" s="1119"/>
      <c r="P254" s="884"/>
      <c r="Q254" s="1122"/>
      <c r="R254" s="1124"/>
      <c r="S254" s="1124"/>
      <c r="T254" s="1124"/>
      <c r="U254" s="1124"/>
      <c r="V254" s="1124"/>
      <c r="W254" s="1124"/>
      <c r="X254" s="868"/>
      <c r="Y254" s="843"/>
      <c r="Z254" s="843"/>
      <c r="AA254" s="843"/>
      <c r="AB254" s="204"/>
      <c r="AC254" s="204"/>
      <c r="AD254" s="1212"/>
      <c r="AE254" s="1212"/>
      <c r="AF254" s="1186"/>
      <c r="AG254" s="1186"/>
      <c r="AH254" s="1222"/>
      <c r="AI254" s="1222"/>
      <c r="AJ254" s="1222"/>
      <c r="AK254" s="1222"/>
      <c r="AL254" s="1222"/>
      <c r="AM254" s="1222"/>
      <c r="AN254" s="1222"/>
      <c r="AO254" s="1222"/>
      <c r="AP254" s="1222"/>
      <c r="AQ254" s="1222"/>
      <c r="AR254" s="1222"/>
      <c r="AS254" s="1222"/>
      <c r="AT254" s="1222"/>
      <c r="AU254" s="1120"/>
      <c r="AV254" s="445"/>
      <c r="AW254" s="607"/>
      <c r="AX254" s="607"/>
      <c r="AY254" s="607"/>
      <c r="AZ254" s="1209"/>
      <c r="BA254" s="1209"/>
    </row>
    <row r="255" spans="2:53" s="256" customFormat="1" ht="24.95" customHeight="1">
      <c r="B255" s="445"/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1123"/>
      <c r="O255" s="1119"/>
      <c r="P255" s="884"/>
      <c r="Q255" s="1122"/>
      <c r="R255" s="1124"/>
      <c r="S255" s="1124"/>
      <c r="T255" s="1124"/>
      <c r="U255" s="1124"/>
      <c r="V255" s="1124"/>
      <c r="W255" s="1124"/>
      <c r="X255" s="868"/>
      <c r="Y255" s="843"/>
      <c r="Z255" s="843"/>
      <c r="AA255" s="843"/>
      <c r="AB255" s="204"/>
      <c r="AC255" s="204"/>
      <c r="AD255" s="1212"/>
      <c r="AE255" s="1212"/>
      <c r="AF255" s="1186"/>
      <c r="AG255" s="1186"/>
      <c r="AH255" s="1222"/>
      <c r="AI255" s="1222"/>
      <c r="AJ255" s="1222"/>
      <c r="AK255" s="1222"/>
      <c r="AL255" s="1222"/>
      <c r="AM255" s="1222"/>
      <c r="AN255" s="1222"/>
      <c r="AO255" s="1222"/>
      <c r="AP255" s="1222"/>
      <c r="AQ255" s="1222"/>
      <c r="AR255" s="1222"/>
      <c r="AS255" s="1222"/>
      <c r="AT255" s="1222"/>
      <c r="AU255" s="1120"/>
      <c r="AV255" s="445"/>
      <c r="AW255" s="607"/>
      <c r="AX255" s="607"/>
      <c r="AY255" s="607"/>
      <c r="AZ255" s="1209"/>
      <c r="BA255" s="1209"/>
    </row>
    <row r="256" spans="2:53" s="256" customFormat="1" ht="24.95" customHeight="1">
      <c r="B256" s="445"/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1123"/>
      <c r="O256" s="1119"/>
      <c r="P256" s="884"/>
      <c r="Q256" s="1122"/>
      <c r="R256" s="1124"/>
      <c r="S256" s="1124"/>
      <c r="T256" s="1124"/>
      <c r="U256" s="1124"/>
      <c r="V256" s="1124"/>
      <c r="W256" s="1124"/>
      <c r="X256" s="868"/>
      <c r="Y256" s="843"/>
      <c r="Z256" s="843"/>
      <c r="AA256" s="843"/>
      <c r="AB256" s="204"/>
      <c r="AC256" s="204"/>
      <c r="AD256" s="1212"/>
      <c r="AE256" s="1212"/>
      <c r="AF256" s="1186"/>
      <c r="AG256" s="1186"/>
      <c r="AH256" s="1222"/>
      <c r="AI256" s="1222"/>
      <c r="AJ256" s="1222"/>
      <c r="AK256" s="1222"/>
      <c r="AL256" s="1222"/>
      <c r="AM256" s="1222"/>
      <c r="AN256" s="1222"/>
      <c r="AO256" s="1222"/>
      <c r="AP256" s="1222"/>
      <c r="AQ256" s="1222"/>
      <c r="AR256" s="1222"/>
      <c r="AS256" s="1222"/>
      <c r="AT256" s="1222"/>
      <c r="AU256" s="1120"/>
      <c r="AV256" s="445"/>
      <c r="AW256" s="607"/>
      <c r="AX256" s="607"/>
      <c r="AY256" s="607"/>
      <c r="AZ256" s="1209"/>
      <c r="BA256" s="1209"/>
    </row>
    <row r="257" spans="2:53" s="256" customFormat="1" ht="24.95" customHeight="1">
      <c r="B257" s="445"/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1123"/>
      <c r="O257" s="1119"/>
      <c r="P257" s="884"/>
      <c r="Q257" s="1122"/>
      <c r="R257" s="1124"/>
      <c r="S257" s="1124"/>
      <c r="T257" s="1124"/>
      <c r="U257" s="1124"/>
      <c r="V257" s="1124"/>
      <c r="W257" s="1124"/>
      <c r="X257" s="868"/>
      <c r="Y257" s="843"/>
      <c r="Z257" s="843"/>
      <c r="AA257" s="843"/>
      <c r="AB257" s="204"/>
      <c r="AC257" s="204"/>
      <c r="AD257" s="1212"/>
      <c r="AE257" s="1212"/>
      <c r="AF257" s="1186"/>
      <c r="AG257" s="1186"/>
      <c r="AH257" s="1222"/>
      <c r="AI257" s="1222"/>
      <c r="AJ257" s="1222"/>
      <c r="AK257" s="1222"/>
      <c r="AL257" s="1222"/>
      <c r="AM257" s="1222"/>
      <c r="AN257" s="1222"/>
      <c r="AO257" s="1222"/>
      <c r="AP257" s="1222"/>
      <c r="AQ257" s="1222"/>
      <c r="AR257" s="1222"/>
      <c r="AS257" s="1222"/>
      <c r="AT257" s="1222"/>
      <c r="AU257" s="1120"/>
      <c r="AV257" s="445"/>
      <c r="AW257" s="607"/>
      <c r="AX257" s="607"/>
      <c r="AY257" s="607"/>
      <c r="AZ257" s="1209"/>
      <c r="BA257" s="1209"/>
    </row>
    <row r="258" spans="2:53" s="256" customFormat="1" ht="24.95" customHeight="1">
      <c r="B258" s="445"/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1123"/>
      <c r="O258" s="1119"/>
      <c r="P258" s="884"/>
      <c r="Q258" s="1122"/>
      <c r="R258" s="1124"/>
      <c r="S258" s="1124"/>
      <c r="T258" s="1124"/>
      <c r="U258" s="1124"/>
      <c r="V258" s="1124"/>
      <c r="W258" s="1124"/>
      <c r="X258" s="868"/>
      <c r="Y258" s="843"/>
      <c r="Z258" s="843"/>
      <c r="AA258" s="843"/>
      <c r="AB258" s="204"/>
      <c r="AC258" s="204"/>
      <c r="AD258" s="1212"/>
      <c r="AE258" s="1212"/>
      <c r="AF258" s="1186"/>
      <c r="AG258" s="1186"/>
      <c r="AH258" s="1222"/>
      <c r="AI258" s="1222"/>
      <c r="AJ258" s="1222"/>
      <c r="AK258" s="1222"/>
      <c r="AL258" s="1222"/>
      <c r="AM258" s="1222"/>
      <c r="AN258" s="1222"/>
      <c r="AO258" s="1222"/>
      <c r="AP258" s="1222"/>
      <c r="AQ258" s="1222"/>
      <c r="AR258" s="1222"/>
      <c r="AS258" s="1222"/>
      <c r="AT258" s="1222"/>
      <c r="AU258" s="1120"/>
      <c r="AV258" s="445"/>
      <c r="AW258" s="607"/>
      <c r="AX258" s="607"/>
      <c r="AY258" s="607"/>
      <c r="AZ258" s="1209"/>
      <c r="BA258" s="1209"/>
    </row>
    <row r="259" spans="2:53" s="256" customFormat="1" ht="24.95" customHeight="1">
      <c r="B259" s="445"/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1123"/>
      <c r="O259" s="1119"/>
      <c r="P259" s="884"/>
      <c r="Q259" s="1122"/>
      <c r="R259" s="1124"/>
      <c r="S259" s="1124"/>
      <c r="T259" s="1124"/>
      <c r="U259" s="1124"/>
      <c r="V259" s="1124"/>
      <c r="W259" s="1124"/>
      <c r="X259" s="868"/>
      <c r="Y259" s="843"/>
      <c r="Z259" s="843"/>
      <c r="AA259" s="843"/>
      <c r="AB259" s="204"/>
      <c r="AC259" s="204"/>
      <c r="AD259" s="1212"/>
      <c r="AE259" s="1212"/>
      <c r="AF259" s="1186"/>
      <c r="AG259" s="1186"/>
      <c r="AH259" s="1222"/>
      <c r="AI259" s="1222"/>
      <c r="AJ259" s="1222"/>
      <c r="AK259" s="1222"/>
      <c r="AL259" s="1222"/>
      <c r="AM259" s="1222"/>
      <c r="AN259" s="1222"/>
      <c r="AO259" s="1222"/>
      <c r="AP259" s="1222"/>
      <c r="AQ259" s="1222"/>
      <c r="AR259" s="1222"/>
      <c r="AS259" s="1222"/>
      <c r="AT259" s="1222"/>
      <c r="AU259" s="1120"/>
      <c r="AV259" s="445"/>
      <c r="AW259" s="607"/>
      <c r="AX259" s="607"/>
      <c r="AY259" s="607"/>
      <c r="AZ259" s="1209"/>
      <c r="BA259" s="1209"/>
    </row>
    <row r="260" spans="2:53" s="256" customFormat="1" ht="24.95" customHeight="1">
      <c r="B260" s="445"/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1123"/>
      <c r="O260" s="1119"/>
      <c r="P260" s="884"/>
      <c r="Q260" s="1122"/>
      <c r="R260" s="1124"/>
      <c r="S260" s="1124"/>
      <c r="T260" s="1124"/>
      <c r="U260" s="1124"/>
      <c r="V260" s="1124"/>
      <c r="W260" s="1124"/>
      <c r="X260" s="868"/>
      <c r="Y260" s="843"/>
      <c r="Z260" s="843"/>
      <c r="AA260" s="843"/>
      <c r="AB260" s="204"/>
      <c r="AC260" s="204"/>
      <c r="AD260" s="1212"/>
      <c r="AE260" s="1212"/>
      <c r="AF260" s="1186"/>
      <c r="AG260" s="1186"/>
      <c r="AH260" s="1222"/>
      <c r="AI260" s="1222"/>
      <c r="AJ260" s="1222"/>
      <c r="AK260" s="1222"/>
      <c r="AL260" s="1222"/>
      <c r="AM260" s="1222"/>
      <c r="AN260" s="1222"/>
      <c r="AO260" s="1222"/>
      <c r="AP260" s="1222"/>
      <c r="AQ260" s="1222"/>
      <c r="AR260" s="1222"/>
      <c r="AS260" s="1222"/>
      <c r="AT260" s="1222"/>
      <c r="AU260" s="1120"/>
      <c r="AV260" s="445"/>
      <c r="AW260" s="607"/>
      <c r="AX260" s="607"/>
      <c r="AY260" s="607"/>
      <c r="AZ260" s="1209"/>
      <c r="BA260" s="1209"/>
    </row>
    <row r="261" spans="2:53" s="256" customFormat="1" ht="24.95" customHeight="1">
      <c r="B261" s="445"/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1123"/>
      <c r="O261" s="1119"/>
      <c r="P261" s="884"/>
      <c r="Q261" s="1122"/>
      <c r="R261" s="1124"/>
      <c r="S261" s="1124"/>
      <c r="T261" s="1124"/>
      <c r="U261" s="1124"/>
      <c r="V261" s="1124"/>
      <c r="W261" s="1124"/>
      <c r="X261" s="868"/>
      <c r="Y261" s="843"/>
      <c r="Z261" s="843"/>
      <c r="AA261" s="843"/>
      <c r="AB261" s="204"/>
      <c r="AC261" s="204"/>
      <c r="AD261" s="1212"/>
      <c r="AE261" s="1212"/>
      <c r="AF261" s="1186"/>
      <c r="AG261" s="1186"/>
      <c r="AH261" s="1222"/>
      <c r="AI261" s="1222"/>
      <c r="AJ261" s="1222"/>
      <c r="AK261" s="1222"/>
      <c r="AL261" s="1222"/>
      <c r="AM261" s="1222"/>
      <c r="AN261" s="1222"/>
      <c r="AO261" s="1222"/>
      <c r="AP261" s="1222"/>
      <c r="AQ261" s="1222"/>
      <c r="AR261" s="1222"/>
      <c r="AS261" s="1222"/>
      <c r="AT261" s="1222"/>
      <c r="AU261" s="1120"/>
      <c r="AV261" s="445"/>
      <c r="AW261" s="607"/>
      <c r="AX261" s="607"/>
      <c r="AY261" s="607"/>
      <c r="AZ261" s="1209"/>
      <c r="BA261" s="1209"/>
    </row>
    <row r="262" spans="2:53" s="256" customFormat="1" ht="24.95" customHeight="1">
      <c r="B262" s="445"/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1123"/>
      <c r="O262" s="1119"/>
      <c r="P262" s="884"/>
      <c r="Q262" s="1122"/>
      <c r="R262" s="1124"/>
      <c r="S262" s="1124"/>
      <c r="T262" s="1124"/>
      <c r="U262" s="1124"/>
      <c r="V262" s="1124"/>
      <c r="W262" s="1124"/>
      <c r="X262" s="868"/>
      <c r="Y262" s="843"/>
      <c r="Z262" s="843"/>
      <c r="AA262" s="843"/>
      <c r="AB262" s="204"/>
      <c r="AC262" s="204"/>
      <c r="AD262" s="1212"/>
      <c r="AE262" s="1212"/>
      <c r="AF262" s="1186"/>
      <c r="AG262" s="1186"/>
      <c r="AH262" s="1222"/>
      <c r="AI262" s="1222"/>
      <c r="AJ262" s="1222"/>
      <c r="AK262" s="1222"/>
      <c r="AL262" s="1222"/>
      <c r="AM262" s="1222"/>
      <c r="AN262" s="1222"/>
      <c r="AO262" s="1222"/>
      <c r="AP262" s="1222"/>
      <c r="AQ262" s="1222"/>
      <c r="AR262" s="1222"/>
      <c r="AS262" s="1222"/>
      <c r="AT262" s="1222"/>
      <c r="AU262" s="1120"/>
      <c r="AV262" s="445"/>
      <c r="AW262" s="607"/>
      <c r="AX262" s="607"/>
      <c r="AY262" s="607"/>
      <c r="AZ262" s="1209"/>
      <c r="BA262" s="1209"/>
    </row>
    <row r="263" spans="2:53" s="256" customFormat="1" ht="24.95" customHeight="1">
      <c r="B263" s="445"/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1123"/>
      <c r="O263" s="1119"/>
      <c r="P263" s="884"/>
      <c r="Q263" s="1122"/>
      <c r="R263" s="1124"/>
      <c r="S263" s="1124"/>
      <c r="T263" s="1124"/>
      <c r="U263" s="1124"/>
      <c r="V263" s="1124"/>
      <c r="W263" s="1124"/>
      <c r="X263" s="868"/>
      <c r="Y263" s="843"/>
      <c r="Z263" s="843"/>
      <c r="AA263" s="843"/>
      <c r="AB263" s="204"/>
      <c r="AC263" s="204"/>
      <c r="AD263" s="1212"/>
      <c r="AE263" s="1212"/>
      <c r="AF263" s="1186"/>
      <c r="AG263" s="1186"/>
      <c r="AH263" s="1222"/>
      <c r="AI263" s="1222"/>
      <c r="AJ263" s="1222"/>
      <c r="AK263" s="1222"/>
      <c r="AL263" s="1222"/>
      <c r="AM263" s="1222"/>
      <c r="AN263" s="1222"/>
      <c r="AO263" s="1222"/>
      <c r="AP263" s="1222"/>
      <c r="AQ263" s="1222"/>
      <c r="AR263" s="1222"/>
      <c r="AS263" s="1222"/>
      <c r="AT263" s="1222"/>
      <c r="AU263" s="1120"/>
      <c r="AV263" s="445"/>
      <c r="AW263" s="607"/>
      <c r="AX263" s="607"/>
      <c r="AY263" s="607"/>
      <c r="AZ263" s="1209"/>
      <c r="BA263" s="1209"/>
    </row>
    <row r="264" spans="2:53" s="256" customFormat="1" ht="24.95" customHeight="1">
      <c r="B264" s="445"/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1123"/>
      <c r="O264" s="1119"/>
      <c r="P264" s="884"/>
      <c r="Q264" s="1122"/>
      <c r="R264" s="1124"/>
      <c r="S264" s="1124"/>
      <c r="T264" s="1124"/>
      <c r="U264" s="1124"/>
      <c r="V264" s="1124"/>
      <c r="W264" s="1124"/>
      <c r="X264" s="868"/>
      <c r="Y264" s="843"/>
      <c r="Z264" s="843"/>
      <c r="AA264" s="843"/>
      <c r="AB264" s="204"/>
      <c r="AC264" s="204"/>
      <c r="AD264" s="1212"/>
      <c r="AE264" s="1212"/>
      <c r="AF264" s="1186"/>
      <c r="AG264" s="1186"/>
      <c r="AH264" s="1222"/>
      <c r="AI264" s="1222"/>
      <c r="AJ264" s="1222"/>
      <c r="AK264" s="1222"/>
      <c r="AL264" s="1222"/>
      <c r="AM264" s="1222"/>
      <c r="AN264" s="1222"/>
      <c r="AO264" s="1222"/>
      <c r="AP264" s="1222"/>
      <c r="AQ264" s="1222"/>
      <c r="AR264" s="1222"/>
      <c r="AS264" s="1222"/>
      <c r="AT264" s="1222"/>
      <c r="AU264" s="1120"/>
      <c r="AV264" s="445"/>
      <c r="AW264" s="607"/>
      <c r="AX264" s="607"/>
      <c r="AY264" s="607"/>
      <c r="AZ264" s="1209"/>
      <c r="BA264" s="1209"/>
    </row>
    <row r="265" spans="2:53" s="256" customFormat="1" ht="24.95" customHeight="1">
      <c r="B265" s="445"/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1123"/>
      <c r="O265" s="1119"/>
      <c r="P265" s="884"/>
      <c r="Q265" s="1122"/>
      <c r="R265" s="1124"/>
      <c r="S265" s="1124"/>
      <c r="T265" s="1124"/>
      <c r="U265" s="1124"/>
      <c r="V265" s="1124"/>
      <c r="W265" s="1124"/>
      <c r="X265" s="868"/>
      <c r="Y265" s="843"/>
      <c r="Z265" s="843"/>
      <c r="AA265" s="843"/>
      <c r="AB265" s="204"/>
      <c r="AC265" s="204"/>
      <c r="AD265" s="1212"/>
      <c r="AE265" s="1212"/>
      <c r="AF265" s="1186"/>
      <c r="AG265" s="1186"/>
      <c r="AH265" s="1222"/>
      <c r="AI265" s="1222"/>
      <c r="AJ265" s="1222"/>
      <c r="AK265" s="1222"/>
      <c r="AL265" s="1222"/>
      <c r="AM265" s="1222"/>
      <c r="AN265" s="1222"/>
      <c r="AO265" s="1222"/>
      <c r="AP265" s="1222"/>
      <c r="AQ265" s="1222"/>
      <c r="AR265" s="1222"/>
      <c r="AS265" s="1222"/>
      <c r="AT265" s="1222"/>
      <c r="AU265" s="1120"/>
      <c r="AV265" s="445"/>
      <c r="AW265" s="607"/>
      <c r="AX265" s="607"/>
      <c r="AY265" s="607"/>
      <c r="AZ265" s="1209"/>
      <c r="BA265" s="1209"/>
    </row>
    <row r="266" spans="2:53" s="256" customFormat="1" ht="24.95" customHeight="1">
      <c r="B266" s="445"/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1123"/>
      <c r="O266" s="1119"/>
      <c r="P266" s="884"/>
      <c r="Q266" s="1122"/>
      <c r="R266" s="1124"/>
      <c r="S266" s="1124"/>
      <c r="T266" s="1124"/>
      <c r="U266" s="1124"/>
      <c r="V266" s="1124"/>
      <c r="W266" s="1124"/>
      <c r="X266" s="868"/>
      <c r="Y266" s="843"/>
      <c r="Z266" s="843"/>
      <c r="AA266" s="843"/>
      <c r="AB266" s="204"/>
      <c r="AC266" s="204"/>
      <c r="AD266" s="1212"/>
      <c r="AE266" s="1212"/>
      <c r="AF266" s="1186"/>
      <c r="AG266" s="1186"/>
      <c r="AH266" s="1222"/>
      <c r="AI266" s="1222"/>
      <c r="AJ266" s="1222"/>
      <c r="AK266" s="1222"/>
      <c r="AL266" s="1222"/>
      <c r="AM266" s="1222"/>
      <c r="AN266" s="1222"/>
      <c r="AO266" s="1222"/>
      <c r="AP266" s="1222"/>
      <c r="AQ266" s="1222"/>
      <c r="AR266" s="1222"/>
      <c r="AS266" s="1222"/>
      <c r="AT266" s="1222"/>
      <c r="AU266" s="1120"/>
      <c r="AV266" s="445"/>
      <c r="AW266" s="607"/>
      <c r="AX266" s="607"/>
      <c r="AY266" s="607"/>
      <c r="AZ266" s="1209"/>
      <c r="BA266" s="1209"/>
    </row>
    <row r="267" spans="2:53" s="256" customFormat="1" ht="24.95" customHeight="1">
      <c r="B267" s="445"/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1123"/>
      <c r="O267" s="1119"/>
      <c r="P267" s="884"/>
      <c r="Q267" s="1122"/>
      <c r="R267" s="1124"/>
      <c r="S267" s="1124"/>
      <c r="T267" s="1124"/>
      <c r="U267" s="1124"/>
      <c r="V267" s="1124"/>
      <c r="W267" s="1124"/>
      <c r="X267" s="868"/>
      <c r="Y267" s="843"/>
      <c r="Z267" s="843"/>
      <c r="AA267" s="843"/>
      <c r="AB267" s="204"/>
      <c r="AC267" s="204"/>
      <c r="AD267" s="1212"/>
      <c r="AE267" s="1212"/>
      <c r="AF267" s="1186"/>
      <c r="AG267" s="1186"/>
      <c r="AH267" s="1222"/>
      <c r="AI267" s="1222"/>
      <c r="AJ267" s="1222"/>
      <c r="AK267" s="1222"/>
      <c r="AL267" s="1222"/>
      <c r="AM267" s="1222"/>
      <c r="AN267" s="1222"/>
      <c r="AO267" s="1222"/>
      <c r="AP267" s="1222"/>
      <c r="AQ267" s="1222"/>
      <c r="AR267" s="1222"/>
      <c r="AS267" s="1222"/>
      <c r="AT267" s="1222"/>
      <c r="AU267" s="1120"/>
      <c r="AV267" s="445"/>
      <c r="AW267" s="607"/>
      <c r="AX267" s="607"/>
      <c r="AY267" s="607"/>
      <c r="AZ267" s="1209"/>
      <c r="BA267" s="1209"/>
    </row>
    <row r="268" spans="2:53" s="256" customFormat="1" ht="24.95" customHeight="1">
      <c r="B268" s="445"/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1123"/>
      <c r="O268" s="1119"/>
      <c r="P268" s="884"/>
      <c r="Q268" s="1122"/>
      <c r="R268" s="1124"/>
      <c r="S268" s="1124"/>
      <c r="T268" s="1124"/>
      <c r="U268" s="1124"/>
      <c r="V268" s="1124"/>
      <c r="W268" s="1124"/>
      <c r="X268" s="868"/>
      <c r="Y268" s="843"/>
      <c r="Z268" s="843"/>
      <c r="AA268" s="843"/>
      <c r="AB268" s="204"/>
      <c r="AC268" s="204"/>
      <c r="AD268" s="1212"/>
      <c r="AE268" s="1212"/>
      <c r="AF268" s="1186"/>
      <c r="AG268" s="1186"/>
      <c r="AH268" s="1222"/>
      <c r="AI268" s="1222"/>
      <c r="AJ268" s="1222"/>
      <c r="AK268" s="1222"/>
      <c r="AL268" s="1222"/>
      <c r="AM268" s="1222"/>
      <c r="AN268" s="1222"/>
      <c r="AO268" s="1222"/>
      <c r="AP268" s="1222"/>
      <c r="AQ268" s="1222"/>
      <c r="AR268" s="1222"/>
      <c r="AS268" s="1222"/>
      <c r="AT268" s="1222"/>
      <c r="AU268" s="1120"/>
      <c r="AV268" s="445"/>
      <c r="AW268" s="607"/>
      <c r="AX268" s="607"/>
      <c r="AY268" s="607"/>
      <c r="AZ268" s="1209"/>
      <c r="BA268" s="1209"/>
    </row>
    <row r="269" spans="2:53" s="256" customFormat="1" ht="24.95" customHeight="1">
      <c r="B269" s="445"/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1123"/>
      <c r="O269" s="1119"/>
      <c r="P269" s="884"/>
      <c r="Q269" s="1122"/>
      <c r="R269" s="1124"/>
      <c r="S269" s="1124"/>
      <c r="T269" s="1124"/>
      <c r="U269" s="1124"/>
      <c r="V269" s="1124"/>
      <c r="W269" s="1124"/>
      <c r="X269" s="868"/>
      <c r="Y269" s="843"/>
      <c r="Z269" s="843"/>
      <c r="AA269" s="843"/>
      <c r="AB269" s="204"/>
      <c r="AC269" s="204"/>
      <c r="AD269" s="1212"/>
      <c r="AE269" s="1212"/>
      <c r="AF269" s="1186"/>
      <c r="AG269" s="1186"/>
      <c r="AH269" s="1222"/>
      <c r="AI269" s="1222"/>
      <c r="AJ269" s="1222"/>
      <c r="AK269" s="1222"/>
      <c r="AL269" s="1222"/>
      <c r="AM269" s="1222"/>
      <c r="AN269" s="1222"/>
      <c r="AO269" s="1222"/>
      <c r="AP269" s="1222"/>
      <c r="AQ269" s="1222"/>
      <c r="AR269" s="1222"/>
      <c r="AS269" s="1222"/>
      <c r="AT269" s="1222"/>
      <c r="AU269" s="1120"/>
      <c r="AV269" s="445"/>
      <c r="AW269" s="607"/>
      <c r="AX269" s="607"/>
      <c r="AY269" s="607"/>
      <c r="AZ269" s="1209"/>
      <c r="BA269" s="1209"/>
    </row>
    <row r="270" spans="2:53" s="256" customFormat="1" ht="24.95" customHeight="1">
      <c r="B270" s="445"/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1123"/>
      <c r="O270" s="1119"/>
      <c r="P270" s="884"/>
      <c r="Q270" s="1122"/>
      <c r="R270" s="1124"/>
      <c r="S270" s="1124"/>
      <c r="T270" s="1124"/>
      <c r="U270" s="1124"/>
      <c r="V270" s="1124"/>
      <c r="W270" s="1124"/>
      <c r="X270" s="868"/>
      <c r="Y270" s="843"/>
      <c r="Z270" s="843"/>
      <c r="AA270" s="843"/>
      <c r="AB270" s="204"/>
      <c r="AC270" s="204"/>
      <c r="AD270" s="1212"/>
      <c r="AE270" s="1212"/>
      <c r="AF270" s="1186"/>
      <c r="AG270" s="1186"/>
      <c r="AH270" s="1222"/>
      <c r="AI270" s="1222"/>
      <c r="AJ270" s="1222"/>
      <c r="AK270" s="1222"/>
      <c r="AL270" s="1222"/>
      <c r="AM270" s="1222"/>
      <c r="AN270" s="1222"/>
      <c r="AO270" s="1222"/>
      <c r="AP270" s="1222"/>
      <c r="AQ270" s="1222"/>
      <c r="AR270" s="1222"/>
      <c r="AS270" s="1222"/>
      <c r="AT270" s="1222"/>
      <c r="AU270" s="1120"/>
      <c r="AV270" s="445"/>
      <c r="AW270" s="607"/>
      <c r="AX270" s="607"/>
      <c r="AY270" s="607"/>
      <c r="AZ270" s="1209"/>
      <c r="BA270" s="1209"/>
    </row>
    <row r="271" spans="2:53" s="256" customFormat="1" ht="24.95" customHeight="1">
      <c r="B271" s="445"/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1123"/>
      <c r="O271" s="1119"/>
      <c r="P271" s="884"/>
      <c r="Q271" s="1122"/>
      <c r="R271" s="1124"/>
      <c r="S271" s="1124"/>
      <c r="T271" s="1124"/>
      <c r="U271" s="1124"/>
      <c r="V271" s="1124"/>
      <c r="W271" s="1124"/>
      <c r="X271" s="868"/>
      <c r="Y271" s="843"/>
      <c r="Z271" s="843"/>
      <c r="AA271" s="843"/>
      <c r="AB271" s="204"/>
      <c r="AC271" s="204"/>
      <c r="AD271" s="1212"/>
      <c r="AE271" s="1212"/>
      <c r="AF271" s="1186"/>
      <c r="AG271" s="1186"/>
      <c r="AH271" s="1222"/>
      <c r="AI271" s="1222"/>
      <c r="AJ271" s="1222"/>
      <c r="AK271" s="1222"/>
      <c r="AL271" s="1222"/>
      <c r="AM271" s="1222"/>
      <c r="AN271" s="1222"/>
      <c r="AO271" s="1222"/>
      <c r="AP271" s="1222"/>
      <c r="AQ271" s="1222"/>
      <c r="AR271" s="1222"/>
      <c r="AS271" s="1222"/>
      <c r="AT271" s="1222"/>
      <c r="AU271" s="1120"/>
      <c r="AV271" s="445"/>
      <c r="AW271" s="607"/>
      <c r="AX271" s="607"/>
      <c r="AY271" s="607"/>
      <c r="AZ271" s="1209"/>
      <c r="BA271" s="1209"/>
    </row>
    <row r="272" spans="2:53" s="256" customFormat="1" ht="24.95" customHeight="1">
      <c r="B272" s="445"/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1123"/>
      <c r="O272" s="1119"/>
      <c r="P272" s="884"/>
      <c r="Q272" s="1122"/>
      <c r="R272" s="1124"/>
      <c r="S272" s="1124"/>
      <c r="T272" s="1124"/>
      <c r="U272" s="1124"/>
      <c r="V272" s="1124"/>
      <c r="W272" s="1124"/>
      <c r="X272" s="868"/>
      <c r="Y272" s="843"/>
      <c r="Z272" s="843"/>
      <c r="AA272" s="843"/>
      <c r="AB272" s="204"/>
      <c r="AC272" s="204"/>
      <c r="AD272" s="1212"/>
      <c r="AE272" s="1212"/>
      <c r="AF272" s="1186"/>
      <c r="AG272" s="1186"/>
      <c r="AH272" s="1222"/>
      <c r="AI272" s="1222"/>
      <c r="AJ272" s="1222"/>
      <c r="AK272" s="1222"/>
      <c r="AL272" s="1222"/>
      <c r="AM272" s="1222"/>
      <c r="AN272" s="1222"/>
      <c r="AO272" s="1222"/>
      <c r="AP272" s="1222"/>
      <c r="AQ272" s="1222"/>
      <c r="AR272" s="1222"/>
      <c r="AS272" s="1222"/>
      <c r="AT272" s="1222"/>
      <c r="AU272" s="1120"/>
      <c r="AV272" s="445"/>
      <c r="AW272" s="607"/>
      <c r="AX272" s="607"/>
      <c r="AY272" s="607"/>
      <c r="AZ272" s="1209"/>
      <c r="BA272" s="1209"/>
    </row>
    <row r="273" spans="2:53" s="256" customFormat="1" ht="24.95" customHeight="1">
      <c r="B273" s="445"/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1123"/>
      <c r="O273" s="1119"/>
      <c r="P273" s="884"/>
      <c r="Q273" s="1122"/>
      <c r="R273" s="1124"/>
      <c r="S273" s="1124"/>
      <c r="T273" s="1124"/>
      <c r="U273" s="1124"/>
      <c r="V273" s="1124"/>
      <c r="W273" s="1124"/>
      <c r="X273" s="868"/>
      <c r="Y273" s="843"/>
      <c r="Z273" s="843"/>
      <c r="AA273" s="843"/>
      <c r="AB273" s="204"/>
      <c r="AC273" s="204"/>
      <c r="AD273" s="1212"/>
      <c r="AE273" s="1212"/>
      <c r="AF273" s="1186"/>
      <c r="AG273" s="1186"/>
      <c r="AH273" s="1222"/>
      <c r="AI273" s="1222"/>
      <c r="AJ273" s="1222"/>
      <c r="AK273" s="1222"/>
      <c r="AL273" s="1222"/>
      <c r="AM273" s="1222"/>
      <c r="AN273" s="1222"/>
      <c r="AO273" s="1222"/>
      <c r="AP273" s="1222"/>
      <c r="AQ273" s="1222"/>
      <c r="AR273" s="1222"/>
      <c r="AS273" s="1222"/>
      <c r="AT273" s="1222"/>
      <c r="AU273" s="1120"/>
      <c r="AV273" s="445"/>
      <c r="AW273" s="607"/>
      <c r="AX273" s="607"/>
      <c r="AY273" s="607"/>
      <c r="AZ273" s="1209"/>
      <c r="BA273" s="1209"/>
    </row>
    <row r="274" spans="2:53" s="256" customFormat="1" ht="24.95" customHeight="1">
      <c r="B274" s="445"/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1123"/>
      <c r="O274" s="1119"/>
      <c r="P274" s="884"/>
      <c r="Q274" s="1122"/>
      <c r="R274" s="1124"/>
      <c r="S274" s="1124"/>
      <c r="T274" s="1124"/>
      <c r="U274" s="1124"/>
      <c r="V274" s="1124"/>
      <c r="W274" s="1124"/>
      <c r="X274" s="868"/>
      <c r="Y274" s="843"/>
      <c r="Z274" s="843"/>
      <c r="AA274" s="843"/>
      <c r="AB274" s="204"/>
      <c r="AC274" s="204"/>
      <c r="AD274" s="1212"/>
      <c r="AE274" s="1212"/>
      <c r="AF274" s="1186"/>
      <c r="AG274" s="1186"/>
      <c r="AH274" s="1222"/>
      <c r="AI274" s="1222"/>
      <c r="AJ274" s="1222"/>
      <c r="AK274" s="1222"/>
      <c r="AL274" s="1222"/>
      <c r="AM274" s="1222"/>
      <c r="AN274" s="1222"/>
      <c r="AO274" s="1222"/>
      <c r="AP274" s="1222"/>
      <c r="AQ274" s="1222"/>
      <c r="AR274" s="1222"/>
      <c r="AS274" s="1222"/>
      <c r="AT274" s="1222"/>
      <c r="AU274" s="1120"/>
      <c r="AV274" s="445"/>
      <c r="AW274" s="607"/>
      <c r="AX274" s="607"/>
      <c r="AY274" s="607"/>
      <c r="AZ274" s="1209"/>
      <c r="BA274" s="1209"/>
    </row>
    <row r="275" spans="2:53" s="256" customFormat="1" ht="24.95" customHeight="1">
      <c r="B275" s="445"/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1123"/>
      <c r="O275" s="1119"/>
      <c r="P275" s="884"/>
      <c r="Q275" s="1122"/>
      <c r="R275" s="1124"/>
      <c r="S275" s="1124"/>
      <c r="T275" s="1124"/>
      <c r="U275" s="1124"/>
      <c r="V275" s="1124"/>
      <c r="W275" s="1124"/>
      <c r="X275" s="868"/>
      <c r="Y275" s="843"/>
      <c r="Z275" s="843"/>
      <c r="AA275" s="843"/>
      <c r="AB275" s="204"/>
      <c r="AC275" s="204"/>
      <c r="AD275" s="1212"/>
      <c r="AE275" s="1212"/>
      <c r="AF275" s="1186"/>
      <c r="AG275" s="1186"/>
      <c r="AH275" s="1222"/>
      <c r="AI275" s="1222"/>
      <c r="AJ275" s="1222"/>
      <c r="AK275" s="1222"/>
      <c r="AL275" s="1222"/>
      <c r="AM275" s="1222"/>
      <c r="AN275" s="1222"/>
      <c r="AO275" s="1222"/>
      <c r="AP275" s="1222"/>
      <c r="AQ275" s="1222"/>
      <c r="AR275" s="1222"/>
      <c r="AS275" s="1222"/>
      <c r="AT275" s="1222"/>
      <c r="AU275" s="1120"/>
      <c r="AV275" s="445"/>
      <c r="AW275" s="607"/>
      <c r="AX275" s="607"/>
      <c r="AY275" s="607"/>
      <c r="AZ275" s="1209"/>
      <c r="BA275" s="1209"/>
    </row>
    <row r="276" spans="2:53" s="256" customFormat="1" ht="24.95" customHeight="1">
      <c r="B276" s="445"/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1123"/>
      <c r="O276" s="1119"/>
      <c r="P276" s="884"/>
      <c r="Q276" s="1122"/>
      <c r="R276" s="1124"/>
      <c r="S276" s="1124"/>
      <c r="T276" s="1124"/>
      <c r="U276" s="1124"/>
      <c r="V276" s="1124"/>
      <c r="W276" s="1124"/>
      <c r="X276" s="868"/>
      <c r="Y276" s="843"/>
      <c r="Z276" s="843"/>
      <c r="AA276" s="843"/>
      <c r="AB276" s="204"/>
      <c r="AC276" s="204"/>
      <c r="AD276" s="1212"/>
      <c r="AE276" s="1212"/>
      <c r="AF276" s="1186"/>
      <c r="AG276" s="1186"/>
      <c r="AH276" s="1222"/>
      <c r="AI276" s="1222"/>
      <c r="AJ276" s="1222"/>
      <c r="AK276" s="1222"/>
      <c r="AL276" s="1222"/>
      <c r="AM276" s="1222"/>
      <c r="AN276" s="1222"/>
      <c r="AO276" s="1222"/>
      <c r="AP276" s="1222"/>
      <c r="AQ276" s="1222"/>
      <c r="AR276" s="1222"/>
      <c r="AS276" s="1222"/>
      <c r="AT276" s="1222"/>
      <c r="AU276" s="1120"/>
      <c r="AV276" s="445"/>
      <c r="AW276" s="607"/>
      <c r="AX276" s="607"/>
      <c r="AY276" s="607"/>
      <c r="AZ276" s="1209"/>
      <c r="BA276" s="1209"/>
    </row>
    <row r="277" spans="2:53" s="256" customFormat="1" ht="24.95" customHeight="1">
      <c r="B277" s="445"/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1123"/>
      <c r="O277" s="1119"/>
      <c r="P277" s="884"/>
      <c r="Q277" s="1122"/>
      <c r="R277" s="1124"/>
      <c r="S277" s="1124"/>
      <c r="T277" s="1124"/>
      <c r="U277" s="1124"/>
      <c r="V277" s="1124"/>
      <c r="W277" s="1124"/>
      <c r="X277" s="868"/>
      <c r="Y277" s="843"/>
      <c r="Z277" s="843"/>
      <c r="AA277" s="843"/>
      <c r="AB277" s="204"/>
      <c r="AC277" s="204"/>
      <c r="AD277" s="1212"/>
      <c r="AE277" s="1212"/>
      <c r="AF277" s="1186"/>
      <c r="AG277" s="1186"/>
      <c r="AH277" s="1222"/>
      <c r="AI277" s="1222"/>
      <c r="AJ277" s="1222"/>
      <c r="AK277" s="1222"/>
      <c r="AL277" s="1222"/>
      <c r="AM277" s="1222"/>
      <c r="AN277" s="1222"/>
      <c r="AO277" s="1222"/>
      <c r="AP277" s="1222"/>
      <c r="AQ277" s="1222"/>
      <c r="AR277" s="1222"/>
      <c r="AS277" s="1222"/>
      <c r="AT277" s="1222"/>
      <c r="AU277" s="1120"/>
      <c r="AV277" s="445"/>
      <c r="AW277" s="607"/>
      <c r="AX277" s="607"/>
      <c r="AY277" s="607"/>
      <c r="AZ277" s="1209"/>
      <c r="BA277" s="1209"/>
    </row>
    <row r="278" spans="2:53" s="256" customFormat="1" ht="24.95" customHeight="1">
      <c r="B278" s="445"/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1123"/>
      <c r="O278" s="1119"/>
      <c r="P278" s="884"/>
      <c r="Q278" s="1122"/>
      <c r="R278" s="1124"/>
      <c r="S278" s="1124"/>
      <c r="T278" s="1124"/>
      <c r="U278" s="1124"/>
      <c r="V278" s="1124"/>
      <c r="W278" s="1124"/>
      <c r="X278" s="868"/>
      <c r="Y278" s="843"/>
      <c r="Z278" s="843"/>
      <c r="AA278" s="843"/>
      <c r="AB278" s="204"/>
      <c r="AC278" s="204"/>
      <c r="AD278" s="1212"/>
      <c r="AE278" s="1212"/>
      <c r="AF278" s="1186"/>
      <c r="AG278" s="1186"/>
      <c r="AH278" s="1222"/>
      <c r="AI278" s="1222"/>
      <c r="AJ278" s="1222"/>
      <c r="AK278" s="1222"/>
      <c r="AL278" s="1222"/>
      <c r="AM278" s="1222"/>
      <c r="AN278" s="1222"/>
      <c r="AO278" s="1222"/>
      <c r="AP278" s="1222"/>
      <c r="AQ278" s="1222"/>
      <c r="AR278" s="1222"/>
      <c r="AS278" s="1222"/>
      <c r="AT278" s="1222"/>
      <c r="AU278" s="1120"/>
      <c r="AV278" s="445"/>
      <c r="AW278" s="607"/>
      <c r="AX278" s="607"/>
      <c r="AY278" s="607"/>
      <c r="AZ278" s="1209"/>
      <c r="BA278" s="1209"/>
    </row>
    <row r="279" spans="2:53" s="256" customFormat="1" ht="24.95" customHeight="1">
      <c r="B279" s="445"/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1123"/>
      <c r="O279" s="1119"/>
      <c r="P279" s="884"/>
      <c r="Q279" s="1122"/>
      <c r="R279" s="1124"/>
      <c r="S279" s="1124"/>
      <c r="T279" s="1124"/>
      <c r="U279" s="1124"/>
      <c r="V279" s="1124"/>
      <c r="W279" s="1124"/>
      <c r="X279" s="868"/>
      <c r="Y279" s="843"/>
      <c r="Z279" s="843"/>
      <c r="AA279" s="843"/>
      <c r="AB279" s="204"/>
      <c r="AC279" s="204"/>
      <c r="AD279" s="1212"/>
      <c r="AE279" s="1212"/>
      <c r="AF279" s="1186"/>
      <c r="AG279" s="1186"/>
      <c r="AH279" s="1222"/>
      <c r="AI279" s="1222"/>
      <c r="AJ279" s="1222"/>
      <c r="AK279" s="1222"/>
      <c r="AL279" s="1222"/>
      <c r="AM279" s="1222"/>
      <c r="AN279" s="1222"/>
      <c r="AO279" s="1222"/>
      <c r="AP279" s="1222"/>
      <c r="AQ279" s="1222"/>
      <c r="AR279" s="1222"/>
      <c r="AS279" s="1222"/>
      <c r="AT279" s="1222"/>
      <c r="AU279" s="1120"/>
      <c r="AV279" s="445"/>
      <c r="AW279" s="607"/>
      <c r="AX279" s="607"/>
      <c r="AY279" s="607"/>
      <c r="AZ279" s="1209"/>
      <c r="BA279" s="1209"/>
    </row>
    <row r="280" spans="2:53" s="256" customFormat="1" ht="24.95" customHeight="1">
      <c r="B280" s="445"/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1123"/>
      <c r="O280" s="1119"/>
      <c r="P280" s="884"/>
      <c r="Q280" s="1122"/>
      <c r="R280" s="1124"/>
      <c r="S280" s="1124"/>
      <c r="T280" s="1124"/>
      <c r="U280" s="1124"/>
      <c r="V280" s="1124"/>
      <c r="W280" s="1124"/>
      <c r="X280" s="868"/>
      <c r="Y280" s="843"/>
      <c r="Z280" s="843"/>
      <c r="AA280" s="843"/>
      <c r="AB280" s="204"/>
      <c r="AC280" s="204"/>
      <c r="AD280" s="1212"/>
      <c r="AE280" s="1212"/>
      <c r="AF280" s="1186"/>
      <c r="AG280" s="1186"/>
      <c r="AH280" s="1222"/>
      <c r="AI280" s="1222"/>
      <c r="AJ280" s="1222"/>
      <c r="AK280" s="1222"/>
      <c r="AL280" s="1222"/>
      <c r="AM280" s="1222"/>
      <c r="AN280" s="1222"/>
      <c r="AO280" s="1222"/>
      <c r="AP280" s="1222"/>
      <c r="AQ280" s="1222"/>
      <c r="AR280" s="1222"/>
      <c r="AS280" s="1222"/>
      <c r="AT280" s="1222"/>
      <c r="AU280" s="1120"/>
      <c r="AV280" s="445"/>
      <c r="AW280" s="607"/>
      <c r="AX280" s="607"/>
      <c r="AY280" s="607"/>
      <c r="AZ280" s="1209"/>
      <c r="BA280" s="1209"/>
    </row>
    <row r="281" spans="2:53" s="256" customFormat="1" ht="24.95" customHeight="1">
      <c r="B281" s="445"/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1123"/>
      <c r="O281" s="1119"/>
      <c r="P281" s="884"/>
      <c r="Q281" s="1122"/>
      <c r="R281" s="1124"/>
      <c r="S281" s="1124"/>
      <c r="T281" s="1124"/>
      <c r="U281" s="1124"/>
      <c r="V281" s="1124"/>
      <c r="W281" s="1124"/>
      <c r="X281" s="868"/>
      <c r="Y281" s="843"/>
      <c r="Z281" s="843"/>
      <c r="AA281" s="843"/>
      <c r="AB281" s="204"/>
      <c r="AC281" s="204"/>
      <c r="AD281" s="1212"/>
      <c r="AE281" s="1212"/>
      <c r="AF281" s="1186"/>
      <c r="AG281" s="1186"/>
      <c r="AH281" s="1222"/>
      <c r="AI281" s="1222"/>
      <c r="AJ281" s="1222"/>
      <c r="AK281" s="1222"/>
      <c r="AL281" s="1222"/>
      <c r="AM281" s="1222"/>
      <c r="AN281" s="1222"/>
      <c r="AO281" s="1222"/>
      <c r="AP281" s="1222"/>
      <c r="AQ281" s="1222"/>
      <c r="AR281" s="1222"/>
      <c r="AS281" s="1222"/>
      <c r="AT281" s="1222"/>
      <c r="AU281" s="1120"/>
      <c r="AV281" s="445"/>
      <c r="AW281" s="607"/>
      <c r="AX281" s="607"/>
      <c r="AY281" s="607"/>
      <c r="AZ281" s="1209"/>
      <c r="BA281" s="1209"/>
    </row>
    <row r="282" spans="2:53" s="256" customFormat="1" ht="24.95" customHeight="1">
      <c r="B282" s="445"/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1123"/>
      <c r="O282" s="1119"/>
      <c r="P282" s="884"/>
      <c r="Q282" s="1122"/>
      <c r="R282" s="1124"/>
      <c r="S282" s="1124"/>
      <c r="T282" s="1124"/>
      <c r="U282" s="1124"/>
      <c r="V282" s="1124"/>
      <c r="W282" s="1124"/>
      <c r="X282" s="868"/>
      <c r="Y282" s="843"/>
      <c r="Z282" s="843"/>
      <c r="AA282" s="843"/>
      <c r="AB282" s="204"/>
      <c r="AC282" s="204"/>
      <c r="AD282" s="1212"/>
      <c r="AE282" s="1212"/>
      <c r="AF282" s="1186"/>
      <c r="AG282" s="1186"/>
      <c r="AH282" s="1222"/>
      <c r="AI282" s="1222"/>
      <c r="AJ282" s="1222"/>
      <c r="AK282" s="1222"/>
      <c r="AL282" s="1222"/>
      <c r="AM282" s="1222"/>
      <c r="AN282" s="1222"/>
      <c r="AO282" s="1222"/>
      <c r="AP282" s="1222"/>
      <c r="AQ282" s="1222"/>
      <c r="AR282" s="1222"/>
      <c r="AS282" s="1222"/>
      <c r="AT282" s="1222"/>
      <c r="AU282" s="1120"/>
      <c r="AV282" s="445"/>
      <c r="AW282" s="607"/>
      <c r="AX282" s="607"/>
      <c r="AY282" s="607"/>
      <c r="AZ282" s="1209"/>
      <c r="BA282" s="1209"/>
    </row>
    <row r="283" spans="2:53" s="256" customFormat="1" ht="24.95" customHeight="1">
      <c r="B283" s="445"/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1123"/>
      <c r="O283" s="1119"/>
      <c r="P283" s="884"/>
      <c r="Q283" s="1122"/>
      <c r="R283" s="1124"/>
      <c r="S283" s="1124"/>
      <c r="T283" s="1124"/>
      <c r="U283" s="1124"/>
      <c r="V283" s="1124"/>
      <c r="W283" s="1124"/>
      <c r="X283" s="868"/>
      <c r="Y283" s="843"/>
      <c r="Z283" s="843"/>
      <c r="AA283" s="843"/>
      <c r="AB283" s="204"/>
      <c r="AC283" s="204"/>
      <c r="AD283" s="1212"/>
      <c r="AE283" s="1212"/>
      <c r="AF283" s="1186"/>
      <c r="AG283" s="1186"/>
      <c r="AH283" s="1222"/>
      <c r="AI283" s="1222"/>
      <c r="AJ283" s="1222"/>
      <c r="AK283" s="1222"/>
      <c r="AL283" s="1222"/>
      <c r="AM283" s="1222"/>
      <c r="AN283" s="1222"/>
      <c r="AO283" s="1222"/>
      <c r="AP283" s="1222"/>
      <c r="AQ283" s="1222"/>
      <c r="AR283" s="1222"/>
      <c r="AS283" s="1222"/>
      <c r="AT283" s="1222"/>
      <c r="AU283" s="1120"/>
      <c r="AV283" s="445"/>
      <c r="AW283" s="607"/>
      <c r="AX283" s="607"/>
      <c r="AY283" s="607"/>
      <c r="AZ283" s="1209"/>
      <c r="BA283" s="1209"/>
    </row>
    <row r="284" spans="2:53" s="256" customFormat="1" ht="24.95" customHeight="1">
      <c r="B284" s="445"/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1123"/>
      <c r="O284" s="1119"/>
      <c r="P284" s="884"/>
      <c r="Q284" s="1122"/>
      <c r="R284" s="1124"/>
      <c r="S284" s="1124"/>
      <c r="T284" s="1124"/>
      <c r="U284" s="1124"/>
      <c r="V284" s="1124"/>
      <c r="W284" s="1124"/>
      <c r="X284" s="868"/>
      <c r="Y284" s="843"/>
      <c r="Z284" s="843"/>
      <c r="AA284" s="843"/>
      <c r="AB284" s="204"/>
      <c r="AC284" s="204"/>
      <c r="AD284" s="1212"/>
      <c r="AE284" s="1212"/>
      <c r="AF284" s="1186"/>
      <c r="AG284" s="1186"/>
      <c r="AH284" s="1222"/>
      <c r="AI284" s="1222"/>
      <c r="AJ284" s="1222"/>
      <c r="AK284" s="1222"/>
      <c r="AL284" s="1222"/>
      <c r="AM284" s="1222"/>
      <c r="AN284" s="1222"/>
      <c r="AO284" s="1222"/>
      <c r="AP284" s="1222"/>
      <c r="AQ284" s="1222"/>
      <c r="AR284" s="1222"/>
      <c r="AS284" s="1222"/>
      <c r="AT284" s="1222"/>
      <c r="AU284" s="1120"/>
      <c r="AV284" s="445"/>
      <c r="AW284" s="607"/>
      <c r="AX284" s="607"/>
      <c r="AY284" s="607"/>
      <c r="AZ284" s="1209"/>
      <c r="BA284" s="1209"/>
    </row>
    <row r="285" spans="2:53" s="256" customFormat="1" ht="24.95" customHeight="1">
      <c r="B285" s="445"/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1123"/>
      <c r="O285" s="1119"/>
      <c r="P285" s="884"/>
      <c r="Q285" s="1122"/>
      <c r="R285" s="1124"/>
      <c r="S285" s="1124"/>
      <c r="T285" s="1124"/>
      <c r="U285" s="1124"/>
      <c r="V285" s="1124"/>
      <c r="W285" s="1124"/>
      <c r="X285" s="868"/>
      <c r="Y285" s="843"/>
      <c r="Z285" s="843"/>
      <c r="AA285" s="843"/>
      <c r="AB285" s="204"/>
      <c r="AC285" s="204"/>
      <c r="AD285" s="1212"/>
      <c r="AE285" s="1212"/>
      <c r="AF285" s="1186"/>
      <c r="AG285" s="1186"/>
      <c r="AH285" s="1222"/>
      <c r="AI285" s="1222"/>
      <c r="AJ285" s="1222"/>
      <c r="AK285" s="1222"/>
      <c r="AL285" s="1222"/>
      <c r="AM285" s="1222"/>
      <c r="AN285" s="1222"/>
      <c r="AO285" s="1222"/>
      <c r="AP285" s="1222"/>
      <c r="AQ285" s="1222"/>
      <c r="AR285" s="1222"/>
      <c r="AS285" s="1222"/>
      <c r="AT285" s="1222"/>
      <c r="AU285" s="1120"/>
      <c r="AV285" s="445"/>
      <c r="AW285" s="607"/>
      <c r="AX285" s="607"/>
      <c r="AY285" s="607"/>
      <c r="AZ285" s="1209"/>
      <c r="BA285" s="1209"/>
    </row>
    <row r="286" spans="2:53" s="256" customFormat="1" ht="24.95" customHeight="1">
      <c r="B286" s="445"/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1123"/>
      <c r="O286" s="1119"/>
      <c r="P286" s="884"/>
      <c r="Q286" s="1122"/>
      <c r="R286" s="1124"/>
      <c r="S286" s="1124"/>
      <c r="T286" s="1124"/>
      <c r="U286" s="1124"/>
      <c r="V286" s="1124"/>
      <c r="W286" s="1124"/>
      <c r="X286" s="868"/>
      <c r="Y286" s="843"/>
      <c r="Z286" s="843"/>
      <c r="AA286" s="843"/>
      <c r="AB286" s="204"/>
      <c r="AC286" s="204"/>
      <c r="AD286" s="1212"/>
      <c r="AE286" s="1212"/>
      <c r="AF286" s="1186"/>
      <c r="AG286" s="1186"/>
      <c r="AH286" s="1222"/>
      <c r="AI286" s="1222"/>
      <c r="AJ286" s="1222"/>
      <c r="AK286" s="1222"/>
      <c r="AL286" s="1222"/>
      <c r="AM286" s="1222"/>
      <c r="AN286" s="1222"/>
      <c r="AO286" s="1222"/>
      <c r="AP286" s="1222"/>
      <c r="AQ286" s="1222"/>
      <c r="AR286" s="1222"/>
      <c r="AS286" s="1222"/>
      <c r="AT286" s="1222"/>
      <c r="AU286" s="1120"/>
      <c r="AV286" s="445"/>
      <c r="AW286" s="607"/>
      <c r="AX286" s="607"/>
      <c r="AY286" s="607"/>
      <c r="AZ286" s="1209"/>
      <c r="BA286" s="1209"/>
    </row>
    <row r="287" spans="2:53" s="256" customFormat="1" ht="24.95" customHeight="1">
      <c r="B287" s="445"/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1123"/>
      <c r="O287" s="1119"/>
      <c r="P287" s="884"/>
      <c r="Q287" s="1122"/>
      <c r="R287" s="1124"/>
      <c r="S287" s="1124"/>
      <c r="T287" s="1124"/>
      <c r="U287" s="1124"/>
      <c r="V287" s="1124"/>
      <c r="W287" s="1124"/>
      <c r="X287" s="868"/>
      <c r="Y287" s="843"/>
      <c r="Z287" s="843"/>
      <c r="AA287" s="843"/>
      <c r="AB287" s="204"/>
      <c r="AC287" s="204"/>
      <c r="AD287" s="1212"/>
      <c r="AE287" s="1212"/>
      <c r="AF287" s="1186"/>
      <c r="AG287" s="1186"/>
      <c r="AH287" s="1222"/>
      <c r="AI287" s="1222"/>
      <c r="AJ287" s="1222"/>
      <c r="AK287" s="1222"/>
      <c r="AL287" s="1222"/>
      <c r="AM287" s="1222"/>
      <c r="AN287" s="1222"/>
      <c r="AO287" s="1222"/>
      <c r="AP287" s="1222"/>
      <c r="AQ287" s="1222"/>
      <c r="AR287" s="1222"/>
      <c r="AS287" s="1222"/>
      <c r="AT287" s="1222"/>
      <c r="AU287" s="1120"/>
      <c r="AV287" s="445"/>
      <c r="AW287" s="607"/>
      <c r="AX287" s="607"/>
      <c r="AY287" s="607"/>
      <c r="AZ287" s="1209"/>
      <c r="BA287" s="1209"/>
    </row>
    <row r="288" spans="2:53" s="256" customFormat="1" ht="24.95" customHeight="1">
      <c r="B288" s="445"/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1123"/>
      <c r="O288" s="1119"/>
      <c r="P288" s="884"/>
      <c r="Q288" s="1122"/>
      <c r="R288" s="1124"/>
      <c r="S288" s="1124"/>
      <c r="T288" s="1124"/>
      <c r="U288" s="1124"/>
      <c r="V288" s="1124"/>
      <c r="W288" s="1124"/>
      <c r="X288" s="868"/>
      <c r="Y288" s="843"/>
      <c r="Z288" s="843"/>
      <c r="AA288" s="843"/>
      <c r="AB288" s="204"/>
      <c r="AC288" s="204"/>
      <c r="AD288" s="1212"/>
      <c r="AE288" s="1212"/>
      <c r="AF288" s="1186"/>
      <c r="AG288" s="1186"/>
      <c r="AH288" s="1222"/>
      <c r="AI288" s="1222"/>
      <c r="AJ288" s="1222"/>
      <c r="AK288" s="1222"/>
      <c r="AL288" s="1222"/>
      <c r="AM288" s="1222"/>
      <c r="AN288" s="1222"/>
      <c r="AO288" s="1222"/>
      <c r="AP288" s="1222"/>
      <c r="AQ288" s="1222"/>
      <c r="AR288" s="1222"/>
      <c r="AS288" s="1222"/>
      <c r="AT288" s="1222"/>
      <c r="AU288" s="1120"/>
      <c r="AV288" s="445"/>
      <c r="AW288" s="607"/>
      <c r="AX288" s="607"/>
      <c r="AY288" s="607"/>
      <c r="AZ288" s="1209"/>
      <c r="BA288" s="1209"/>
    </row>
    <row r="289" spans="2:53" s="256" customFormat="1" ht="24.95" customHeight="1">
      <c r="B289" s="445"/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1123"/>
      <c r="O289" s="1119"/>
      <c r="P289" s="884"/>
      <c r="Q289" s="1122"/>
      <c r="R289" s="1124"/>
      <c r="S289" s="1124"/>
      <c r="T289" s="1124"/>
      <c r="U289" s="1124"/>
      <c r="V289" s="1124"/>
      <c r="W289" s="1124"/>
      <c r="X289" s="868"/>
      <c r="Y289" s="843"/>
      <c r="Z289" s="843"/>
      <c r="AA289" s="843"/>
      <c r="AB289" s="204"/>
      <c r="AC289" s="204"/>
      <c r="AD289" s="1212"/>
      <c r="AE289" s="1212"/>
      <c r="AF289" s="1186"/>
      <c r="AG289" s="1186"/>
      <c r="AH289" s="1222"/>
      <c r="AI289" s="1222"/>
      <c r="AJ289" s="1222"/>
      <c r="AK289" s="1222"/>
      <c r="AL289" s="1222"/>
      <c r="AM289" s="1222"/>
      <c r="AN289" s="1222"/>
      <c r="AO289" s="1222"/>
      <c r="AP289" s="1222"/>
      <c r="AQ289" s="1222"/>
      <c r="AR289" s="1222"/>
      <c r="AS289" s="1222"/>
      <c r="AT289" s="1222"/>
      <c r="AU289" s="1120"/>
      <c r="AV289" s="445"/>
      <c r="AW289" s="607"/>
      <c r="AX289" s="607"/>
      <c r="AY289" s="607"/>
      <c r="AZ289" s="1209"/>
      <c r="BA289" s="1209"/>
    </row>
    <row r="290" spans="2:53" s="256" customFormat="1" ht="24.95" customHeight="1">
      <c r="B290" s="445"/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1123"/>
      <c r="O290" s="1119"/>
      <c r="P290" s="884"/>
      <c r="Q290" s="1122"/>
      <c r="R290" s="1124"/>
      <c r="S290" s="1124"/>
      <c r="T290" s="1124"/>
      <c r="U290" s="1124"/>
      <c r="V290" s="1124"/>
      <c r="W290" s="1124"/>
      <c r="X290" s="868"/>
      <c r="Y290" s="843"/>
      <c r="Z290" s="843"/>
      <c r="AA290" s="843"/>
      <c r="AB290" s="204"/>
      <c r="AC290" s="204"/>
      <c r="AD290" s="1212"/>
      <c r="AE290" s="1212"/>
      <c r="AF290" s="1186"/>
      <c r="AG290" s="1186"/>
      <c r="AH290" s="1222"/>
      <c r="AI290" s="1222"/>
      <c r="AJ290" s="1222"/>
      <c r="AK290" s="1222"/>
      <c r="AL290" s="1222"/>
      <c r="AM290" s="1222"/>
      <c r="AN290" s="1222"/>
      <c r="AO290" s="1222"/>
      <c r="AP290" s="1222"/>
      <c r="AQ290" s="1222"/>
      <c r="AR290" s="1222"/>
      <c r="AS290" s="1222"/>
      <c r="AT290" s="1222"/>
      <c r="AU290" s="1120"/>
      <c r="AV290" s="445"/>
      <c r="AW290" s="607"/>
      <c r="AX290" s="607"/>
      <c r="AY290" s="607"/>
      <c r="AZ290" s="1209"/>
      <c r="BA290" s="1209"/>
    </row>
    <row r="291" spans="2:53" s="256" customFormat="1" ht="24.95" customHeight="1">
      <c r="B291" s="445"/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1123"/>
      <c r="O291" s="1119"/>
      <c r="P291" s="884"/>
      <c r="Q291" s="1122"/>
      <c r="R291" s="1124"/>
      <c r="S291" s="1124"/>
      <c r="T291" s="1124"/>
      <c r="U291" s="1124"/>
      <c r="V291" s="1124"/>
      <c r="W291" s="1124"/>
      <c r="X291" s="868"/>
      <c r="Y291" s="843"/>
      <c r="Z291" s="843"/>
      <c r="AA291" s="843"/>
      <c r="AB291" s="204"/>
      <c r="AC291" s="204"/>
      <c r="AD291" s="1212"/>
      <c r="AE291" s="1212"/>
      <c r="AF291" s="1186"/>
      <c r="AG291" s="1186"/>
      <c r="AH291" s="1222"/>
      <c r="AI291" s="1222"/>
      <c r="AJ291" s="1222"/>
      <c r="AK291" s="1222"/>
      <c r="AL291" s="1222"/>
      <c r="AM291" s="1222"/>
      <c r="AN291" s="1222"/>
      <c r="AO291" s="1222"/>
      <c r="AP291" s="1222"/>
      <c r="AQ291" s="1222"/>
      <c r="AR291" s="1222"/>
      <c r="AS291" s="1222"/>
      <c r="AT291" s="1222"/>
      <c r="AU291" s="1120"/>
      <c r="AV291" s="445"/>
      <c r="AW291" s="607"/>
      <c r="AX291" s="607"/>
      <c r="AY291" s="607"/>
      <c r="AZ291" s="1209"/>
      <c r="BA291" s="1209"/>
    </row>
    <row r="292" spans="2:53" s="256" customFormat="1" ht="24.95" customHeight="1">
      <c r="B292" s="445"/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1123"/>
      <c r="O292" s="1119"/>
      <c r="P292" s="884"/>
      <c r="Q292" s="1122"/>
      <c r="R292" s="1124"/>
      <c r="S292" s="1124"/>
      <c r="T292" s="1124"/>
      <c r="U292" s="1124"/>
      <c r="V292" s="1124"/>
      <c r="W292" s="1124"/>
      <c r="X292" s="868"/>
      <c r="Y292" s="843"/>
      <c r="Z292" s="843"/>
      <c r="AA292" s="843"/>
      <c r="AB292" s="204"/>
      <c r="AC292" s="204"/>
      <c r="AD292" s="1212"/>
      <c r="AE292" s="1212"/>
      <c r="AF292" s="1186"/>
      <c r="AG292" s="1186"/>
      <c r="AH292" s="1222"/>
      <c r="AI292" s="1222"/>
      <c r="AJ292" s="1222"/>
      <c r="AK292" s="1222"/>
      <c r="AL292" s="1222"/>
      <c r="AM292" s="1222"/>
      <c r="AN292" s="1222"/>
      <c r="AO292" s="1222"/>
      <c r="AP292" s="1222"/>
      <c r="AQ292" s="1222"/>
      <c r="AR292" s="1222"/>
      <c r="AS292" s="1222"/>
      <c r="AT292" s="1222"/>
      <c r="AU292" s="1120"/>
      <c r="AV292" s="445"/>
      <c r="AW292" s="607"/>
      <c r="AX292" s="607"/>
      <c r="AY292" s="607"/>
      <c r="AZ292" s="1209"/>
      <c r="BA292" s="1209"/>
    </row>
    <row r="293" spans="2:53" s="256" customFormat="1" ht="24.95" customHeight="1">
      <c r="B293" s="445"/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1123"/>
      <c r="O293" s="1119"/>
      <c r="P293" s="884"/>
      <c r="Q293" s="1122"/>
      <c r="R293" s="1124"/>
      <c r="S293" s="1124"/>
      <c r="T293" s="1124"/>
      <c r="U293" s="1124"/>
      <c r="V293" s="1124"/>
      <c r="W293" s="1124"/>
      <c r="X293" s="868"/>
      <c r="Y293" s="843"/>
      <c r="Z293" s="843"/>
      <c r="AA293" s="843"/>
      <c r="AB293" s="204"/>
      <c r="AC293" s="204"/>
      <c r="AD293" s="1212"/>
      <c r="AE293" s="1212"/>
      <c r="AF293" s="1186"/>
      <c r="AG293" s="1186"/>
      <c r="AH293" s="1222"/>
      <c r="AI293" s="1222"/>
      <c r="AJ293" s="1222"/>
      <c r="AK293" s="1222"/>
      <c r="AL293" s="1222"/>
      <c r="AM293" s="1222"/>
      <c r="AN293" s="1222"/>
      <c r="AO293" s="1222"/>
      <c r="AP293" s="1222"/>
      <c r="AQ293" s="1222"/>
      <c r="AR293" s="1222"/>
      <c r="AS293" s="1222"/>
      <c r="AT293" s="1222"/>
      <c r="AU293" s="1120"/>
      <c r="AV293" s="445"/>
      <c r="AW293" s="607"/>
      <c r="AX293" s="607"/>
      <c r="AY293" s="607"/>
      <c r="AZ293" s="1209"/>
      <c r="BA293" s="1209"/>
    </row>
    <row r="294" spans="2:53" s="256" customFormat="1" ht="24.95" customHeight="1">
      <c r="B294" s="445"/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1123"/>
      <c r="O294" s="1119"/>
      <c r="P294" s="884"/>
      <c r="Q294" s="1122"/>
      <c r="R294" s="1124"/>
      <c r="S294" s="1124"/>
      <c r="T294" s="1124"/>
      <c r="U294" s="1124"/>
      <c r="V294" s="1124"/>
      <c r="W294" s="1124"/>
      <c r="X294" s="868"/>
      <c r="Y294" s="843"/>
      <c r="Z294" s="843"/>
      <c r="AA294" s="843"/>
      <c r="AB294" s="204"/>
      <c r="AC294" s="204"/>
      <c r="AD294" s="1212"/>
      <c r="AE294" s="1212"/>
      <c r="AF294" s="1186"/>
      <c r="AG294" s="1186"/>
      <c r="AH294" s="1222"/>
      <c r="AI294" s="1222"/>
      <c r="AJ294" s="1222"/>
      <c r="AK294" s="1222"/>
      <c r="AL294" s="1222"/>
      <c r="AM294" s="1222"/>
      <c r="AN294" s="1222"/>
      <c r="AO294" s="1222"/>
      <c r="AP294" s="1222"/>
      <c r="AQ294" s="1222"/>
      <c r="AR294" s="1222"/>
      <c r="AS294" s="1222"/>
      <c r="AT294" s="1222"/>
      <c r="AU294" s="1120"/>
      <c r="AV294" s="445"/>
      <c r="AW294" s="607"/>
      <c r="AX294" s="607"/>
      <c r="AY294" s="607"/>
      <c r="AZ294" s="1209"/>
      <c r="BA294" s="1209"/>
    </row>
    <row r="295" spans="2:53" s="256" customFormat="1" ht="24.95" customHeight="1">
      <c r="B295" s="445"/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1123"/>
      <c r="O295" s="1119"/>
      <c r="P295" s="884"/>
      <c r="Q295" s="1122"/>
      <c r="R295" s="1124"/>
      <c r="S295" s="1124"/>
      <c r="T295" s="1124"/>
      <c r="U295" s="1124"/>
      <c r="V295" s="1124"/>
      <c r="W295" s="1124"/>
      <c r="X295" s="868"/>
      <c r="Y295" s="843"/>
      <c r="Z295" s="843"/>
      <c r="AA295" s="843"/>
      <c r="AB295" s="204"/>
      <c r="AC295" s="204"/>
      <c r="AD295" s="1212"/>
      <c r="AE295" s="1212"/>
      <c r="AF295" s="1186"/>
      <c r="AG295" s="1186"/>
      <c r="AH295" s="1222"/>
      <c r="AI295" s="1222"/>
      <c r="AJ295" s="1222"/>
      <c r="AK295" s="1222"/>
      <c r="AL295" s="1222"/>
      <c r="AM295" s="1222"/>
      <c r="AN295" s="1222"/>
      <c r="AO295" s="1222"/>
      <c r="AP295" s="1222"/>
      <c r="AQ295" s="1222"/>
      <c r="AR295" s="1222"/>
      <c r="AS295" s="1222"/>
      <c r="AT295" s="1222"/>
      <c r="AU295" s="1120"/>
      <c r="AV295" s="445"/>
      <c r="AW295" s="607"/>
      <c r="AX295" s="607"/>
      <c r="AY295" s="607"/>
      <c r="AZ295" s="1209"/>
      <c r="BA295" s="1209"/>
    </row>
    <row r="296" spans="2:53" s="256" customFormat="1" ht="24.95" customHeight="1">
      <c r="B296" s="445"/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1123"/>
      <c r="O296" s="1119"/>
      <c r="P296" s="884"/>
      <c r="Q296" s="1122"/>
      <c r="R296" s="1124"/>
      <c r="S296" s="1124"/>
      <c r="T296" s="1124"/>
      <c r="U296" s="1124"/>
      <c r="V296" s="1124"/>
      <c r="W296" s="1124"/>
      <c r="X296" s="868"/>
      <c r="Y296" s="843"/>
      <c r="Z296" s="843"/>
      <c r="AA296" s="843"/>
      <c r="AB296" s="204"/>
      <c r="AC296" s="204"/>
      <c r="AD296" s="1212"/>
      <c r="AE296" s="1212"/>
      <c r="AF296" s="1186"/>
      <c r="AG296" s="1186"/>
      <c r="AH296" s="1222"/>
      <c r="AI296" s="1222"/>
      <c r="AJ296" s="1222"/>
      <c r="AK296" s="1222"/>
      <c r="AL296" s="1222"/>
      <c r="AM296" s="1222"/>
      <c r="AN296" s="1222"/>
      <c r="AO296" s="1222"/>
      <c r="AP296" s="1222"/>
      <c r="AQ296" s="1222"/>
      <c r="AR296" s="1222"/>
      <c r="AS296" s="1222"/>
      <c r="AT296" s="1222"/>
      <c r="AU296" s="1120"/>
      <c r="AV296" s="445"/>
      <c r="AW296" s="607"/>
      <c r="AX296" s="607"/>
      <c r="AY296" s="607"/>
      <c r="AZ296" s="1209"/>
      <c r="BA296" s="1209"/>
    </row>
    <row r="297" spans="2:53" s="256" customFormat="1" ht="24.95" customHeight="1">
      <c r="B297" s="445"/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1123"/>
      <c r="O297" s="1119"/>
      <c r="P297" s="884"/>
      <c r="Q297" s="1122"/>
      <c r="R297" s="1124"/>
      <c r="S297" s="1124"/>
      <c r="T297" s="1124"/>
      <c r="U297" s="1124"/>
      <c r="V297" s="1124"/>
      <c r="W297" s="1124"/>
      <c r="X297" s="868"/>
      <c r="Y297" s="843"/>
      <c r="Z297" s="843"/>
      <c r="AA297" s="843"/>
      <c r="AB297" s="204"/>
      <c r="AC297" s="204"/>
      <c r="AD297" s="1212"/>
      <c r="AE297" s="1212"/>
      <c r="AF297" s="1186"/>
      <c r="AG297" s="1186"/>
      <c r="AH297" s="1222"/>
      <c r="AI297" s="1222"/>
      <c r="AJ297" s="1222"/>
      <c r="AK297" s="1222"/>
      <c r="AL297" s="1222"/>
      <c r="AM297" s="1222"/>
      <c r="AN297" s="1222"/>
      <c r="AO297" s="1222"/>
      <c r="AP297" s="1222"/>
      <c r="AQ297" s="1222"/>
      <c r="AR297" s="1222"/>
      <c r="AS297" s="1222"/>
      <c r="AT297" s="1222"/>
      <c r="AU297" s="1120"/>
      <c r="AV297" s="445"/>
      <c r="AW297" s="607"/>
      <c r="AX297" s="607"/>
      <c r="AY297" s="607"/>
      <c r="AZ297" s="1209"/>
      <c r="BA297" s="1209"/>
    </row>
    <row r="298" spans="2:53" s="256" customFormat="1" ht="24.95" customHeight="1">
      <c r="B298" s="445"/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1123"/>
      <c r="O298" s="1119"/>
      <c r="P298" s="884"/>
      <c r="Q298" s="1122"/>
      <c r="R298" s="1124"/>
      <c r="S298" s="1124"/>
      <c r="T298" s="1124"/>
      <c r="U298" s="1124"/>
      <c r="V298" s="1124"/>
      <c r="W298" s="1124"/>
      <c r="X298" s="868"/>
      <c r="Y298" s="843"/>
      <c r="Z298" s="843"/>
      <c r="AA298" s="843"/>
      <c r="AB298" s="204"/>
      <c r="AC298" s="204"/>
      <c r="AD298" s="1212"/>
      <c r="AE298" s="1212"/>
      <c r="AF298" s="1186"/>
      <c r="AG298" s="1186"/>
      <c r="AH298" s="1222"/>
      <c r="AI298" s="1222"/>
      <c r="AJ298" s="1222"/>
      <c r="AK298" s="1222"/>
      <c r="AL298" s="1222"/>
      <c r="AM298" s="1222"/>
      <c r="AN298" s="1222"/>
      <c r="AO298" s="1222"/>
      <c r="AP298" s="1222"/>
      <c r="AQ298" s="1222"/>
      <c r="AR298" s="1222"/>
      <c r="AS298" s="1222"/>
      <c r="AT298" s="1222"/>
      <c r="AU298" s="1120"/>
      <c r="AV298" s="445"/>
      <c r="AW298" s="607"/>
      <c r="AX298" s="607"/>
      <c r="AY298" s="607"/>
      <c r="AZ298" s="1209"/>
      <c r="BA298" s="1209"/>
    </row>
    <row r="299" spans="2:53" s="256" customFormat="1" ht="24.95" customHeight="1">
      <c r="B299" s="445"/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1123"/>
      <c r="O299" s="1119"/>
      <c r="P299" s="884"/>
      <c r="Q299" s="1122"/>
      <c r="R299" s="1124"/>
      <c r="S299" s="1124"/>
      <c r="T299" s="1124"/>
      <c r="U299" s="1124"/>
      <c r="V299" s="1124"/>
      <c r="W299" s="1124"/>
      <c r="X299" s="868"/>
      <c r="Y299" s="843"/>
      <c r="Z299" s="843"/>
      <c r="AA299" s="843"/>
      <c r="AB299" s="204"/>
      <c r="AC299" s="204"/>
      <c r="AD299" s="1212"/>
      <c r="AE299" s="1212"/>
      <c r="AF299" s="1186"/>
      <c r="AG299" s="1186"/>
      <c r="AH299" s="1222"/>
      <c r="AI299" s="1222"/>
      <c r="AJ299" s="1222"/>
      <c r="AK299" s="1222"/>
      <c r="AL299" s="1222"/>
      <c r="AM299" s="1222"/>
      <c r="AN299" s="1222"/>
      <c r="AO299" s="1222"/>
      <c r="AP299" s="1222"/>
      <c r="AQ299" s="1222"/>
      <c r="AR299" s="1222"/>
      <c r="AS299" s="1222"/>
      <c r="AT299" s="1222"/>
      <c r="AU299" s="1120"/>
      <c r="AV299" s="445"/>
      <c r="AW299" s="607"/>
      <c r="AX299" s="607"/>
      <c r="AY299" s="607"/>
      <c r="AZ299" s="1209"/>
      <c r="BA299" s="1209"/>
    </row>
    <row r="300" spans="2:53" s="256" customFormat="1" ht="24.95" customHeight="1">
      <c r="B300" s="445"/>
      <c r="C300" s="843"/>
      <c r="D300" s="843"/>
      <c r="E300" s="843"/>
      <c r="F300" s="1116"/>
      <c r="G300" s="1117"/>
      <c r="H300" s="872"/>
      <c r="I300" s="1123"/>
      <c r="J300" s="868"/>
      <c r="K300" s="868"/>
      <c r="L300" s="868"/>
      <c r="M300" s="868"/>
      <c r="N300" s="1123"/>
      <c r="O300" s="1119"/>
      <c r="P300" s="884"/>
      <c r="Q300" s="1122"/>
      <c r="R300" s="1124"/>
      <c r="S300" s="1124"/>
      <c r="T300" s="1124"/>
      <c r="U300" s="1124"/>
      <c r="V300" s="1124"/>
      <c r="W300" s="1124"/>
      <c r="X300" s="868"/>
      <c r="Y300" s="843"/>
      <c r="Z300" s="843"/>
      <c r="AA300" s="843"/>
      <c r="AB300" s="204"/>
      <c r="AC300" s="204"/>
      <c r="AD300" s="1212"/>
      <c r="AE300" s="1212"/>
      <c r="AF300" s="1186"/>
      <c r="AG300" s="1186"/>
      <c r="AH300" s="1222"/>
      <c r="AI300" s="1222"/>
      <c r="AJ300" s="1222"/>
      <c r="AK300" s="1222"/>
      <c r="AL300" s="1222"/>
      <c r="AM300" s="1222"/>
      <c r="AN300" s="1222"/>
      <c r="AO300" s="1222"/>
      <c r="AP300" s="1222"/>
      <c r="AQ300" s="1222"/>
      <c r="AR300" s="1222"/>
      <c r="AS300" s="1222"/>
      <c r="AT300" s="1222"/>
      <c r="AU300" s="1120"/>
      <c r="AV300" s="445"/>
      <c r="AW300" s="607"/>
      <c r="AX300" s="607"/>
      <c r="AY300" s="607"/>
      <c r="AZ300" s="1209"/>
      <c r="BA300" s="1209"/>
    </row>
    <row r="301" spans="2:53" s="256" customFormat="1" ht="24.95" customHeight="1">
      <c r="B301" s="445"/>
      <c r="C301" s="843"/>
      <c r="D301" s="843"/>
      <c r="E301" s="843"/>
      <c r="F301" s="1116"/>
      <c r="G301" s="1117"/>
      <c r="H301" s="872"/>
      <c r="I301" s="1123"/>
      <c r="J301" s="868"/>
      <c r="K301" s="868"/>
      <c r="L301" s="868"/>
      <c r="M301" s="868"/>
      <c r="N301" s="1123"/>
      <c r="O301" s="1119"/>
      <c r="P301" s="884"/>
      <c r="Q301" s="1122"/>
      <c r="R301" s="1124"/>
      <c r="S301" s="1124"/>
      <c r="T301" s="1124"/>
      <c r="U301" s="1124"/>
      <c r="V301" s="1124"/>
      <c r="W301" s="1124"/>
      <c r="X301" s="868"/>
      <c r="Y301" s="843"/>
      <c r="Z301" s="843"/>
      <c r="AA301" s="843"/>
      <c r="AB301" s="204"/>
      <c r="AC301" s="204"/>
      <c r="AD301" s="1212"/>
      <c r="AE301" s="1212"/>
      <c r="AF301" s="1186"/>
      <c r="AG301" s="1186"/>
      <c r="AH301" s="1222"/>
      <c r="AI301" s="1222"/>
      <c r="AJ301" s="1222"/>
      <c r="AK301" s="1222"/>
      <c r="AL301" s="1222"/>
      <c r="AM301" s="1222"/>
      <c r="AN301" s="1222"/>
      <c r="AO301" s="1222"/>
      <c r="AP301" s="1222"/>
      <c r="AQ301" s="1222"/>
      <c r="AR301" s="1222"/>
      <c r="AS301" s="1222"/>
      <c r="AT301" s="1222"/>
      <c r="AU301" s="1120"/>
      <c r="AV301" s="445"/>
      <c r="AW301" s="607"/>
      <c r="AX301" s="607"/>
      <c r="AY301" s="607"/>
      <c r="AZ301" s="1209"/>
      <c r="BA301" s="1209"/>
    </row>
    <row r="302" spans="2:53" s="256" customFormat="1" ht="24.95" customHeight="1">
      <c r="B302" s="445"/>
      <c r="C302" s="843"/>
      <c r="D302" s="843"/>
      <c r="E302" s="843"/>
      <c r="F302" s="1116"/>
      <c r="G302" s="1117"/>
      <c r="H302" s="872"/>
      <c r="I302" s="1123"/>
      <c r="J302" s="868"/>
      <c r="K302" s="868"/>
      <c r="L302" s="868"/>
      <c r="M302" s="868"/>
      <c r="N302" s="1123"/>
      <c r="O302" s="1119"/>
      <c r="P302" s="884"/>
      <c r="Q302" s="1122"/>
      <c r="R302" s="1124"/>
      <c r="S302" s="1124"/>
      <c r="T302" s="1124"/>
      <c r="U302" s="1124"/>
      <c r="V302" s="1124"/>
      <c r="W302" s="1124"/>
      <c r="X302" s="868"/>
      <c r="Y302" s="843"/>
      <c r="Z302" s="843"/>
      <c r="AA302" s="843"/>
      <c r="AB302" s="204"/>
      <c r="AC302" s="204"/>
      <c r="AD302" s="1212"/>
      <c r="AE302" s="1212"/>
      <c r="AF302" s="1186"/>
      <c r="AG302" s="1186"/>
      <c r="AH302" s="1222"/>
      <c r="AI302" s="1222"/>
      <c r="AJ302" s="1222"/>
      <c r="AK302" s="1222"/>
      <c r="AL302" s="1222"/>
      <c r="AM302" s="1222"/>
      <c r="AN302" s="1222"/>
      <c r="AO302" s="1222"/>
      <c r="AP302" s="1222"/>
      <c r="AQ302" s="1222"/>
      <c r="AR302" s="1222"/>
      <c r="AS302" s="1222"/>
      <c r="AT302" s="1222"/>
      <c r="AU302" s="1120"/>
      <c r="AV302" s="445"/>
      <c r="AW302" s="607"/>
      <c r="AX302" s="607"/>
      <c r="AY302" s="607"/>
      <c r="AZ302" s="1209"/>
      <c r="BA302" s="1209"/>
    </row>
    <row r="303" spans="2:53" s="256" customFormat="1" ht="24.95" customHeight="1">
      <c r="B303" s="445"/>
      <c r="C303" s="843"/>
      <c r="D303" s="843"/>
      <c r="E303" s="843"/>
      <c r="F303" s="1116"/>
      <c r="G303" s="1117"/>
      <c r="H303" s="872"/>
      <c r="I303" s="1123"/>
      <c r="J303" s="868"/>
      <c r="K303" s="868"/>
      <c r="L303" s="868"/>
      <c r="M303" s="868"/>
      <c r="N303" s="1123"/>
      <c r="O303" s="1119"/>
      <c r="P303" s="884"/>
      <c r="Q303" s="1122"/>
      <c r="R303" s="1124"/>
      <c r="S303" s="1124"/>
      <c r="T303" s="1124"/>
      <c r="U303" s="1124"/>
      <c r="V303" s="1124"/>
      <c r="W303" s="1124"/>
      <c r="X303" s="868"/>
      <c r="Y303" s="843"/>
      <c r="Z303" s="843"/>
      <c r="AA303" s="843"/>
      <c r="AB303" s="204"/>
      <c r="AC303" s="204"/>
      <c r="AD303" s="1212"/>
      <c r="AE303" s="1212"/>
      <c r="AF303" s="1186"/>
      <c r="AG303" s="1186"/>
      <c r="AH303" s="1222"/>
      <c r="AI303" s="1222"/>
      <c r="AJ303" s="1222"/>
      <c r="AK303" s="1222"/>
      <c r="AL303" s="1222"/>
      <c r="AM303" s="1222"/>
      <c r="AN303" s="1222"/>
      <c r="AO303" s="1222"/>
      <c r="AP303" s="1222"/>
      <c r="AQ303" s="1222"/>
      <c r="AR303" s="1222"/>
      <c r="AS303" s="1222"/>
      <c r="AT303" s="1222"/>
      <c r="AU303" s="1120"/>
      <c r="AV303" s="445"/>
      <c r="AW303" s="607"/>
      <c r="AX303" s="607"/>
      <c r="AY303" s="607"/>
      <c r="AZ303" s="1209"/>
      <c r="BA303" s="1209"/>
    </row>
    <row r="304" spans="2:53" s="256" customFormat="1" ht="24.95" customHeight="1">
      <c r="B304" s="445"/>
      <c r="C304" s="843"/>
      <c r="D304" s="843"/>
      <c r="E304" s="843"/>
      <c r="F304" s="1116"/>
      <c r="G304" s="1117"/>
      <c r="H304" s="872"/>
      <c r="I304" s="1123"/>
      <c r="J304" s="868"/>
      <c r="K304" s="868"/>
      <c r="L304" s="868"/>
      <c r="M304" s="868"/>
      <c r="N304" s="1123"/>
      <c r="O304" s="1119"/>
      <c r="P304" s="884"/>
      <c r="Q304" s="1122"/>
      <c r="R304" s="1124"/>
      <c r="S304" s="1124"/>
      <c r="T304" s="1124"/>
      <c r="U304" s="1124"/>
      <c r="V304" s="1124"/>
      <c r="W304" s="1124"/>
      <c r="X304" s="868"/>
      <c r="Y304" s="843"/>
      <c r="Z304" s="843"/>
      <c r="AA304" s="843"/>
      <c r="AB304" s="204"/>
      <c r="AC304" s="204"/>
      <c r="AD304" s="1212"/>
      <c r="AE304" s="1212"/>
      <c r="AF304" s="1186"/>
      <c r="AG304" s="1186"/>
      <c r="AH304" s="1222"/>
      <c r="AI304" s="1222"/>
      <c r="AJ304" s="1222"/>
      <c r="AK304" s="1222"/>
      <c r="AL304" s="1222"/>
      <c r="AM304" s="1222"/>
      <c r="AN304" s="1222"/>
      <c r="AO304" s="1222"/>
      <c r="AP304" s="1222"/>
      <c r="AQ304" s="1222"/>
      <c r="AR304" s="1222"/>
      <c r="AS304" s="1222"/>
      <c r="AT304" s="1222"/>
      <c r="AU304" s="1120"/>
      <c r="AV304" s="445"/>
      <c r="AW304" s="607"/>
      <c r="AX304" s="607"/>
      <c r="AY304" s="607"/>
      <c r="AZ304" s="1209"/>
      <c r="BA304" s="1209"/>
    </row>
    <row r="305" spans="2:53" s="256" customFormat="1" ht="24.95" customHeight="1">
      <c r="B305" s="445"/>
      <c r="C305" s="843"/>
      <c r="D305" s="843"/>
      <c r="E305" s="843"/>
      <c r="F305" s="1116"/>
      <c r="G305" s="1117"/>
      <c r="H305" s="872"/>
      <c r="I305" s="1123"/>
      <c r="J305" s="868"/>
      <c r="K305" s="868"/>
      <c r="L305" s="868"/>
      <c r="M305" s="868"/>
      <c r="N305" s="1123"/>
      <c r="O305" s="1119"/>
      <c r="P305" s="884"/>
      <c r="Q305" s="1122"/>
      <c r="R305" s="1124"/>
      <c r="S305" s="1124"/>
      <c r="T305" s="1124"/>
      <c r="U305" s="1124"/>
      <c r="V305" s="1124"/>
      <c r="W305" s="1124"/>
      <c r="X305" s="868"/>
      <c r="Y305" s="843"/>
      <c r="Z305" s="843"/>
      <c r="AA305" s="843"/>
      <c r="AB305" s="204"/>
      <c r="AC305" s="204"/>
      <c r="AD305" s="1212"/>
      <c r="AE305" s="1212"/>
      <c r="AF305" s="1186"/>
      <c r="AG305" s="1186"/>
      <c r="AH305" s="1222"/>
      <c r="AI305" s="1222"/>
      <c r="AJ305" s="1222"/>
      <c r="AK305" s="1222"/>
      <c r="AL305" s="1222"/>
      <c r="AM305" s="1222"/>
      <c r="AN305" s="1222"/>
      <c r="AO305" s="1222"/>
      <c r="AP305" s="1222"/>
      <c r="AQ305" s="1222"/>
      <c r="AR305" s="1222"/>
      <c r="AS305" s="1222"/>
      <c r="AT305" s="1222"/>
      <c r="AU305" s="1120"/>
      <c r="AV305" s="445"/>
      <c r="AW305" s="607"/>
      <c r="AX305" s="607"/>
      <c r="AY305" s="607"/>
      <c r="AZ305" s="1209"/>
      <c r="BA305" s="1209"/>
    </row>
    <row r="306" spans="2:53" s="256" customFormat="1" ht="24.95" customHeight="1">
      <c r="B306" s="445"/>
      <c r="C306" s="843"/>
      <c r="D306" s="843"/>
      <c r="E306" s="843"/>
      <c r="F306" s="1116"/>
      <c r="G306" s="1117"/>
      <c r="H306" s="872"/>
      <c r="I306" s="1123"/>
      <c r="J306" s="868"/>
      <c r="K306" s="868"/>
      <c r="L306" s="868"/>
      <c r="M306" s="868"/>
      <c r="N306" s="1123"/>
      <c r="O306" s="1119"/>
      <c r="P306" s="884"/>
      <c r="Q306" s="1122"/>
      <c r="R306" s="1124"/>
      <c r="S306" s="1124"/>
      <c r="T306" s="1124"/>
      <c r="U306" s="1124"/>
      <c r="V306" s="1124"/>
      <c r="W306" s="1124"/>
      <c r="X306" s="868"/>
      <c r="Y306" s="843"/>
      <c r="Z306" s="843"/>
      <c r="AA306" s="843"/>
      <c r="AB306" s="204"/>
      <c r="AC306" s="204"/>
      <c r="AD306" s="1212"/>
      <c r="AE306" s="1212"/>
      <c r="AF306" s="1186"/>
      <c r="AG306" s="1186"/>
      <c r="AH306" s="1222"/>
      <c r="AI306" s="1222"/>
      <c r="AJ306" s="1222"/>
      <c r="AK306" s="1222"/>
      <c r="AL306" s="1222"/>
      <c r="AM306" s="1222"/>
      <c r="AN306" s="1222"/>
      <c r="AO306" s="1222"/>
      <c r="AP306" s="1222"/>
      <c r="AQ306" s="1222"/>
      <c r="AR306" s="1222"/>
      <c r="AS306" s="1222"/>
      <c r="AT306" s="1222"/>
      <c r="AU306" s="1120"/>
      <c r="AV306" s="445"/>
      <c r="AW306" s="607"/>
      <c r="AX306" s="607"/>
      <c r="AY306" s="607"/>
      <c r="AZ306" s="1209"/>
      <c r="BA306" s="1209"/>
    </row>
    <row r="307" spans="2:53" s="256" customFormat="1" ht="24.95" customHeight="1">
      <c r="B307" s="445"/>
      <c r="C307" s="843"/>
      <c r="D307" s="843"/>
      <c r="E307" s="843"/>
      <c r="F307" s="1116"/>
      <c r="G307" s="1117"/>
      <c r="H307" s="872"/>
      <c r="I307" s="1123"/>
      <c r="J307" s="868"/>
      <c r="K307" s="868"/>
      <c r="L307" s="868"/>
      <c r="M307" s="868"/>
      <c r="N307" s="1123"/>
      <c r="O307" s="1119"/>
      <c r="P307" s="884"/>
      <c r="Q307" s="1122"/>
      <c r="R307" s="1124"/>
      <c r="S307" s="1124"/>
      <c r="T307" s="1124"/>
      <c r="U307" s="1124"/>
      <c r="V307" s="1124"/>
      <c r="W307" s="1124"/>
      <c r="X307" s="868"/>
      <c r="Y307" s="843"/>
      <c r="Z307" s="843"/>
      <c r="AA307" s="843"/>
      <c r="AB307" s="204"/>
      <c r="AC307" s="204"/>
      <c r="AD307" s="1212"/>
      <c r="AE307" s="1212"/>
      <c r="AF307" s="1186"/>
      <c r="AG307" s="1186"/>
      <c r="AH307" s="1222"/>
      <c r="AI307" s="1222"/>
      <c r="AJ307" s="1222"/>
      <c r="AK307" s="1222"/>
      <c r="AL307" s="1222"/>
      <c r="AM307" s="1222"/>
      <c r="AN307" s="1222"/>
      <c r="AO307" s="1222"/>
      <c r="AP307" s="1222"/>
      <c r="AQ307" s="1222"/>
      <c r="AR307" s="1222"/>
      <c r="AS307" s="1222"/>
      <c r="AT307" s="1222"/>
      <c r="AU307" s="1120"/>
      <c r="AV307" s="445"/>
      <c r="AW307" s="607"/>
      <c r="AX307" s="607"/>
      <c r="AY307" s="607"/>
      <c r="AZ307" s="1209"/>
      <c r="BA307" s="1209"/>
    </row>
    <row r="308" spans="2:53" s="256" customFormat="1" ht="24.95" customHeight="1">
      <c r="B308" s="445"/>
      <c r="C308" s="843"/>
      <c r="D308" s="843"/>
      <c r="E308" s="843"/>
      <c r="F308" s="1116"/>
      <c r="G308" s="1117"/>
      <c r="H308" s="872"/>
      <c r="I308" s="1123"/>
      <c r="J308" s="868"/>
      <c r="K308" s="868"/>
      <c r="L308" s="868"/>
      <c r="M308" s="868"/>
      <c r="N308" s="1123"/>
      <c r="O308" s="1119"/>
      <c r="P308" s="884"/>
      <c r="Q308" s="1122"/>
      <c r="R308" s="1124"/>
      <c r="S308" s="1124"/>
      <c r="T308" s="1124"/>
      <c r="U308" s="1124"/>
      <c r="V308" s="1124"/>
      <c r="W308" s="1124"/>
      <c r="X308" s="868"/>
      <c r="Y308" s="843"/>
      <c r="Z308" s="843"/>
      <c r="AA308" s="843"/>
      <c r="AB308" s="204"/>
      <c r="AC308" s="204"/>
      <c r="AD308" s="1212"/>
      <c r="AE308" s="1212"/>
      <c r="AF308" s="1186"/>
      <c r="AG308" s="1186"/>
      <c r="AH308" s="1222"/>
      <c r="AI308" s="1222"/>
      <c r="AJ308" s="1222"/>
      <c r="AK308" s="1222"/>
      <c r="AL308" s="1222"/>
      <c r="AM308" s="1222"/>
      <c r="AN308" s="1222"/>
      <c r="AO308" s="1222"/>
      <c r="AP308" s="1222"/>
      <c r="AQ308" s="1222"/>
      <c r="AR308" s="1222"/>
      <c r="AS308" s="1222"/>
      <c r="AT308" s="1222"/>
      <c r="AU308" s="1120"/>
      <c r="AV308" s="445"/>
      <c r="AW308" s="607"/>
      <c r="AX308" s="607"/>
      <c r="AY308" s="607"/>
      <c r="AZ308" s="1209"/>
      <c r="BA308" s="1209"/>
    </row>
    <row r="309" spans="2:53" s="256" customFormat="1" ht="24.95" customHeight="1">
      <c r="B309" s="445"/>
      <c r="C309" s="843"/>
      <c r="D309" s="843"/>
      <c r="E309" s="843"/>
      <c r="F309" s="1116"/>
      <c r="G309" s="1117"/>
      <c r="H309" s="872"/>
      <c r="I309" s="1123"/>
      <c r="J309" s="868"/>
      <c r="K309" s="868"/>
      <c r="L309" s="868"/>
      <c r="M309" s="868"/>
      <c r="N309" s="1123"/>
      <c r="O309" s="1119"/>
      <c r="P309" s="884"/>
      <c r="Q309" s="1122"/>
      <c r="R309" s="1124"/>
      <c r="S309" s="1124"/>
      <c r="T309" s="1124"/>
      <c r="U309" s="1124"/>
      <c r="V309" s="1124"/>
      <c r="W309" s="1124"/>
      <c r="X309" s="868"/>
      <c r="Y309" s="843"/>
      <c r="Z309" s="843"/>
      <c r="AA309" s="843"/>
      <c r="AB309" s="204"/>
      <c r="AC309" s="204"/>
      <c r="AD309" s="1212"/>
      <c r="AE309" s="1212"/>
      <c r="AF309" s="1186"/>
      <c r="AG309" s="1186"/>
      <c r="AH309" s="1222"/>
      <c r="AI309" s="1222"/>
      <c r="AJ309" s="1222"/>
      <c r="AK309" s="1222"/>
      <c r="AL309" s="1222"/>
      <c r="AM309" s="1222"/>
      <c r="AN309" s="1222"/>
      <c r="AO309" s="1222"/>
      <c r="AP309" s="1222"/>
      <c r="AQ309" s="1222"/>
      <c r="AR309" s="1222"/>
      <c r="AS309" s="1222"/>
      <c r="AT309" s="1222"/>
      <c r="AU309" s="1120"/>
      <c r="AV309" s="445"/>
      <c r="AW309" s="607"/>
      <c r="AX309" s="607"/>
      <c r="AY309" s="607"/>
      <c r="AZ309" s="1209"/>
      <c r="BA309" s="1209"/>
    </row>
    <row r="310" spans="2:53" s="256" customFormat="1" ht="24.95" customHeight="1">
      <c r="B310" s="445"/>
      <c r="C310" s="843"/>
      <c r="D310" s="843"/>
      <c r="E310" s="843"/>
      <c r="F310" s="1116"/>
      <c r="G310" s="1117"/>
      <c r="H310" s="872"/>
      <c r="I310" s="1123"/>
      <c r="J310" s="868"/>
      <c r="K310" s="868"/>
      <c r="L310" s="868"/>
      <c r="M310" s="868"/>
      <c r="N310" s="1123"/>
      <c r="O310" s="1119"/>
      <c r="P310" s="884"/>
      <c r="Q310" s="1122"/>
      <c r="R310" s="1124"/>
      <c r="S310" s="1124"/>
      <c r="T310" s="1124"/>
      <c r="U310" s="1124"/>
      <c r="V310" s="1124"/>
      <c r="W310" s="1124"/>
      <c r="X310" s="868"/>
      <c r="Y310" s="843"/>
      <c r="Z310" s="843"/>
      <c r="AA310" s="843"/>
      <c r="AB310" s="204"/>
      <c r="AC310" s="204"/>
      <c r="AD310" s="1212"/>
      <c r="AE310" s="1212"/>
      <c r="AF310" s="1186"/>
      <c r="AG310" s="1186"/>
      <c r="AH310" s="1222"/>
      <c r="AI310" s="1222"/>
      <c r="AJ310" s="1222"/>
      <c r="AK310" s="1222"/>
      <c r="AL310" s="1222"/>
      <c r="AM310" s="1222"/>
      <c r="AN310" s="1222"/>
      <c r="AO310" s="1222"/>
      <c r="AP310" s="1222"/>
      <c r="AQ310" s="1222"/>
      <c r="AR310" s="1222"/>
      <c r="AS310" s="1222"/>
      <c r="AT310" s="1222"/>
      <c r="AU310" s="1120"/>
      <c r="AV310" s="445"/>
      <c r="AW310" s="607"/>
      <c r="AX310" s="607"/>
      <c r="AY310" s="607"/>
      <c r="AZ310" s="1209"/>
      <c r="BA310" s="1209"/>
    </row>
    <row r="311" spans="2:53" s="256" customFormat="1" ht="24.95" customHeight="1">
      <c r="B311" s="445"/>
      <c r="C311" s="843"/>
      <c r="D311" s="843"/>
      <c r="E311" s="843"/>
      <c r="F311" s="1116"/>
      <c r="G311" s="1117"/>
      <c r="H311" s="872"/>
      <c r="I311" s="1123"/>
      <c r="J311" s="868"/>
      <c r="K311" s="868"/>
      <c r="L311" s="868"/>
      <c r="M311" s="868"/>
      <c r="N311" s="1123"/>
      <c r="O311" s="1119"/>
      <c r="P311" s="884"/>
      <c r="Q311" s="1122"/>
      <c r="R311" s="1124"/>
      <c r="S311" s="1124"/>
      <c r="T311" s="1124"/>
      <c r="U311" s="1124"/>
      <c r="V311" s="1124"/>
      <c r="W311" s="1124"/>
      <c r="X311" s="868"/>
      <c r="Y311" s="843"/>
      <c r="Z311" s="843"/>
      <c r="AA311" s="843"/>
      <c r="AB311" s="204"/>
      <c r="AC311" s="204"/>
      <c r="AD311" s="1212"/>
      <c r="AE311" s="1212"/>
      <c r="AF311" s="1186"/>
      <c r="AG311" s="1186"/>
      <c r="AH311" s="1222"/>
      <c r="AI311" s="1222"/>
      <c r="AJ311" s="1222"/>
      <c r="AK311" s="1222"/>
      <c r="AL311" s="1222"/>
      <c r="AM311" s="1222"/>
      <c r="AN311" s="1222"/>
      <c r="AO311" s="1222"/>
      <c r="AP311" s="1222"/>
      <c r="AQ311" s="1222"/>
      <c r="AR311" s="1222"/>
      <c r="AS311" s="1222"/>
      <c r="AT311" s="1222"/>
      <c r="AU311" s="1120"/>
      <c r="AV311" s="445"/>
      <c r="AW311" s="607"/>
      <c r="AX311" s="607"/>
      <c r="AY311" s="607"/>
      <c r="AZ311" s="1209"/>
      <c r="BA311" s="1209"/>
    </row>
    <row r="312" spans="2:53" s="256" customFormat="1" ht="24.95" customHeight="1">
      <c r="B312" s="445"/>
      <c r="C312" s="1223"/>
      <c r="D312" s="1223"/>
      <c r="E312" s="1223"/>
      <c r="F312" s="1224"/>
      <c r="G312" s="1225"/>
      <c r="H312" s="1226"/>
      <c r="I312" s="1227"/>
      <c r="J312" s="1228"/>
      <c r="K312" s="1228"/>
      <c r="L312" s="1228"/>
      <c r="M312" s="1228"/>
      <c r="N312" s="1227"/>
      <c r="O312" s="1229"/>
      <c r="P312" s="1230"/>
      <c r="Q312" s="1231"/>
      <c r="R312" s="1232"/>
      <c r="S312" s="1232"/>
      <c r="T312" s="1232"/>
      <c r="U312" s="1232"/>
      <c r="V312" s="1232"/>
      <c r="W312" s="1232"/>
      <c r="X312" s="1228"/>
      <c r="Y312" s="1223"/>
      <c r="Z312" s="1223"/>
      <c r="AA312" s="1223"/>
      <c r="AB312" s="204"/>
      <c r="AC312" s="204"/>
      <c r="AD312" s="1212"/>
      <c r="AE312" s="1212"/>
      <c r="AF312" s="1186"/>
      <c r="AG312" s="1186"/>
      <c r="AH312" s="1222"/>
      <c r="AI312" s="1222"/>
      <c r="AJ312" s="1222"/>
      <c r="AK312" s="1222"/>
      <c r="AL312" s="1222"/>
      <c r="AM312" s="1222"/>
      <c r="AN312" s="1222"/>
      <c r="AO312" s="1222"/>
      <c r="AP312" s="1222"/>
      <c r="AQ312" s="1222"/>
      <c r="AR312" s="1222"/>
      <c r="AS312" s="1222"/>
      <c r="AT312" s="1222"/>
      <c r="AU312" s="1120"/>
      <c r="AV312" s="445"/>
      <c r="AW312" s="607"/>
      <c r="AX312" s="607"/>
      <c r="AY312" s="607"/>
      <c r="AZ312" s="1209"/>
      <c r="BA312" s="1209"/>
    </row>
    <row r="313" spans="2:53" s="256" customFormat="1" ht="24.95" customHeight="1">
      <c r="B313" s="445"/>
      <c r="C313" s="204"/>
      <c r="D313" s="204"/>
      <c r="E313" s="204"/>
      <c r="F313" s="368"/>
      <c r="G313" s="1134"/>
      <c r="H313" s="401"/>
      <c r="I313" s="317"/>
      <c r="N313" s="317"/>
      <c r="O313" s="1135"/>
      <c r="P313" s="1136"/>
      <c r="Q313" s="1137"/>
      <c r="R313" s="1120"/>
      <c r="S313" s="1120"/>
      <c r="T313" s="1120"/>
      <c r="U313" s="1120"/>
      <c r="V313" s="1120"/>
      <c r="W313" s="1120"/>
      <c r="Z313" s="1145"/>
      <c r="AA313" s="1120"/>
      <c r="AB313" s="1120"/>
      <c r="AC313" s="1120"/>
      <c r="AD313" s="1212"/>
      <c r="AE313" s="1212"/>
      <c r="AF313" s="1186"/>
      <c r="AG313" s="1186"/>
      <c r="AH313" s="1222"/>
      <c r="AI313" s="1222"/>
      <c r="AJ313" s="1222"/>
      <c r="AK313" s="1222"/>
      <c r="AL313" s="1222"/>
      <c r="AM313" s="1222"/>
      <c r="AN313" s="1222"/>
      <c r="AO313" s="1222"/>
      <c r="AP313" s="1222"/>
      <c r="AQ313" s="1222"/>
      <c r="AR313" s="1222"/>
      <c r="AS313" s="1222"/>
      <c r="AT313" s="1222"/>
      <c r="AU313" s="1120"/>
      <c r="AV313" s="445"/>
      <c r="AW313" s="607"/>
      <c r="AX313" s="607"/>
      <c r="AY313" s="607"/>
      <c r="AZ313" s="1209"/>
      <c r="BA313" s="1209"/>
    </row>
    <row r="314" spans="2:53" s="256" customFormat="1" ht="24.95" customHeight="1">
      <c r="B314" s="445"/>
      <c r="C314" s="204"/>
      <c r="D314" s="204"/>
      <c r="E314" s="204"/>
      <c r="F314" s="368"/>
      <c r="G314" s="1134"/>
      <c r="H314" s="401"/>
      <c r="I314" s="317"/>
      <c r="N314" s="317"/>
      <c r="O314" s="1135"/>
      <c r="P314" s="1136"/>
      <c r="Q314" s="1137"/>
      <c r="R314" s="1120"/>
      <c r="S314" s="1120"/>
      <c r="T314" s="1120"/>
      <c r="U314" s="1120"/>
      <c r="V314" s="1120"/>
      <c r="W314" s="1120"/>
      <c r="Z314" s="1145"/>
      <c r="AA314" s="1120"/>
      <c r="AB314" s="1120"/>
      <c r="AC314" s="1120"/>
      <c r="AD314" s="1212"/>
      <c r="AE314" s="1212"/>
      <c r="AF314" s="1186"/>
      <c r="AG314" s="1186"/>
      <c r="AH314" s="1222"/>
      <c r="AI314" s="1222"/>
      <c r="AJ314" s="1222"/>
      <c r="AK314" s="1222"/>
      <c r="AL314" s="1222"/>
      <c r="AM314" s="1222"/>
      <c r="AN314" s="1222"/>
      <c r="AO314" s="1222"/>
      <c r="AP314" s="1222"/>
      <c r="AQ314" s="1222"/>
      <c r="AR314" s="1222"/>
      <c r="AS314" s="1222"/>
      <c r="AT314" s="1222"/>
      <c r="AU314" s="1120"/>
      <c r="AV314" s="445"/>
      <c r="AW314" s="607"/>
      <c r="AX314" s="607"/>
      <c r="AY314" s="607"/>
      <c r="AZ314" s="1209"/>
      <c r="BA314" s="1209"/>
    </row>
    <row r="315" spans="2:53" s="256" customFormat="1" ht="24.95" customHeight="1">
      <c r="B315" s="445"/>
      <c r="C315" s="204"/>
      <c r="D315" s="204"/>
      <c r="E315" s="204"/>
      <c r="F315" s="368"/>
      <c r="G315" s="1134"/>
      <c r="H315" s="401"/>
      <c r="I315" s="317"/>
      <c r="N315" s="317"/>
      <c r="O315" s="1135"/>
      <c r="P315" s="1136"/>
      <c r="Q315" s="1137"/>
      <c r="R315" s="1120"/>
      <c r="S315" s="1120"/>
      <c r="T315" s="1120"/>
      <c r="U315" s="1120"/>
      <c r="V315" s="1120"/>
      <c r="W315" s="1120"/>
      <c r="Z315" s="1145"/>
      <c r="AA315" s="1120"/>
      <c r="AB315" s="1120"/>
      <c r="AC315" s="1120"/>
      <c r="AD315" s="1212"/>
      <c r="AE315" s="1212"/>
      <c r="AF315" s="1186"/>
      <c r="AG315" s="1186"/>
      <c r="AH315" s="1222"/>
      <c r="AI315" s="1222"/>
      <c r="AJ315" s="1222"/>
      <c r="AK315" s="1222"/>
      <c r="AL315" s="1222"/>
      <c r="AM315" s="1222"/>
      <c r="AN315" s="1222"/>
      <c r="AO315" s="1222"/>
      <c r="AP315" s="1222"/>
      <c r="AQ315" s="1222"/>
      <c r="AR315" s="1222"/>
      <c r="AS315" s="1222"/>
      <c r="AT315" s="1222"/>
      <c r="AU315" s="1120"/>
      <c r="AV315" s="445"/>
      <c r="AW315" s="607"/>
      <c r="AX315" s="607"/>
      <c r="AY315" s="607"/>
      <c r="AZ315" s="1209"/>
      <c r="BA315" s="1209"/>
    </row>
    <row r="316" spans="2:53" s="256" customFormat="1" ht="24.95" customHeight="1">
      <c r="B316" s="445"/>
      <c r="C316" s="204"/>
      <c r="D316" s="204"/>
      <c r="E316" s="204"/>
      <c r="F316" s="368"/>
      <c r="G316" s="1134"/>
      <c r="H316" s="401"/>
      <c r="I316" s="317"/>
      <c r="N316" s="317"/>
      <c r="O316" s="1135"/>
      <c r="P316" s="1136"/>
      <c r="Q316" s="1137"/>
      <c r="R316" s="1120"/>
      <c r="S316" s="1120"/>
      <c r="T316" s="1120"/>
      <c r="U316" s="1120"/>
      <c r="V316" s="1120"/>
      <c r="W316" s="1120"/>
      <c r="Z316" s="1145"/>
      <c r="AA316" s="1120"/>
      <c r="AB316" s="1120"/>
      <c r="AC316" s="1120"/>
      <c r="AD316" s="1212"/>
      <c r="AE316" s="1212"/>
      <c r="AF316" s="1186"/>
      <c r="AG316" s="1186"/>
      <c r="AH316" s="1222"/>
      <c r="AI316" s="1222"/>
      <c r="AJ316" s="1222"/>
      <c r="AK316" s="1222"/>
      <c r="AL316" s="1222"/>
      <c r="AM316" s="1222"/>
      <c r="AN316" s="1222"/>
      <c r="AO316" s="1222"/>
      <c r="AP316" s="1222"/>
      <c r="AQ316" s="1222"/>
      <c r="AR316" s="1222"/>
      <c r="AS316" s="1222"/>
      <c r="AT316" s="1222"/>
      <c r="AU316" s="1120"/>
      <c r="AV316" s="445"/>
      <c r="AW316" s="607"/>
      <c r="AX316" s="607"/>
      <c r="AY316" s="607"/>
      <c r="AZ316" s="1209"/>
      <c r="BA316" s="1209"/>
    </row>
    <row r="317" spans="2:53" s="256" customFormat="1" ht="24.95" customHeight="1">
      <c r="B317" s="445"/>
      <c r="C317" s="204"/>
      <c r="D317" s="204"/>
      <c r="E317" s="204"/>
      <c r="F317" s="368"/>
      <c r="G317" s="1134"/>
      <c r="H317" s="401"/>
      <c r="I317" s="317"/>
      <c r="N317" s="317"/>
      <c r="O317" s="1135"/>
      <c r="P317" s="1136"/>
      <c r="Q317" s="1137"/>
      <c r="R317" s="1120"/>
      <c r="S317" s="1120"/>
      <c r="T317" s="1120"/>
      <c r="U317" s="1120"/>
      <c r="V317" s="1120"/>
      <c r="W317" s="1120"/>
      <c r="Z317" s="1145"/>
      <c r="AA317" s="1120"/>
      <c r="AB317" s="1120"/>
      <c r="AC317" s="1120"/>
      <c r="AD317" s="1212"/>
      <c r="AE317" s="1212"/>
      <c r="AF317" s="1186"/>
      <c r="AG317" s="1186"/>
      <c r="AH317" s="1222"/>
      <c r="AI317" s="1222"/>
      <c r="AJ317" s="1222"/>
      <c r="AK317" s="1222"/>
      <c r="AL317" s="1222"/>
      <c r="AM317" s="1222"/>
      <c r="AN317" s="1222"/>
      <c r="AO317" s="1222"/>
      <c r="AP317" s="1222"/>
      <c r="AQ317" s="1222"/>
      <c r="AR317" s="1222"/>
      <c r="AS317" s="1222"/>
      <c r="AT317" s="1222"/>
      <c r="AU317" s="1120"/>
      <c r="AV317" s="445"/>
      <c r="AW317" s="607"/>
      <c r="AX317" s="607"/>
      <c r="AY317" s="607"/>
      <c r="AZ317" s="1209"/>
      <c r="BA317" s="1209"/>
    </row>
    <row r="318" spans="2:53" s="256" customFormat="1" ht="24.95" customHeight="1">
      <c r="B318" s="445"/>
      <c r="C318" s="204"/>
      <c r="D318" s="204"/>
      <c r="E318" s="204"/>
      <c r="F318" s="368"/>
      <c r="G318" s="1134"/>
      <c r="H318" s="401"/>
      <c r="I318" s="317"/>
      <c r="N318" s="317"/>
      <c r="O318" s="1135"/>
      <c r="P318" s="1136"/>
      <c r="Q318" s="1137"/>
      <c r="R318" s="1120"/>
      <c r="S318" s="1120"/>
      <c r="T318" s="1120"/>
      <c r="U318" s="1120"/>
      <c r="V318" s="1120"/>
      <c r="W318" s="1120"/>
      <c r="Z318" s="1145"/>
      <c r="AA318" s="1120"/>
      <c r="AB318" s="1120"/>
      <c r="AC318" s="1120"/>
      <c r="AD318" s="1212"/>
      <c r="AE318" s="1212"/>
      <c r="AF318" s="1186"/>
      <c r="AG318" s="1186"/>
      <c r="AH318" s="1222"/>
      <c r="AI318" s="1222"/>
      <c r="AJ318" s="1222"/>
      <c r="AK318" s="1222"/>
      <c r="AL318" s="1222"/>
      <c r="AM318" s="1222"/>
      <c r="AN318" s="1222"/>
      <c r="AO318" s="1222"/>
      <c r="AP318" s="1222"/>
      <c r="AQ318" s="1222"/>
      <c r="AR318" s="1222"/>
      <c r="AS318" s="1222"/>
      <c r="AT318" s="1222"/>
      <c r="AU318" s="1120"/>
      <c r="AV318" s="445"/>
      <c r="AW318" s="607"/>
      <c r="AX318" s="607"/>
      <c r="AY318" s="607"/>
      <c r="AZ318" s="1209"/>
      <c r="BA318" s="1209"/>
    </row>
    <row r="319" spans="2:53" s="256" customFormat="1" ht="24.95" customHeight="1">
      <c r="B319" s="445"/>
      <c r="C319" s="204"/>
      <c r="D319" s="204"/>
      <c r="E319" s="204"/>
      <c r="F319" s="368"/>
      <c r="G319" s="1134"/>
      <c r="H319" s="401"/>
      <c r="I319" s="317"/>
      <c r="N319" s="317"/>
      <c r="O319" s="1135"/>
      <c r="P319" s="1136"/>
      <c r="Q319" s="1137"/>
      <c r="R319" s="1120"/>
      <c r="S319" s="1120"/>
      <c r="T319" s="1120"/>
      <c r="U319" s="1120"/>
      <c r="V319" s="1120"/>
      <c r="W319" s="1120"/>
      <c r="Z319" s="1145"/>
      <c r="AA319" s="1120"/>
      <c r="AB319" s="1120"/>
      <c r="AC319" s="1120"/>
      <c r="AD319" s="1212"/>
      <c r="AE319" s="1212"/>
      <c r="AF319" s="1186"/>
      <c r="AG319" s="1186"/>
      <c r="AH319" s="1222"/>
      <c r="AI319" s="1222"/>
      <c r="AJ319" s="1222"/>
      <c r="AK319" s="1222"/>
      <c r="AL319" s="1222"/>
      <c r="AM319" s="1222"/>
      <c r="AN319" s="1222"/>
      <c r="AO319" s="1222"/>
      <c r="AP319" s="1222"/>
      <c r="AQ319" s="1222"/>
      <c r="AR319" s="1222"/>
      <c r="AS319" s="1222"/>
      <c r="AT319" s="1222"/>
      <c r="AU319" s="1120"/>
      <c r="AV319" s="445"/>
      <c r="AW319" s="607"/>
      <c r="AX319" s="607"/>
      <c r="AY319" s="607"/>
      <c r="AZ319" s="1209"/>
      <c r="BA319" s="1209"/>
    </row>
    <row r="320" spans="2:53" s="256" customFormat="1" ht="24.95" customHeight="1">
      <c r="B320" s="445"/>
      <c r="C320" s="204"/>
      <c r="D320" s="204"/>
      <c r="E320" s="204"/>
      <c r="F320" s="368"/>
      <c r="G320" s="1134"/>
      <c r="H320" s="401"/>
      <c r="I320" s="317"/>
      <c r="N320" s="317"/>
      <c r="O320" s="1135"/>
      <c r="P320" s="1136"/>
      <c r="Q320" s="1137"/>
      <c r="R320" s="1120"/>
      <c r="S320" s="1120"/>
      <c r="T320" s="1120"/>
      <c r="U320" s="1120"/>
      <c r="V320" s="1120"/>
      <c r="W320" s="1120"/>
      <c r="Z320" s="1145"/>
      <c r="AA320" s="1120"/>
      <c r="AB320" s="1120"/>
      <c r="AC320" s="1120"/>
      <c r="AD320" s="1212"/>
      <c r="AE320" s="1212"/>
      <c r="AF320" s="1186"/>
      <c r="AG320" s="1186"/>
      <c r="AH320" s="1222"/>
      <c r="AI320" s="1222"/>
      <c r="AJ320" s="1222"/>
      <c r="AK320" s="1222"/>
      <c r="AL320" s="1222"/>
      <c r="AM320" s="1222"/>
      <c r="AN320" s="1222"/>
      <c r="AO320" s="1222"/>
      <c r="AP320" s="1222"/>
      <c r="AQ320" s="1222"/>
      <c r="AR320" s="1222"/>
      <c r="AS320" s="1222"/>
      <c r="AT320" s="1222"/>
      <c r="AU320" s="1120"/>
      <c r="AV320" s="445"/>
      <c r="AW320" s="607"/>
      <c r="AX320" s="607"/>
      <c r="AY320" s="607"/>
      <c r="AZ320" s="1209"/>
      <c r="BA320" s="1209"/>
    </row>
    <row r="321" spans="2:53" s="256" customFormat="1" ht="24.95" customHeight="1">
      <c r="B321" s="445"/>
      <c r="C321" s="204"/>
      <c r="D321" s="204"/>
      <c r="E321" s="204"/>
      <c r="F321" s="368"/>
      <c r="G321" s="1134"/>
      <c r="H321" s="401"/>
      <c r="I321" s="317"/>
      <c r="N321" s="317"/>
      <c r="O321" s="1135"/>
      <c r="P321" s="1136"/>
      <c r="Q321" s="1137"/>
      <c r="R321" s="1120"/>
      <c r="S321" s="1120"/>
      <c r="T321" s="1120"/>
      <c r="U321" s="1120"/>
      <c r="V321" s="1120"/>
      <c r="W321" s="1120"/>
      <c r="Z321" s="1145"/>
      <c r="AA321" s="1120"/>
      <c r="AB321" s="1120"/>
      <c r="AC321" s="1120"/>
      <c r="AD321" s="1212"/>
      <c r="AE321" s="1212"/>
      <c r="AF321" s="1186"/>
      <c r="AG321" s="1186"/>
      <c r="AH321" s="1222"/>
      <c r="AI321" s="1222"/>
      <c r="AJ321" s="1222"/>
      <c r="AK321" s="1222"/>
      <c r="AL321" s="1222"/>
      <c r="AM321" s="1222"/>
      <c r="AN321" s="1222"/>
      <c r="AO321" s="1222"/>
      <c r="AP321" s="1222"/>
      <c r="AQ321" s="1222"/>
      <c r="AR321" s="1222"/>
      <c r="AS321" s="1222"/>
      <c r="AT321" s="1222"/>
      <c r="AU321" s="1120"/>
      <c r="AV321" s="445"/>
      <c r="AW321" s="607"/>
      <c r="AX321" s="607"/>
      <c r="AY321" s="607"/>
      <c r="AZ321" s="1209"/>
      <c r="BA321" s="1209"/>
    </row>
    <row r="322" spans="2:53" s="256" customFormat="1" ht="24.95" customHeight="1">
      <c r="B322" s="445"/>
      <c r="C322" s="204"/>
      <c r="D322" s="204"/>
      <c r="E322" s="204"/>
      <c r="F322" s="368"/>
      <c r="G322" s="1134"/>
      <c r="H322" s="401"/>
      <c r="I322" s="317"/>
      <c r="N322" s="317"/>
      <c r="O322" s="1135"/>
      <c r="P322" s="1136"/>
      <c r="Q322" s="1137"/>
      <c r="R322" s="1120"/>
      <c r="S322" s="1120"/>
      <c r="T322" s="1120"/>
      <c r="U322" s="1120"/>
      <c r="V322" s="1120"/>
      <c r="W322" s="1120"/>
      <c r="Z322" s="1145"/>
      <c r="AA322" s="1120"/>
      <c r="AB322" s="1120"/>
      <c r="AC322" s="1120"/>
      <c r="AD322" s="1212"/>
      <c r="AE322" s="1212"/>
      <c r="AF322" s="1186"/>
      <c r="AG322" s="1186"/>
      <c r="AH322" s="1222"/>
      <c r="AI322" s="1222"/>
      <c r="AJ322" s="1222"/>
      <c r="AK322" s="1222"/>
      <c r="AL322" s="1222"/>
      <c r="AM322" s="1222"/>
      <c r="AN322" s="1222"/>
      <c r="AO322" s="1222"/>
      <c r="AP322" s="1222"/>
      <c r="AQ322" s="1222"/>
      <c r="AR322" s="1222"/>
      <c r="AS322" s="1222"/>
      <c r="AT322" s="1222"/>
      <c r="AU322" s="1120"/>
      <c r="AV322" s="445"/>
      <c r="AW322" s="607"/>
      <c r="AX322" s="607"/>
      <c r="AY322" s="607"/>
      <c r="AZ322" s="1209"/>
      <c r="BA322" s="1209"/>
    </row>
    <row r="323" spans="2:53" s="256" customFormat="1" ht="24.95" customHeight="1">
      <c r="B323" s="445"/>
      <c r="C323" s="204"/>
      <c r="D323" s="204"/>
      <c r="E323" s="204"/>
      <c r="F323" s="368"/>
      <c r="G323" s="1134"/>
      <c r="H323" s="401"/>
      <c r="I323" s="317"/>
      <c r="N323" s="317"/>
      <c r="O323" s="1135"/>
      <c r="P323" s="1136"/>
      <c r="Q323" s="1137"/>
      <c r="R323" s="1120"/>
      <c r="S323" s="1120"/>
      <c r="T323" s="1120"/>
      <c r="U323" s="1120"/>
      <c r="V323" s="1120"/>
      <c r="W323" s="1120"/>
      <c r="Z323" s="1145"/>
      <c r="AA323" s="1120"/>
      <c r="AB323" s="1120"/>
      <c r="AC323" s="1120"/>
      <c r="AD323" s="1212"/>
      <c r="AE323" s="1212"/>
      <c r="AF323" s="1186"/>
      <c r="AG323" s="1186"/>
      <c r="AH323" s="1222"/>
      <c r="AI323" s="1222"/>
      <c r="AJ323" s="1222"/>
      <c r="AK323" s="1222"/>
      <c r="AL323" s="1222"/>
      <c r="AM323" s="1222"/>
      <c r="AN323" s="1222"/>
      <c r="AO323" s="1222"/>
      <c r="AP323" s="1222"/>
      <c r="AQ323" s="1222"/>
      <c r="AR323" s="1222"/>
      <c r="AS323" s="1222"/>
      <c r="AT323" s="1222"/>
      <c r="AU323" s="1120"/>
      <c r="AV323" s="445"/>
      <c r="AW323" s="607"/>
      <c r="AX323" s="607"/>
      <c r="AY323" s="607"/>
      <c r="AZ323" s="1209"/>
      <c r="BA323" s="1209"/>
    </row>
    <row r="324" spans="2:53" s="256" customFormat="1" ht="24.95" customHeight="1">
      <c r="B324" s="445"/>
      <c r="C324" s="204"/>
      <c r="D324" s="204"/>
      <c r="E324" s="204"/>
      <c r="F324" s="368"/>
      <c r="G324" s="1134"/>
      <c r="H324" s="401"/>
      <c r="I324" s="317"/>
      <c r="N324" s="317"/>
      <c r="O324" s="1135"/>
      <c r="P324" s="1136"/>
      <c r="Q324" s="1137"/>
      <c r="R324" s="1120"/>
      <c r="S324" s="1120"/>
      <c r="T324" s="1120"/>
      <c r="U324" s="1120"/>
      <c r="V324" s="1120"/>
      <c r="W324" s="1120"/>
      <c r="Z324" s="1145"/>
      <c r="AA324" s="1120"/>
      <c r="AB324" s="1120"/>
      <c r="AC324" s="1120"/>
      <c r="AD324" s="1212"/>
      <c r="AE324" s="1212"/>
      <c r="AF324" s="1186"/>
      <c r="AG324" s="1186"/>
      <c r="AH324" s="1222"/>
      <c r="AI324" s="1222"/>
      <c r="AJ324" s="1222"/>
      <c r="AK324" s="1222"/>
      <c r="AL324" s="1222"/>
      <c r="AM324" s="1222"/>
      <c r="AN324" s="1222"/>
      <c r="AO324" s="1222"/>
      <c r="AP324" s="1222"/>
      <c r="AQ324" s="1222"/>
      <c r="AR324" s="1222"/>
      <c r="AS324" s="1222"/>
      <c r="AT324" s="1222"/>
      <c r="AU324" s="1120"/>
      <c r="AV324" s="445"/>
      <c r="AW324" s="607"/>
      <c r="AX324" s="607"/>
      <c r="AY324" s="607"/>
      <c r="AZ324" s="1209"/>
      <c r="BA324" s="1209"/>
    </row>
    <row r="325" spans="2:53" s="256" customFormat="1" ht="24.95" customHeight="1">
      <c r="B325" s="445"/>
      <c r="C325" s="204"/>
      <c r="D325" s="204"/>
      <c r="E325" s="204"/>
      <c r="F325" s="368"/>
      <c r="G325" s="1134"/>
      <c r="H325" s="401"/>
      <c r="I325" s="317"/>
      <c r="N325" s="317"/>
      <c r="O325" s="1135"/>
      <c r="P325" s="1136"/>
      <c r="Q325" s="1137"/>
      <c r="R325" s="1120"/>
      <c r="S325" s="1120"/>
      <c r="T325" s="1120"/>
      <c r="U325" s="1120"/>
      <c r="V325" s="1120"/>
      <c r="W325" s="1120"/>
      <c r="Z325" s="1145"/>
      <c r="AA325" s="1120"/>
      <c r="AB325" s="1120"/>
      <c r="AC325" s="1120"/>
      <c r="AD325" s="1212"/>
      <c r="AE325" s="1212"/>
      <c r="AF325" s="1186"/>
      <c r="AG325" s="1186"/>
      <c r="AH325" s="1222"/>
      <c r="AI325" s="1222"/>
      <c r="AJ325" s="1222"/>
      <c r="AK325" s="1222"/>
      <c r="AL325" s="1222"/>
      <c r="AM325" s="1222"/>
      <c r="AN325" s="1222"/>
      <c r="AO325" s="1222"/>
      <c r="AP325" s="1222"/>
      <c r="AQ325" s="1222"/>
      <c r="AR325" s="1222"/>
      <c r="AS325" s="1222"/>
      <c r="AT325" s="1222"/>
      <c r="AU325" s="1120"/>
      <c r="AV325" s="445"/>
      <c r="AW325" s="607"/>
      <c r="AX325" s="607"/>
      <c r="AY325" s="607"/>
      <c r="AZ325" s="1209"/>
      <c r="BA325" s="1209"/>
    </row>
    <row r="326" spans="2:53" s="256" customFormat="1" ht="24.95" customHeight="1">
      <c r="B326" s="445"/>
      <c r="C326" s="204"/>
      <c r="D326" s="204"/>
      <c r="E326" s="204"/>
      <c r="F326" s="368"/>
      <c r="G326" s="1134"/>
      <c r="H326" s="401"/>
      <c r="I326" s="317"/>
      <c r="N326" s="317"/>
      <c r="O326" s="1135"/>
      <c r="P326" s="1136"/>
      <c r="Q326" s="1137"/>
      <c r="R326" s="1120"/>
      <c r="S326" s="1120"/>
      <c r="T326" s="1120"/>
      <c r="U326" s="1120"/>
      <c r="V326" s="1120"/>
      <c r="W326" s="1120"/>
      <c r="Z326" s="1145"/>
      <c r="AA326" s="1120"/>
      <c r="AB326" s="1120"/>
      <c r="AC326" s="1120"/>
      <c r="AD326" s="1212"/>
      <c r="AE326" s="1212"/>
      <c r="AF326" s="1186"/>
      <c r="AG326" s="1186"/>
      <c r="AH326" s="1222"/>
      <c r="AI326" s="1222"/>
      <c r="AJ326" s="1222"/>
      <c r="AK326" s="1222"/>
      <c r="AL326" s="1222"/>
      <c r="AM326" s="1222"/>
      <c r="AN326" s="1222"/>
      <c r="AO326" s="1222"/>
      <c r="AP326" s="1222"/>
      <c r="AQ326" s="1222"/>
      <c r="AR326" s="1222"/>
      <c r="AS326" s="1222"/>
      <c r="AT326" s="1222"/>
      <c r="AU326" s="1120"/>
      <c r="AV326" s="445"/>
      <c r="AW326" s="607"/>
      <c r="AX326" s="607"/>
      <c r="AY326" s="607"/>
      <c r="AZ326" s="1209"/>
      <c r="BA326" s="1209"/>
    </row>
    <row r="327" spans="2:53" s="256" customFormat="1" ht="24.95" customHeight="1">
      <c r="B327" s="445"/>
      <c r="C327" s="204"/>
      <c r="D327" s="204"/>
      <c r="E327" s="204"/>
      <c r="F327" s="368"/>
      <c r="G327" s="1134"/>
      <c r="H327" s="401"/>
      <c r="I327" s="317"/>
      <c r="N327" s="317"/>
      <c r="O327" s="1135"/>
      <c r="P327" s="1136"/>
      <c r="Q327" s="1137"/>
      <c r="R327" s="1120"/>
      <c r="S327" s="1120"/>
      <c r="T327" s="1120"/>
      <c r="U327" s="1120"/>
      <c r="V327" s="1120"/>
      <c r="W327" s="1120"/>
      <c r="Z327" s="1145"/>
      <c r="AA327" s="1120"/>
      <c r="AB327" s="1120"/>
      <c r="AC327" s="1120"/>
      <c r="AD327" s="1212"/>
      <c r="AE327" s="1212"/>
      <c r="AF327" s="1186"/>
      <c r="AG327" s="1186"/>
      <c r="AH327" s="1222"/>
      <c r="AI327" s="1222"/>
      <c r="AJ327" s="1222"/>
      <c r="AK327" s="1222"/>
      <c r="AL327" s="1222"/>
      <c r="AM327" s="1222"/>
      <c r="AN327" s="1222"/>
      <c r="AO327" s="1222"/>
      <c r="AP327" s="1222"/>
      <c r="AQ327" s="1222"/>
      <c r="AR327" s="1222"/>
      <c r="AS327" s="1222"/>
      <c r="AT327" s="1222"/>
      <c r="AU327" s="1120"/>
      <c r="AV327" s="445"/>
      <c r="AW327" s="607"/>
      <c r="AX327" s="607"/>
      <c r="AY327" s="607"/>
      <c r="AZ327" s="1209"/>
      <c r="BA327" s="1209"/>
    </row>
    <row r="328" spans="2:53" s="256" customFormat="1" ht="24.95" customHeight="1">
      <c r="B328" s="445"/>
      <c r="C328" s="204"/>
      <c r="D328" s="204"/>
      <c r="E328" s="204"/>
      <c r="F328" s="368"/>
      <c r="G328" s="1134"/>
      <c r="H328" s="401"/>
      <c r="I328" s="317"/>
      <c r="N328" s="317"/>
      <c r="O328" s="1135"/>
      <c r="P328" s="1136"/>
      <c r="Q328" s="1137"/>
      <c r="R328" s="1120"/>
      <c r="S328" s="1120"/>
      <c r="T328" s="1120"/>
      <c r="U328" s="1120"/>
      <c r="V328" s="1120"/>
      <c r="W328" s="1120"/>
      <c r="Z328" s="1145"/>
      <c r="AA328" s="1120"/>
      <c r="AB328" s="1120"/>
      <c r="AC328" s="1120"/>
      <c r="AD328" s="1212"/>
      <c r="AE328" s="1212"/>
      <c r="AF328" s="1186"/>
      <c r="AG328" s="1186"/>
      <c r="AH328" s="1222"/>
      <c r="AI328" s="1222"/>
      <c r="AJ328" s="1222"/>
      <c r="AK328" s="1222"/>
      <c r="AL328" s="1222"/>
      <c r="AM328" s="1222"/>
      <c r="AN328" s="1222"/>
      <c r="AO328" s="1222"/>
      <c r="AP328" s="1222"/>
      <c r="AQ328" s="1222"/>
      <c r="AR328" s="1222"/>
      <c r="AS328" s="1222"/>
      <c r="AT328" s="1222"/>
      <c r="AU328" s="1120"/>
      <c r="AV328" s="445"/>
      <c r="AW328" s="607"/>
      <c r="AX328" s="607"/>
      <c r="AY328" s="607"/>
      <c r="AZ328" s="1209"/>
      <c r="BA328" s="1209"/>
    </row>
    <row r="329" spans="2:53" s="256" customFormat="1" ht="24.95" customHeight="1">
      <c r="B329" s="445"/>
      <c r="C329" s="204"/>
      <c r="D329" s="204"/>
      <c r="E329" s="204"/>
      <c r="F329" s="368"/>
      <c r="G329" s="1134"/>
      <c r="H329" s="401"/>
      <c r="I329" s="317"/>
      <c r="N329" s="317"/>
      <c r="O329" s="1135"/>
      <c r="P329" s="1136"/>
      <c r="Q329" s="1137"/>
      <c r="R329" s="1120"/>
      <c r="S329" s="1120"/>
      <c r="T329" s="1120"/>
      <c r="U329" s="1120"/>
      <c r="V329" s="1120"/>
      <c r="W329" s="1120"/>
      <c r="Z329" s="1145"/>
      <c r="AA329" s="1120"/>
      <c r="AB329" s="1120"/>
      <c r="AC329" s="1120"/>
      <c r="AD329" s="1212"/>
      <c r="AE329" s="1212"/>
      <c r="AF329" s="1186"/>
      <c r="AG329" s="1186"/>
      <c r="AH329" s="1222"/>
      <c r="AI329" s="1222"/>
      <c r="AJ329" s="1222"/>
      <c r="AK329" s="1222"/>
      <c r="AL329" s="1222"/>
      <c r="AM329" s="1222"/>
      <c r="AN329" s="1222"/>
      <c r="AO329" s="1222"/>
      <c r="AP329" s="1222"/>
      <c r="AQ329" s="1222"/>
      <c r="AR329" s="1222"/>
      <c r="AS329" s="1222"/>
      <c r="AT329" s="1222"/>
      <c r="AU329" s="1120"/>
      <c r="AV329" s="445"/>
      <c r="AW329" s="607"/>
      <c r="AX329" s="607"/>
      <c r="AY329" s="607"/>
      <c r="AZ329" s="1209"/>
      <c r="BA329" s="1209"/>
    </row>
    <row r="330" spans="2:53" s="256" customFormat="1" ht="24.95" customHeight="1">
      <c r="B330" s="445"/>
      <c r="C330" s="204"/>
      <c r="D330" s="204"/>
      <c r="E330" s="204"/>
      <c r="F330" s="368"/>
      <c r="G330" s="1134"/>
      <c r="H330" s="401"/>
      <c r="I330" s="317"/>
      <c r="N330" s="317"/>
      <c r="O330" s="1135"/>
      <c r="P330" s="1136"/>
      <c r="Q330" s="1137"/>
      <c r="R330" s="1120"/>
      <c r="S330" s="1120"/>
      <c r="T330" s="1120"/>
      <c r="U330" s="1120"/>
      <c r="V330" s="1120"/>
      <c r="W330" s="1120"/>
      <c r="Z330" s="1145"/>
      <c r="AA330" s="1120"/>
      <c r="AB330" s="1120"/>
      <c r="AC330" s="1120"/>
      <c r="AD330" s="1212"/>
      <c r="AE330" s="1212"/>
      <c r="AF330" s="1186"/>
      <c r="AG330" s="1186"/>
      <c r="AH330" s="1222"/>
      <c r="AI330" s="1222"/>
      <c r="AJ330" s="1222"/>
      <c r="AK330" s="1222"/>
      <c r="AL330" s="1222"/>
      <c r="AM330" s="1222"/>
      <c r="AN330" s="1222"/>
      <c r="AO330" s="1222"/>
      <c r="AP330" s="1222"/>
      <c r="AQ330" s="1222"/>
      <c r="AR330" s="1222"/>
      <c r="AS330" s="1222"/>
      <c r="AT330" s="1222"/>
      <c r="AU330" s="1120"/>
      <c r="AV330" s="445"/>
      <c r="AW330" s="607"/>
      <c r="AX330" s="607"/>
      <c r="AY330" s="607"/>
      <c r="AZ330" s="1209"/>
      <c r="BA330" s="1209"/>
    </row>
    <row r="331" spans="2:53" s="256" customFormat="1" ht="24.95" customHeight="1">
      <c r="B331" s="445"/>
      <c r="C331" s="204"/>
      <c r="D331" s="204"/>
      <c r="E331" s="204"/>
      <c r="F331" s="368"/>
      <c r="G331" s="1134"/>
      <c r="H331" s="401"/>
      <c r="I331" s="317"/>
      <c r="N331" s="317"/>
      <c r="O331" s="1135"/>
      <c r="P331" s="1136"/>
      <c r="Q331" s="1137"/>
      <c r="R331" s="1120"/>
      <c r="S331" s="1120"/>
      <c r="T331" s="1120"/>
      <c r="U331" s="1120"/>
      <c r="V331" s="1120"/>
      <c r="W331" s="1120"/>
      <c r="Z331" s="1145"/>
      <c r="AA331" s="1120"/>
      <c r="AB331" s="1120"/>
      <c r="AC331" s="1120"/>
      <c r="AD331" s="1212"/>
      <c r="AE331" s="1212"/>
      <c r="AF331" s="1186"/>
      <c r="AG331" s="1186"/>
      <c r="AH331" s="1222"/>
      <c r="AI331" s="1222"/>
      <c r="AJ331" s="1222"/>
      <c r="AK331" s="1222"/>
      <c r="AL331" s="1222"/>
      <c r="AM331" s="1222"/>
      <c r="AN331" s="1222"/>
      <c r="AO331" s="1222"/>
      <c r="AP331" s="1222"/>
      <c r="AQ331" s="1222"/>
      <c r="AR331" s="1222"/>
      <c r="AS331" s="1222"/>
      <c r="AT331" s="1222"/>
      <c r="AU331" s="1120"/>
      <c r="AV331" s="445"/>
      <c r="AW331" s="607"/>
      <c r="AX331" s="607"/>
      <c r="AY331" s="607"/>
      <c r="AZ331" s="1209"/>
      <c r="BA331" s="1209"/>
    </row>
    <row r="332" spans="2:53" s="256" customFormat="1" ht="24.95" customHeight="1">
      <c r="B332" s="445"/>
      <c r="C332" s="204"/>
      <c r="D332" s="204"/>
      <c r="E332" s="204"/>
      <c r="F332" s="368"/>
      <c r="G332" s="1134"/>
      <c r="H332" s="401"/>
      <c r="I332" s="317"/>
      <c r="N332" s="317"/>
      <c r="O332" s="1135"/>
      <c r="P332" s="1136"/>
      <c r="Q332" s="1137"/>
      <c r="R332" s="1120"/>
      <c r="S332" s="1120"/>
      <c r="T332" s="1120"/>
      <c r="U332" s="1120"/>
      <c r="V332" s="1120"/>
      <c r="W332" s="1120"/>
      <c r="Z332" s="1145"/>
      <c r="AA332" s="1120"/>
      <c r="AB332" s="1120"/>
      <c r="AC332" s="1120"/>
      <c r="AD332" s="1212"/>
      <c r="AE332" s="1212"/>
      <c r="AF332" s="1186"/>
      <c r="AG332" s="1186"/>
      <c r="AH332" s="1222"/>
      <c r="AI332" s="1222"/>
      <c r="AJ332" s="1222"/>
      <c r="AK332" s="1222"/>
      <c r="AL332" s="1222"/>
      <c r="AM332" s="1222"/>
      <c r="AN332" s="1222"/>
      <c r="AO332" s="1222"/>
      <c r="AP332" s="1222"/>
      <c r="AQ332" s="1222"/>
      <c r="AR332" s="1222"/>
      <c r="AS332" s="1222"/>
      <c r="AT332" s="1222"/>
      <c r="AU332" s="1120"/>
      <c r="AV332" s="445"/>
      <c r="AW332" s="607"/>
      <c r="AX332" s="607"/>
      <c r="AY332" s="607"/>
      <c r="AZ332" s="1209"/>
      <c r="BA332" s="1209"/>
    </row>
    <row r="333" spans="2:53" s="256" customFormat="1" ht="24.95" customHeight="1">
      <c r="B333" s="445"/>
      <c r="C333" s="204"/>
      <c r="D333" s="204"/>
      <c r="E333" s="204"/>
      <c r="F333" s="368"/>
      <c r="G333" s="1134"/>
      <c r="H333" s="401"/>
      <c r="I333" s="317"/>
      <c r="N333" s="317"/>
      <c r="O333" s="1135"/>
      <c r="P333" s="1136"/>
      <c r="Q333" s="1137"/>
      <c r="R333" s="1120"/>
      <c r="S333" s="1120"/>
      <c r="T333" s="1120"/>
      <c r="U333" s="1120"/>
      <c r="V333" s="1120"/>
      <c r="W333" s="1120"/>
      <c r="Z333" s="1145"/>
      <c r="AA333" s="1120"/>
      <c r="AB333" s="1120"/>
      <c r="AC333" s="1120"/>
      <c r="AD333" s="1212"/>
      <c r="AE333" s="1212"/>
      <c r="AF333" s="1186"/>
      <c r="AG333" s="1186"/>
      <c r="AH333" s="1222"/>
      <c r="AI333" s="1222"/>
      <c r="AJ333" s="1222"/>
      <c r="AK333" s="1222"/>
      <c r="AL333" s="1222"/>
      <c r="AM333" s="1222"/>
      <c r="AN333" s="1222"/>
      <c r="AO333" s="1222"/>
      <c r="AP333" s="1222"/>
      <c r="AQ333" s="1222"/>
      <c r="AR333" s="1222"/>
      <c r="AS333" s="1222"/>
      <c r="AT333" s="1222"/>
      <c r="AU333" s="1120"/>
      <c r="AV333" s="445"/>
      <c r="AW333" s="607"/>
      <c r="AX333" s="607"/>
      <c r="AY333" s="607"/>
      <c r="AZ333" s="1209"/>
      <c r="BA333" s="1209"/>
    </row>
    <row r="334" spans="2:53" s="256" customFormat="1" ht="24.95" customHeight="1">
      <c r="B334" s="445"/>
      <c r="C334" s="204"/>
      <c r="D334" s="204"/>
      <c r="E334" s="204"/>
      <c r="F334" s="368"/>
      <c r="G334" s="1134"/>
      <c r="H334" s="401"/>
      <c r="I334" s="317"/>
      <c r="N334" s="317"/>
      <c r="O334" s="1135"/>
      <c r="P334" s="1136"/>
      <c r="Q334" s="1137"/>
      <c r="R334" s="1120"/>
      <c r="S334" s="1120"/>
      <c r="T334" s="1120"/>
      <c r="U334" s="1120"/>
      <c r="V334" s="1120"/>
      <c r="W334" s="1120"/>
      <c r="Z334" s="1145"/>
      <c r="AA334" s="1120"/>
      <c r="AB334" s="1120"/>
      <c r="AC334" s="1120"/>
      <c r="AD334" s="1212"/>
      <c r="AE334" s="1212"/>
      <c r="AF334" s="1186"/>
      <c r="AG334" s="1186"/>
      <c r="AH334" s="1222"/>
      <c r="AI334" s="1222"/>
      <c r="AJ334" s="1222"/>
      <c r="AK334" s="1222"/>
      <c r="AL334" s="1222"/>
      <c r="AM334" s="1222"/>
      <c r="AN334" s="1222"/>
      <c r="AO334" s="1222"/>
      <c r="AP334" s="1222"/>
      <c r="AQ334" s="1222"/>
      <c r="AR334" s="1222"/>
      <c r="AS334" s="1222"/>
      <c r="AT334" s="1222"/>
      <c r="AU334" s="1120"/>
      <c r="AV334" s="445"/>
      <c r="AW334" s="607"/>
      <c r="AX334" s="607"/>
      <c r="AY334" s="607"/>
      <c r="AZ334" s="1209"/>
      <c r="BA334" s="1209"/>
    </row>
    <row r="335" spans="2:53" s="256" customFormat="1" ht="24.95" customHeight="1">
      <c r="B335" s="445"/>
      <c r="C335" s="204"/>
      <c r="D335" s="204"/>
      <c r="E335" s="204"/>
      <c r="F335" s="368"/>
      <c r="G335" s="1134"/>
      <c r="H335" s="401"/>
      <c r="I335" s="317"/>
      <c r="N335" s="317"/>
      <c r="O335" s="1135"/>
      <c r="P335" s="1136"/>
      <c r="Q335" s="1137"/>
      <c r="R335" s="1120"/>
      <c r="S335" s="1120"/>
      <c r="T335" s="1120"/>
      <c r="U335" s="1120"/>
      <c r="V335" s="1120"/>
      <c r="W335" s="1120"/>
      <c r="Z335" s="1145"/>
      <c r="AA335" s="1120"/>
      <c r="AB335" s="1120"/>
      <c r="AC335" s="1120"/>
      <c r="AD335" s="1212"/>
      <c r="AE335" s="1212"/>
      <c r="AF335" s="1186"/>
      <c r="AG335" s="1186"/>
      <c r="AH335" s="1222"/>
      <c r="AI335" s="1222"/>
      <c r="AJ335" s="1222"/>
      <c r="AK335" s="1222"/>
      <c r="AL335" s="1222"/>
      <c r="AM335" s="1222"/>
      <c r="AN335" s="1222"/>
      <c r="AO335" s="1222"/>
      <c r="AP335" s="1222"/>
      <c r="AQ335" s="1222"/>
      <c r="AR335" s="1222"/>
      <c r="AS335" s="1222"/>
      <c r="AT335" s="1222"/>
      <c r="AU335" s="1120"/>
      <c r="AV335" s="445"/>
      <c r="AW335" s="607"/>
      <c r="AX335" s="607"/>
      <c r="AY335" s="607"/>
      <c r="AZ335" s="1209"/>
      <c r="BA335" s="1209"/>
    </row>
    <row r="336" spans="2:53" s="256" customFormat="1" ht="24.95" customHeight="1">
      <c r="B336" s="445"/>
      <c r="C336" s="204"/>
      <c r="D336" s="204"/>
      <c r="E336" s="204"/>
      <c r="F336" s="368"/>
      <c r="G336" s="1134"/>
      <c r="H336" s="401"/>
      <c r="I336" s="317"/>
      <c r="N336" s="317"/>
      <c r="O336" s="1135"/>
      <c r="P336" s="1136"/>
      <c r="Q336" s="1137"/>
      <c r="R336" s="1120"/>
      <c r="S336" s="1120"/>
      <c r="T336" s="1120"/>
      <c r="U336" s="1120"/>
      <c r="V336" s="1120"/>
      <c r="W336" s="1120"/>
      <c r="Z336" s="1145"/>
      <c r="AA336" s="1120"/>
      <c r="AB336" s="1120"/>
      <c r="AC336" s="1120"/>
      <c r="AD336" s="1212"/>
      <c r="AE336" s="1212"/>
      <c r="AF336" s="1186"/>
      <c r="AG336" s="1186"/>
      <c r="AH336" s="1222"/>
      <c r="AI336" s="1222"/>
      <c r="AJ336" s="1222"/>
      <c r="AK336" s="1222"/>
      <c r="AL336" s="1222"/>
      <c r="AM336" s="1222"/>
      <c r="AN336" s="1222"/>
      <c r="AO336" s="1222"/>
      <c r="AP336" s="1222"/>
      <c r="AQ336" s="1222"/>
      <c r="AR336" s="1222"/>
      <c r="AS336" s="1222"/>
      <c r="AT336" s="1222"/>
      <c r="AU336" s="1120"/>
      <c r="AV336" s="445"/>
      <c r="AW336" s="607"/>
      <c r="AX336" s="607"/>
      <c r="AY336" s="607"/>
      <c r="AZ336" s="1209"/>
      <c r="BA336" s="1209"/>
    </row>
    <row r="337" spans="2:53" s="256" customFormat="1" ht="24.95" customHeight="1">
      <c r="B337" s="445"/>
      <c r="C337" s="204"/>
      <c r="D337" s="204"/>
      <c r="E337" s="204"/>
      <c r="F337" s="368"/>
      <c r="G337" s="1134"/>
      <c r="H337" s="401"/>
      <c r="I337" s="317"/>
      <c r="N337" s="317"/>
      <c r="O337" s="1135"/>
      <c r="P337" s="1136"/>
      <c r="Q337" s="1137"/>
      <c r="R337" s="1120"/>
      <c r="S337" s="1120"/>
      <c r="T337" s="1120"/>
      <c r="U337" s="1120"/>
      <c r="V337" s="1120"/>
      <c r="W337" s="1120"/>
      <c r="Z337" s="1145"/>
      <c r="AA337" s="1120"/>
      <c r="AB337" s="1120"/>
      <c r="AC337" s="1120"/>
      <c r="AD337" s="1212"/>
      <c r="AE337" s="1212"/>
      <c r="AF337" s="1186"/>
      <c r="AG337" s="1186"/>
      <c r="AH337" s="1222"/>
      <c r="AI337" s="1222"/>
      <c r="AJ337" s="1222"/>
      <c r="AK337" s="1222"/>
      <c r="AL337" s="1222"/>
      <c r="AM337" s="1222"/>
      <c r="AN337" s="1222"/>
      <c r="AO337" s="1222"/>
      <c r="AP337" s="1222"/>
      <c r="AQ337" s="1222"/>
      <c r="AR337" s="1222"/>
      <c r="AS337" s="1222"/>
      <c r="AT337" s="1222"/>
      <c r="AU337" s="1120"/>
      <c r="AV337" s="445"/>
      <c r="AW337" s="607"/>
      <c r="AX337" s="607"/>
      <c r="AY337" s="607"/>
      <c r="AZ337" s="1209"/>
      <c r="BA337" s="1209"/>
    </row>
    <row r="338" spans="2:53" s="256" customFormat="1" ht="24.95" customHeight="1">
      <c r="B338" s="445"/>
      <c r="C338" s="204"/>
      <c r="D338" s="204"/>
      <c r="E338" s="204"/>
      <c r="F338" s="368"/>
      <c r="G338" s="1134"/>
      <c r="H338" s="401"/>
      <c r="I338" s="317"/>
      <c r="N338" s="317"/>
      <c r="O338" s="1135"/>
      <c r="P338" s="1136"/>
      <c r="Q338" s="1137"/>
      <c r="R338" s="1120"/>
      <c r="S338" s="1120"/>
      <c r="T338" s="1120"/>
      <c r="U338" s="1120"/>
      <c r="V338" s="1120"/>
      <c r="W338" s="1120"/>
      <c r="Z338" s="1145"/>
      <c r="AA338" s="1120"/>
      <c r="AB338" s="1120"/>
      <c r="AC338" s="1120"/>
      <c r="AD338" s="1212"/>
      <c r="AE338" s="1212"/>
      <c r="AF338" s="1186"/>
      <c r="AG338" s="1186"/>
      <c r="AH338" s="1222"/>
      <c r="AI338" s="1222"/>
      <c r="AJ338" s="1222"/>
      <c r="AK338" s="1222"/>
      <c r="AL338" s="1222"/>
      <c r="AM338" s="1222"/>
      <c r="AN338" s="1222"/>
      <c r="AO338" s="1222"/>
      <c r="AP338" s="1222"/>
      <c r="AQ338" s="1222"/>
      <c r="AR338" s="1222"/>
      <c r="AS338" s="1222"/>
      <c r="AT338" s="1222"/>
      <c r="AU338" s="1120"/>
      <c r="AV338" s="445"/>
      <c r="AW338" s="607"/>
      <c r="AX338" s="607"/>
      <c r="AY338" s="607"/>
      <c r="AZ338" s="1209"/>
      <c r="BA338" s="1209"/>
    </row>
    <row r="339" spans="2:53" s="256" customFormat="1" ht="24.95" customHeight="1">
      <c r="B339" s="445"/>
      <c r="C339" s="204"/>
      <c r="D339" s="204"/>
      <c r="E339" s="204"/>
      <c r="F339" s="368"/>
      <c r="G339" s="1134"/>
      <c r="H339" s="401"/>
      <c r="I339" s="317"/>
      <c r="N339" s="317"/>
      <c r="O339" s="1135"/>
      <c r="P339" s="1136"/>
      <c r="Q339" s="1137"/>
      <c r="R339" s="1120"/>
      <c r="S339" s="1120"/>
      <c r="T339" s="1120"/>
      <c r="U339" s="1120"/>
      <c r="V339" s="1120"/>
      <c r="W339" s="1120"/>
      <c r="Z339" s="1145"/>
      <c r="AA339" s="1120"/>
      <c r="AB339" s="1120"/>
      <c r="AC339" s="1120"/>
      <c r="AD339" s="1212"/>
      <c r="AE339" s="1212"/>
      <c r="AF339" s="1186"/>
      <c r="AG339" s="1186"/>
      <c r="AH339" s="1222"/>
      <c r="AI339" s="1222"/>
      <c r="AJ339" s="1222"/>
      <c r="AK339" s="1222"/>
      <c r="AL339" s="1222"/>
      <c r="AM339" s="1222"/>
      <c r="AN339" s="1222"/>
      <c r="AO339" s="1222"/>
      <c r="AP339" s="1222"/>
      <c r="AQ339" s="1222"/>
      <c r="AR339" s="1222"/>
      <c r="AS339" s="1222"/>
      <c r="AT339" s="1222"/>
      <c r="AU339" s="1120"/>
      <c r="AV339" s="445"/>
      <c r="AW339" s="607"/>
      <c r="AX339" s="607"/>
      <c r="AY339" s="607"/>
      <c r="AZ339" s="1209"/>
      <c r="BA339" s="1209"/>
    </row>
    <row r="340" spans="2:53" s="256" customFormat="1" ht="24.95" customHeight="1">
      <c r="B340" s="445"/>
      <c r="C340" s="204"/>
      <c r="D340" s="204"/>
      <c r="E340" s="204"/>
      <c r="F340" s="368"/>
      <c r="G340" s="1134"/>
      <c r="H340" s="401"/>
      <c r="I340" s="317"/>
      <c r="N340" s="317"/>
      <c r="O340" s="1135"/>
      <c r="P340" s="1136"/>
      <c r="Q340" s="1137"/>
      <c r="R340" s="1120"/>
      <c r="S340" s="1120"/>
      <c r="T340" s="1120"/>
      <c r="U340" s="1120"/>
      <c r="V340" s="1120"/>
      <c r="W340" s="1120"/>
      <c r="Z340" s="1145"/>
      <c r="AA340" s="1120"/>
      <c r="AB340" s="1120"/>
      <c r="AC340" s="1120"/>
      <c r="AD340" s="1212"/>
      <c r="AE340" s="1212"/>
      <c r="AF340" s="1186"/>
      <c r="AG340" s="1186"/>
      <c r="AH340" s="1222"/>
      <c r="AI340" s="1222"/>
      <c r="AJ340" s="1222"/>
      <c r="AK340" s="1222"/>
      <c r="AL340" s="1222"/>
      <c r="AM340" s="1222"/>
      <c r="AN340" s="1222"/>
      <c r="AO340" s="1222"/>
      <c r="AP340" s="1222"/>
      <c r="AQ340" s="1222"/>
      <c r="AR340" s="1222"/>
      <c r="AS340" s="1222"/>
      <c r="AT340" s="1222"/>
      <c r="AU340" s="1120"/>
      <c r="AV340" s="445"/>
      <c r="AW340" s="607"/>
      <c r="AX340" s="607"/>
      <c r="AY340" s="607"/>
      <c r="AZ340" s="1209"/>
      <c r="BA340" s="1209"/>
    </row>
    <row r="341" spans="2:53" s="256" customFormat="1" ht="24.95" customHeight="1">
      <c r="B341" s="445"/>
      <c r="C341" s="204"/>
      <c r="D341" s="204"/>
      <c r="E341" s="204"/>
      <c r="F341" s="368"/>
      <c r="G341" s="1134"/>
      <c r="H341" s="401"/>
      <c r="I341" s="317"/>
      <c r="N341" s="317"/>
      <c r="O341" s="1135"/>
      <c r="P341" s="1136"/>
      <c r="Q341" s="1137"/>
      <c r="R341" s="1120"/>
      <c r="S341" s="1120"/>
      <c r="T341" s="1120"/>
      <c r="U341" s="1120"/>
      <c r="V341" s="1120"/>
      <c r="W341" s="1120"/>
      <c r="Z341" s="1145"/>
      <c r="AA341" s="1120"/>
      <c r="AB341" s="1120"/>
      <c r="AC341" s="1120"/>
      <c r="AD341" s="1212"/>
      <c r="AE341" s="1212"/>
      <c r="AF341" s="1186"/>
      <c r="AG341" s="1186"/>
      <c r="AH341" s="1222"/>
      <c r="AI341" s="1222"/>
      <c r="AJ341" s="1222"/>
      <c r="AK341" s="1222"/>
      <c r="AL341" s="1222"/>
      <c r="AM341" s="1222"/>
      <c r="AN341" s="1222"/>
      <c r="AO341" s="1222"/>
      <c r="AP341" s="1222"/>
      <c r="AQ341" s="1222"/>
      <c r="AR341" s="1222"/>
      <c r="AS341" s="1222"/>
      <c r="AT341" s="1222"/>
      <c r="AU341" s="1120"/>
      <c r="AV341" s="445"/>
      <c r="AW341" s="607"/>
      <c r="AX341" s="607"/>
      <c r="AY341" s="607"/>
      <c r="AZ341" s="1209"/>
      <c r="BA341" s="1209"/>
    </row>
    <row r="342" spans="2:53" s="256" customFormat="1" ht="24.95" customHeight="1">
      <c r="B342" s="445"/>
      <c r="C342" s="204"/>
      <c r="D342" s="204"/>
      <c r="E342" s="204"/>
      <c r="F342" s="368"/>
      <c r="G342" s="1134"/>
      <c r="H342" s="401"/>
      <c r="I342" s="317"/>
      <c r="N342" s="317"/>
      <c r="O342" s="1135"/>
      <c r="P342" s="1136"/>
      <c r="Q342" s="1137"/>
      <c r="R342" s="1120"/>
      <c r="S342" s="1120"/>
      <c r="T342" s="1120"/>
      <c r="U342" s="1120"/>
      <c r="V342" s="1120"/>
      <c r="W342" s="1120"/>
      <c r="Z342" s="1145"/>
      <c r="AA342" s="1120"/>
      <c r="AB342" s="1120"/>
      <c r="AC342" s="1120"/>
      <c r="AD342" s="1212"/>
      <c r="AE342" s="1212"/>
      <c r="AF342" s="1186"/>
      <c r="AG342" s="1186"/>
      <c r="AH342" s="1222"/>
      <c r="AI342" s="1222"/>
      <c r="AJ342" s="1222"/>
      <c r="AK342" s="1222"/>
      <c r="AL342" s="1222"/>
      <c r="AM342" s="1222"/>
      <c r="AN342" s="1222"/>
      <c r="AO342" s="1222"/>
      <c r="AP342" s="1222"/>
      <c r="AQ342" s="1222"/>
      <c r="AR342" s="1222"/>
      <c r="AS342" s="1222"/>
      <c r="AT342" s="1222"/>
      <c r="AU342" s="1120"/>
      <c r="AV342" s="445"/>
      <c r="AW342" s="607"/>
      <c r="AX342" s="607"/>
      <c r="AY342" s="607"/>
      <c r="AZ342" s="1209"/>
      <c r="BA342" s="1209"/>
    </row>
    <row r="343" spans="2:53" s="256" customFormat="1" ht="24.95" customHeight="1">
      <c r="B343" s="445"/>
      <c r="C343" s="204"/>
      <c r="D343" s="204"/>
      <c r="E343" s="204"/>
      <c r="F343" s="368"/>
      <c r="G343" s="1134"/>
      <c r="H343" s="401"/>
      <c r="I343" s="317"/>
      <c r="N343" s="317"/>
      <c r="O343" s="1135"/>
      <c r="P343" s="1136"/>
      <c r="Q343" s="1137"/>
      <c r="R343" s="1120"/>
      <c r="S343" s="1120"/>
      <c r="T343" s="1120"/>
      <c r="U343" s="1120"/>
      <c r="V343" s="1120"/>
      <c r="W343" s="1120"/>
      <c r="Z343" s="1145"/>
      <c r="AA343" s="1120"/>
      <c r="AB343" s="1120"/>
      <c r="AC343" s="1120"/>
      <c r="AD343" s="1212"/>
      <c r="AE343" s="1212"/>
      <c r="AF343" s="1186"/>
      <c r="AG343" s="1186"/>
      <c r="AH343" s="1222"/>
      <c r="AI343" s="1222"/>
      <c r="AJ343" s="1222"/>
      <c r="AK343" s="1222"/>
      <c r="AL343" s="1222"/>
      <c r="AM343" s="1222"/>
      <c r="AN343" s="1222"/>
      <c r="AO343" s="1222"/>
      <c r="AP343" s="1222"/>
      <c r="AQ343" s="1222"/>
      <c r="AR343" s="1222"/>
      <c r="AS343" s="1222"/>
      <c r="AT343" s="1222"/>
      <c r="AU343" s="1120"/>
      <c r="AV343" s="445"/>
      <c r="AW343" s="607"/>
      <c r="AX343" s="607"/>
      <c r="AY343" s="607"/>
      <c r="AZ343" s="1209"/>
      <c r="BA343" s="1209"/>
    </row>
    <row r="344" spans="2:53" s="256" customFormat="1" ht="24.95" customHeight="1">
      <c r="B344" s="445"/>
      <c r="C344" s="204"/>
      <c r="D344" s="204"/>
      <c r="E344" s="204"/>
      <c r="F344" s="368"/>
      <c r="G344" s="1134"/>
      <c r="H344" s="401"/>
      <c r="I344" s="317"/>
      <c r="N344" s="317"/>
      <c r="O344" s="1135"/>
      <c r="P344" s="1136"/>
      <c r="Q344" s="1137"/>
      <c r="R344" s="1120"/>
      <c r="S344" s="1120"/>
      <c r="T344" s="1120"/>
      <c r="U344" s="1120"/>
      <c r="V344" s="1120"/>
      <c r="W344" s="1120"/>
      <c r="Z344" s="1145"/>
      <c r="AA344" s="1120"/>
      <c r="AB344" s="1120"/>
      <c r="AC344" s="1120"/>
      <c r="AD344" s="1212"/>
      <c r="AE344" s="1212"/>
      <c r="AF344" s="1186"/>
      <c r="AG344" s="1186"/>
      <c r="AH344" s="1222"/>
      <c r="AI344" s="1222"/>
      <c r="AJ344" s="1222"/>
      <c r="AK344" s="1222"/>
      <c r="AL344" s="1222"/>
      <c r="AM344" s="1222"/>
      <c r="AN344" s="1222"/>
      <c r="AO344" s="1222"/>
      <c r="AP344" s="1222"/>
      <c r="AQ344" s="1222"/>
      <c r="AR344" s="1222"/>
      <c r="AS344" s="1222"/>
      <c r="AT344" s="1222"/>
      <c r="AU344" s="1120"/>
      <c r="AV344" s="445"/>
      <c r="AW344" s="607"/>
      <c r="AX344" s="607"/>
      <c r="AY344" s="607"/>
      <c r="AZ344" s="1209"/>
      <c r="BA344" s="1209"/>
    </row>
    <row r="345" spans="2:53" s="256" customFormat="1" ht="24.95" customHeight="1">
      <c r="B345" s="445"/>
      <c r="C345" s="204"/>
      <c r="D345" s="204"/>
      <c r="E345" s="204"/>
      <c r="F345" s="368"/>
      <c r="G345" s="1134"/>
      <c r="H345" s="401"/>
      <c r="I345" s="317"/>
      <c r="N345" s="317"/>
      <c r="O345" s="1135"/>
      <c r="P345" s="1136"/>
      <c r="Q345" s="1137"/>
      <c r="R345" s="1120"/>
      <c r="S345" s="1120"/>
      <c r="T345" s="1120"/>
      <c r="U345" s="1120"/>
      <c r="V345" s="1120"/>
      <c r="W345" s="1120"/>
      <c r="Z345" s="1145"/>
      <c r="AA345" s="1120"/>
      <c r="AB345" s="1120"/>
      <c r="AC345" s="1120"/>
      <c r="AD345" s="1212"/>
      <c r="AE345" s="1212"/>
      <c r="AF345" s="1186"/>
      <c r="AG345" s="1186"/>
      <c r="AH345" s="1222"/>
      <c r="AI345" s="1222"/>
      <c r="AJ345" s="1222"/>
      <c r="AK345" s="1222"/>
      <c r="AL345" s="1222"/>
      <c r="AM345" s="1222"/>
      <c r="AN345" s="1222"/>
      <c r="AO345" s="1222"/>
      <c r="AP345" s="1222"/>
      <c r="AQ345" s="1222"/>
      <c r="AR345" s="1222"/>
      <c r="AS345" s="1222"/>
      <c r="AT345" s="1222"/>
      <c r="AU345" s="1120"/>
      <c r="AV345" s="445"/>
      <c r="AW345" s="607"/>
      <c r="AX345" s="607"/>
      <c r="AY345" s="607"/>
      <c r="AZ345" s="1209"/>
      <c r="BA345" s="1209"/>
    </row>
    <row r="346" spans="2:53" s="256" customFormat="1" ht="24.95" customHeight="1">
      <c r="B346" s="445"/>
      <c r="C346" s="204"/>
      <c r="D346" s="204"/>
      <c r="E346" s="204"/>
      <c r="F346" s="368"/>
      <c r="G346" s="1134"/>
      <c r="H346" s="401"/>
      <c r="I346" s="317"/>
      <c r="N346" s="317"/>
      <c r="O346" s="1135"/>
      <c r="P346" s="1136"/>
      <c r="Q346" s="1137"/>
      <c r="R346" s="1120"/>
      <c r="S346" s="1120"/>
      <c r="T346" s="1120"/>
      <c r="U346" s="1120"/>
      <c r="V346" s="1120"/>
      <c r="W346" s="1120"/>
      <c r="Z346" s="1145"/>
      <c r="AA346" s="1120"/>
      <c r="AB346" s="1120"/>
      <c r="AC346" s="1120"/>
      <c r="AD346" s="1212"/>
      <c r="AE346" s="1212"/>
      <c r="AF346" s="1186"/>
      <c r="AG346" s="1186"/>
      <c r="AH346" s="1222"/>
      <c r="AI346" s="1222"/>
      <c r="AJ346" s="1222"/>
      <c r="AK346" s="1222"/>
      <c r="AL346" s="1222"/>
      <c r="AM346" s="1222"/>
      <c r="AN346" s="1222"/>
      <c r="AO346" s="1222"/>
      <c r="AP346" s="1222"/>
      <c r="AQ346" s="1222"/>
      <c r="AR346" s="1222"/>
      <c r="AS346" s="1222"/>
      <c r="AT346" s="1222"/>
      <c r="AU346" s="1120"/>
      <c r="AV346" s="445"/>
      <c r="AW346" s="607"/>
      <c r="AX346" s="607"/>
      <c r="AY346" s="607"/>
      <c r="AZ346" s="1209"/>
      <c r="BA346" s="1209"/>
    </row>
    <row r="347" spans="2:53" s="256" customFormat="1" ht="24.95" customHeight="1">
      <c r="B347" s="445"/>
      <c r="C347" s="204"/>
      <c r="D347" s="204"/>
      <c r="E347" s="204"/>
      <c r="F347" s="368"/>
      <c r="G347" s="1134"/>
      <c r="H347" s="401"/>
      <c r="I347" s="317"/>
      <c r="N347" s="317"/>
      <c r="O347" s="1135"/>
      <c r="P347" s="1136"/>
      <c r="Q347" s="1137"/>
      <c r="R347" s="1120"/>
      <c r="S347" s="1120"/>
      <c r="T347" s="1120"/>
      <c r="U347" s="1120"/>
      <c r="V347" s="1120"/>
      <c r="W347" s="1120"/>
      <c r="Z347" s="1145"/>
      <c r="AA347" s="1120"/>
      <c r="AB347" s="1120"/>
      <c r="AC347" s="1120"/>
      <c r="AD347" s="1212"/>
      <c r="AE347" s="1212"/>
      <c r="AF347" s="1186"/>
      <c r="AG347" s="1186"/>
      <c r="AH347" s="1222"/>
      <c r="AI347" s="1222"/>
      <c r="AJ347" s="1222"/>
      <c r="AK347" s="1222"/>
      <c r="AL347" s="1222"/>
      <c r="AM347" s="1222"/>
      <c r="AN347" s="1222"/>
      <c r="AO347" s="1222"/>
      <c r="AP347" s="1222"/>
      <c r="AQ347" s="1222"/>
      <c r="AR347" s="1222"/>
      <c r="AS347" s="1222"/>
      <c r="AT347" s="1222"/>
      <c r="AU347" s="1120"/>
      <c r="AV347" s="445"/>
      <c r="AW347" s="607"/>
      <c r="AX347" s="607"/>
      <c r="AY347" s="607"/>
      <c r="AZ347" s="1209"/>
      <c r="BA347" s="1209"/>
    </row>
    <row r="348" spans="2:53" s="256" customFormat="1" ht="24.95" customHeight="1">
      <c r="B348" s="445"/>
      <c r="C348" s="204"/>
      <c r="D348" s="204"/>
      <c r="E348" s="204"/>
      <c r="F348" s="368"/>
      <c r="G348" s="1134"/>
      <c r="H348" s="401"/>
      <c r="I348" s="317"/>
      <c r="N348" s="317"/>
      <c r="O348" s="1135"/>
      <c r="P348" s="1136"/>
      <c r="Q348" s="1137"/>
      <c r="R348" s="1120"/>
      <c r="S348" s="1120"/>
      <c r="T348" s="1120"/>
      <c r="U348" s="1120"/>
      <c r="V348" s="1120"/>
      <c r="W348" s="1120"/>
      <c r="Z348" s="1145"/>
      <c r="AA348" s="1120"/>
      <c r="AB348" s="1120"/>
      <c r="AC348" s="1120"/>
      <c r="AD348" s="1212"/>
      <c r="AE348" s="1212"/>
      <c r="AF348" s="1186"/>
      <c r="AG348" s="1186"/>
      <c r="AH348" s="1222"/>
      <c r="AI348" s="1222"/>
      <c r="AJ348" s="1222"/>
      <c r="AK348" s="1222"/>
      <c r="AL348" s="1222"/>
      <c r="AM348" s="1222"/>
      <c r="AN348" s="1222"/>
      <c r="AO348" s="1222"/>
      <c r="AP348" s="1222"/>
      <c r="AQ348" s="1222"/>
      <c r="AR348" s="1222"/>
      <c r="AS348" s="1222"/>
      <c r="AT348" s="1222"/>
      <c r="AU348" s="1120"/>
      <c r="AV348" s="445"/>
      <c r="AW348" s="607"/>
      <c r="AX348" s="607"/>
      <c r="AY348" s="607"/>
      <c r="AZ348" s="1209"/>
      <c r="BA348" s="1209"/>
    </row>
    <row r="349" spans="2:53" s="256" customFormat="1" ht="24.95" customHeight="1">
      <c r="B349" s="445"/>
      <c r="C349" s="204"/>
      <c r="D349" s="204"/>
      <c r="E349" s="204"/>
      <c r="F349" s="368"/>
      <c r="G349" s="1134"/>
      <c r="H349" s="401"/>
      <c r="I349" s="317"/>
      <c r="N349" s="317"/>
      <c r="O349" s="1135"/>
      <c r="P349" s="1136"/>
      <c r="Q349" s="1137"/>
      <c r="R349" s="1120"/>
      <c r="S349" s="1120"/>
      <c r="T349" s="1120"/>
      <c r="U349" s="1120"/>
      <c r="V349" s="1120"/>
      <c r="W349" s="1120"/>
      <c r="Z349" s="1145"/>
      <c r="AA349" s="1120"/>
      <c r="AB349" s="1120"/>
      <c r="AC349" s="1120"/>
      <c r="AD349" s="1212"/>
      <c r="AE349" s="1212"/>
      <c r="AF349" s="1186"/>
      <c r="AG349" s="1186"/>
      <c r="AH349" s="1222"/>
      <c r="AI349" s="1222"/>
      <c r="AJ349" s="1222"/>
      <c r="AK349" s="1222"/>
      <c r="AL349" s="1222"/>
      <c r="AM349" s="1222"/>
      <c r="AN349" s="1222"/>
      <c r="AO349" s="1222"/>
      <c r="AP349" s="1222"/>
      <c r="AQ349" s="1222"/>
      <c r="AR349" s="1222"/>
      <c r="AS349" s="1222"/>
      <c r="AT349" s="1222"/>
      <c r="AU349" s="1120"/>
      <c r="AV349" s="445"/>
      <c r="AW349" s="607"/>
      <c r="AX349" s="607"/>
      <c r="AY349" s="607"/>
      <c r="AZ349" s="1209"/>
      <c r="BA349" s="1209"/>
    </row>
    <row r="350" spans="2:53" s="256" customFormat="1" ht="24.95" customHeight="1">
      <c r="B350" s="445"/>
      <c r="C350" s="204"/>
      <c r="D350" s="204"/>
      <c r="E350" s="204"/>
      <c r="F350" s="368"/>
      <c r="G350" s="1134"/>
      <c r="H350" s="401"/>
      <c r="I350" s="317"/>
      <c r="N350" s="317"/>
      <c r="O350" s="1135"/>
      <c r="P350" s="1136"/>
      <c r="Q350" s="1137"/>
      <c r="R350" s="1120"/>
      <c r="S350" s="1120"/>
      <c r="T350" s="1120"/>
      <c r="U350" s="1120"/>
      <c r="V350" s="1120"/>
      <c r="W350" s="1120"/>
      <c r="Z350" s="1145"/>
      <c r="AA350" s="1120"/>
      <c r="AB350" s="1120"/>
      <c r="AC350" s="1120"/>
      <c r="AD350" s="1212"/>
      <c r="AE350" s="1212"/>
      <c r="AF350" s="1186"/>
      <c r="AG350" s="1186"/>
      <c r="AH350" s="1222"/>
      <c r="AI350" s="1222"/>
      <c r="AJ350" s="1222"/>
      <c r="AK350" s="1222"/>
      <c r="AL350" s="1222"/>
      <c r="AM350" s="1222"/>
      <c r="AN350" s="1222"/>
      <c r="AO350" s="1222"/>
      <c r="AP350" s="1222"/>
      <c r="AQ350" s="1222"/>
      <c r="AR350" s="1222"/>
      <c r="AS350" s="1222"/>
      <c r="AT350" s="1222"/>
      <c r="AU350" s="1120"/>
      <c r="AV350" s="445"/>
      <c r="AW350" s="607"/>
      <c r="AX350" s="607"/>
      <c r="AY350" s="607"/>
      <c r="AZ350" s="1209"/>
      <c r="BA350" s="1209"/>
    </row>
    <row r="351" spans="2:53" s="256" customFormat="1" ht="24.95" customHeight="1">
      <c r="B351" s="445"/>
      <c r="C351" s="204"/>
      <c r="D351" s="204"/>
      <c r="E351" s="204"/>
      <c r="F351" s="368"/>
      <c r="G351" s="1134"/>
      <c r="H351" s="401"/>
      <c r="I351" s="317"/>
      <c r="N351" s="317"/>
      <c r="O351" s="1135"/>
      <c r="P351" s="1136"/>
      <c r="Q351" s="1137"/>
      <c r="R351" s="1120"/>
      <c r="S351" s="1120"/>
      <c r="T351" s="1120"/>
      <c r="U351" s="1120"/>
      <c r="V351" s="1120"/>
      <c r="W351" s="1120"/>
      <c r="Z351" s="1145"/>
      <c r="AA351" s="1120"/>
      <c r="AB351" s="1120"/>
      <c r="AC351" s="1120"/>
      <c r="AD351" s="1212"/>
      <c r="AE351" s="1212"/>
      <c r="AF351" s="1186"/>
      <c r="AG351" s="1186"/>
      <c r="AH351" s="1222"/>
      <c r="AI351" s="1222"/>
      <c r="AJ351" s="1222"/>
      <c r="AK351" s="1222"/>
      <c r="AL351" s="1222"/>
      <c r="AM351" s="1222"/>
      <c r="AN351" s="1222"/>
      <c r="AO351" s="1222"/>
      <c r="AP351" s="1222"/>
      <c r="AQ351" s="1222"/>
      <c r="AR351" s="1222"/>
      <c r="AS351" s="1222"/>
      <c r="AT351" s="1222"/>
      <c r="AU351" s="1120"/>
      <c r="AV351" s="445"/>
      <c r="AW351" s="607"/>
      <c r="AX351" s="607"/>
      <c r="AY351" s="607"/>
      <c r="AZ351" s="1209"/>
      <c r="BA351" s="1209"/>
    </row>
    <row r="352" spans="2:53" s="256" customFormat="1" ht="24.95" customHeight="1">
      <c r="B352" s="445"/>
      <c r="C352" s="204"/>
      <c r="D352" s="204"/>
      <c r="E352" s="204"/>
      <c r="F352" s="368"/>
      <c r="G352" s="1134"/>
      <c r="H352" s="401"/>
      <c r="I352" s="317"/>
      <c r="N352" s="317"/>
      <c r="O352" s="1135"/>
      <c r="P352" s="1136"/>
      <c r="Q352" s="1137"/>
      <c r="R352" s="1120"/>
      <c r="S352" s="1120"/>
      <c r="T352" s="1120"/>
      <c r="U352" s="1120"/>
      <c r="V352" s="1120"/>
      <c r="W352" s="1120"/>
      <c r="Z352" s="1145"/>
      <c r="AA352" s="1120"/>
      <c r="AB352" s="1120"/>
      <c r="AC352" s="1120"/>
      <c r="AD352" s="1212"/>
      <c r="AE352" s="1212"/>
      <c r="AF352" s="1186"/>
      <c r="AG352" s="1186"/>
      <c r="AH352" s="1222"/>
      <c r="AI352" s="1222"/>
      <c r="AJ352" s="1222"/>
      <c r="AK352" s="1222"/>
      <c r="AL352" s="1222"/>
      <c r="AM352" s="1222"/>
      <c r="AN352" s="1222"/>
      <c r="AO352" s="1222"/>
      <c r="AP352" s="1222"/>
      <c r="AQ352" s="1222"/>
      <c r="AR352" s="1222"/>
      <c r="AS352" s="1222"/>
      <c r="AT352" s="1222"/>
      <c r="AU352" s="1120"/>
      <c r="AV352" s="445"/>
      <c r="AW352" s="607"/>
      <c r="AX352" s="607"/>
      <c r="AY352" s="607"/>
      <c r="AZ352" s="1209"/>
      <c r="BA352" s="1209"/>
    </row>
    <row r="353" spans="2:53" s="256" customFormat="1" ht="24.95" customHeight="1">
      <c r="B353" s="445"/>
      <c r="C353" s="204"/>
      <c r="D353" s="204"/>
      <c r="E353" s="204"/>
      <c r="F353" s="368"/>
      <c r="G353" s="1134"/>
      <c r="H353" s="401"/>
      <c r="I353" s="317"/>
      <c r="N353" s="317"/>
      <c r="O353" s="1135"/>
      <c r="P353" s="1136"/>
      <c r="Q353" s="1137"/>
      <c r="R353" s="1120"/>
      <c r="S353" s="1120"/>
      <c r="T353" s="1120"/>
      <c r="U353" s="1120"/>
      <c r="V353" s="1120"/>
      <c r="W353" s="1120"/>
      <c r="Z353" s="1145"/>
      <c r="AA353" s="1120"/>
      <c r="AB353" s="1120"/>
      <c r="AC353" s="1120"/>
      <c r="AD353" s="1212"/>
      <c r="AE353" s="1212"/>
      <c r="AF353" s="1186"/>
      <c r="AG353" s="1186"/>
      <c r="AH353" s="1222"/>
      <c r="AI353" s="1222"/>
      <c r="AJ353" s="1222"/>
      <c r="AK353" s="1222"/>
      <c r="AL353" s="1222"/>
      <c r="AM353" s="1222"/>
      <c r="AN353" s="1222"/>
      <c r="AO353" s="1222"/>
      <c r="AP353" s="1222"/>
      <c r="AQ353" s="1222"/>
      <c r="AR353" s="1222"/>
      <c r="AS353" s="1222"/>
      <c r="AT353" s="1222"/>
      <c r="AU353" s="1120"/>
      <c r="AV353" s="445"/>
      <c r="AW353" s="607"/>
      <c r="AX353" s="607"/>
      <c r="AY353" s="607"/>
      <c r="AZ353" s="1209"/>
      <c r="BA353" s="1209"/>
    </row>
    <row r="354" spans="2:53" s="256" customFormat="1" ht="24.95" customHeight="1">
      <c r="B354" s="445"/>
      <c r="C354" s="204"/>
      <c r="D354" s="204"/>
      <c r="E354" s="204"/>
      <c r="F354" s="368"/>
      <c r="G354" s="1134"/>
      <c r="H354" s="401"/>
      <c r="I354" s="317"/>
      <c r="N354" s="317"/>
      <c r="O354" s="1135"/>
      <c r="P354" s="1136"/>
      <c r="Q354" s="1137"/>
      <c r="R354" s="1120"/>
      <c r="S354" s="1120"/>
      <c r="T354" s="1120"/>
      <c r="U354" s="1120"/>
      <c r="V354" s="1120"/>
      <c r="W354" s="1120"/>
      <c r="Z354" s="1145"/>
      <c r="AA354" s="1120"/>
      <c r="AB354" s="1120"/>
      <c r="AC354" s="1120"/>
      <c r="AD354" s="1212"/>
      <c r="AE354" s="1212"/>
      <c r="AF354" s="1186"/>
      <c r="AG354" s="1186"/>
      <c r="AH354" s="1222"/>
      <c r="AI354" s="1222"/>
      <c r="AJ354" s="1222"/>
      <c r="AK354" s="1222"/>
      <c r="AL354" s="1222"/>
      <c r="AM354" s="1222"/>
      <c r="AN354" s="1222"/>
      <c r="AO354" s="1222"/>
      <c r="AP354" s="1222"/>
      <c r="AQ354" s="1222"/>
      <c r="AR354" s="1222"/>
      <c r="AS354" s="1222"/>
      <c r="AT354" s="1222"/>
      <c r="AU354" s="1120"/>
      <c r="AV354" s="445"/>
      <c r="AW354" s="607"/>
      <c r="AX354" s="607"/>
      <c r="AY354" s="607"/>
      <c r="AZ354" s="1209"/>
      <c r="BA354" s="1209"/>
    </row>
    <row r="355" spans="2:53" s="256" customFormat="1" ht="24.95" customHeight="1">
      <c r="B355" s="445"/>
      <c r="C355" s="204"/>
      <c r="D355" s="204"/>
      <c r="E355" s="204"/>
      <c r="F355" s="368"/>
      <c r="G355" s="1134"/>
      <c r="H355" s="401"/>
      <c r="I355" s="317"/>
      <c r="N355" s="317"/>
      <c r="O355" s="1135"/>
      <c r="P355" s="1136"/>
      <c r="Q355" s="1137"/>
      <c r="R355" s="1120"/>
      <c r="S355" s="1120"/>
      <c r="T355" s="1120"/>
      <c r="U355" s="1120"/>
      <c r="V355" s="1120"/>
      <c r="W355" s="1120"/>
      <c r="Z355" s="1145"/>
      <c r="AA355" s="1120"/>
      <c r="AB355" s="1120"/>
      <c r="AC355" s="1120"/>
      <c r="AD355" s="1212"/>
      <c r="AE355" s="1212"/>
      <c r="AF355" s="1186"/>
      <c r="AG355" s="1186"/>
      <c r="AH355" s="1222"/>
      <c r="AI355" s="1222"/>
      <c r="AJ355" s="1222"/>
      <c r="AK355" s="1222"/>
      <c r="AL355" s="1222"/>
      <c r="AM355" s="1222"/>
      <c r="AN355" s="1222"/>
      <c r="AO355" s="1222"/>
      <c r="AP355" s="1222"/>
      <c r="AQ355" s="1222"/>
      <c r="AR355" s="1222"/>
      <c r="AS355" s="1222"/>
      <c r="AT355" s="1222"/>
      <c r="AU355" s="1120"/>
      <c r="AV355" s="445"/>
      <c r="AW355" s="607"/>
      <c r="AX355" s="607"/>
      <c r="AY355" s="607"/>
      <c r="AZ355" s="1209"/>
      <c r="BA355" s="1209"/>
    </row>
    <row r="356" spans="2:53" s="256" customFormat="1" ht="24.95" customHeight="1">
      <c r="B356" s="445"/>
      <c r="C356" s="204"/>
      <c r="D356" s="204"/>
      <c r="E356" s="204"/>
      <c r="F356" s="368"/>
      <c r="G356" s="1134"/>
      <c r="H356" s="401"/>
      <c r="I356" s="317"/>
      <c r="N356" s="317"/>
      <c r="O356" s="1135"/>
      <c r="P356" s="1136"/>
      <c r="Q356" s="1137"/>
      <c r="R356" s="1120"/>
      <c r="S356" s="1120"/>
      <c r="T356" s="1120"/>
      <c r="U356" s="1120"/>
      <c r="V356" s="1120"/>
      <c r="W356" s="1120"/>
      <c r="Z356" s="1145"/>
      <c r="AA356" s="1120"/>
      <c r="AB356" s="1120"/>
      <c r="AC356" s="1120"/>
      <c r="AD356" s="1212"/>
      <c r="AE356" s="1212"/>
      <c r="AF356" s="1186"/>
      <c r="AG356" s="1186"/>
      <c r="AH356" s="1222"/>
      <c r="AI356" s="1222"/>
      <c r="AJ356" s="1222"/>
      <c r="AK356" s="1222"/>
      <c r="AL356" s="1222"/>
      <c r="AM356" s="1222"/>
      <c r="AN356" s="1222"/>
      <c r="AO356" s="1222"/>
      <c r="AP356" s="1222"/>
      <c r="AQ356" s="1222"/>
      <c r="AR356" s="1222"/>
      <c r="AS356" s="1222"/>
      <c r="AT356" s="1222"/>
      <c r="AU356" s="1120"/>
      <c r="AV356" s="445"/>
      <c r="AW356" s="607"/>
      <c r="AX356" s="607"/>
      <c r="AY356" s="607"/>
      <c r="AZ356" s="1209"/>
      <c r="BA356" s="1209"/>
    </row>
    <row r="357" spans="2:53" s="256" customFormat="1" ht="24.95" customHeight="1">
      <c r="B357" s="445"/>
      <c r="C357" s="204"/>
      <c r="D357" s="204"/>
      <c r="E357" s="204"/>
      <c r="F357" s="368"/>
      <c r="G357" s="1134"/>
      <c r="H357" s="401"/>
      <c r="I357" s="317"/>
      <c r="N357" s="317"/>
      <c r="O357" s="1135"/>
      <c r="P357" s="1136"/>
      <c r="Q357" s="1137"/>
      <c r="R357" s="1120"/>
      <c r="S357" s="1120"/>
      <c r="T357" s="1120"/>
      <c r="U357" s="1120"/>
      <c r="V357" s="1120"/>
      <c r="W357" s="1120"/>
      <c r="Z357" s="1145"/>
      <c r="AA357" s="1120"/>
      <c r="AB357" s="1120"/>
      <c r="AC357" s="1120"/>
      <c r="AD357" s="1212"/>
      <c r="AE357" s="1212"/>
      <c r="AF357" s="1186"/>
      <c r="AG357" s="1186"/>
      <c r="AH357" s="1222"/>
      <c r="AI357" s="1222"/>
      <c r="AJ357" s="1222"/>
      <c r="AK357" s="1222"/>
      <c r="AL357" s="1222"/>
      <c r="AM357" s="1222"/>
      <c r="AN357" s="1222"/>
      <c r="AO357" s="1222"/>
      <c r="AP357" s="1222"/>
      <c r="AQ357" s="1222"/>
      <c r="AR357" s="1222"/>
      <c r="AS357" s="1222"/>
      <c r="AT357" s="1222"/>
      <c r="AU357" s="1120"/>
      <c r="AV357" s="445"/>
      <c r="AW357" s="607"/>
      <c r="AX357" s="607"/>
      <c r="AY357" s="607"/>
      <c r="AZ357" s="1209"/>
      <c r="BA357" s="1209"/>
    </row>
    <row r="358" spans="2:53" s="256" customFormat="1" ht="24.95" customHeight="1">
      <c r="B358" s="445"/>
      <c r="C358" s="204"/>
      <c r="D358" s="204"/>
      <c r="E358" s="204"/>
      <c r="F358" s="368"/>
      <c r="G358" s="1134"/>
      <c r="H358" s="401"/>
      <c r="I358" s="317"/>
      <c r="N358" s="317"/>
      <c r="O358" s="1135"/>
      <c r="P358" s="1136"/>
      <c r="Q358" s="1137"/>
      <c r="R358" s="1120"/>
      <c r="S358" s="1120"/>
      <c r="T358" s="1120"/>
      <c r="U358" s="1120"/>
      <c r="V358" s="1120"/>
      <c r="W358" s="1120"/>
      <c r="Z358" s="1145"/>
      <c r="AA358" s="1120"/>
      <c r="AB358" s="1120"/>
      <c r="AC358" s="1120"/>
      <c r="AD358" s="1212"/>
      <c r="AE358" s="1212"/>
      <c r="AF358" s="1186"/>
      <c r="AG358" s="1186"/>
      <c r="AH358" s="1222"/>
      <c r="AI358" s="1222"/>
      <c r="AJ358" s="1222"/>
      <c r="AK358" s="1222"/>
      <c r="AL358" s="1222"/>
      <c r="AM358" s="1222"/>
      <c r="AN358" s="1222"/>
      <c r="AO358" s="1222"/>
      <c r="AP358" s="1222"/>
      <c r="AQ358" s="1222"/>
      <c r="AR358" s="1222"/>
      <c r="AS358" s="1222"/>
      <c r="AT358" s="1222"/>
      <c r="AU358" s="1120"/>
      <c r="AV358" s="445"/>
      <c r="AW358" s="607"/>
      <c r="AX358" s="607"/>
      <c r="AY358" s="607"/>
      <c r="AZ358" s="1209"/>
      <c r="BA358" s="1209"/>
    </row>
    <row r="359" spans="2:53" s="256" customFormat="1" ht="24.95" customHeight="1">
      <c r="B359" s="445"/>
      <c r="C359" s="204"/>
      <c r="D359" s="204"/>
      <c r="E359" s="204"/>
      <c r="F359" s="368"/>
      <c r="G359" s="1134"/>
      <c r="H359" s="401"/>
      <c r="I359" s="317"/>
      <c r="N359" s="317"/>
      <c r="O359" s="1135"/>
      <c r="P359" s="1136"/>
      <c r="Q359" s="1137"/>
      <c r="R359" s="1120"/>
      <c r="S359" s="1120"/>
      <c r="T359" s="1120"/>
      <c r="U359" s="1120"/>
      <c r="V359" s="1120"/>
      <c r="W359" s="1120"/>
      <c r="Z359" s="1145"/>
      <c r="AA359" s="1120"/>
      <c r="AB359" s="1120"/>
      <c r="AC359" s="1120"/>
      <c r="AD359" s="1212"/>
      <c r="AE359" s="1212"/>
      <c r="AF359" s="1186"/>
      <c r="AG359" s="1186"/>
      <c r="AH359" s="1222"/>
      <c r="AI359" s="1222"/>
      <c r="AJ359" s="1222"/>
      <c r="AK359" s="1222"/>
      <c r="AL359" s="1222"/>
      <c r="AM359" s="1222"/>
      <c r="AN359" s="1222"/>
      <c r="AO359" s="1222"/>
      <c r="AP359" s="1222"/>
      <c r="AQ359" s="1222"/>
      <c r="AR359" s="1222"/>
      <c r="AS359" s="1222"/>
      <c r="AT359" s="1222"/>
      <c r="AU359" s="1120"/>
      <c r="AV359" s="445"/>
      <c r="AW359" s="607"/>
      <c r="AX359" s="607"/>
      <c r="AY359" s="607"/>
      <c r="AZ359" s="1209"/>
      <c r="BA359" s="1209"/>
    </row>
    <row r="360" spans="2:53" s="256" customFormat="1" ht="24.95" customHeight="1">
      <c r="B360" s="445"/>
      <c r="C360" s="204"/>
      <c r="D360" s="204"/>
      <c r="E360" s="204"/>
      <c r="F360" s="368"/>
      <c r="G360" s="1134"/>
      <c r="H360" s="401"/>
      <c r="I360" s="317"/>
      <c r="N360" s="317"/>
      <c r="O360" s="1135"/>
      <c r="P360" s="1136"/>
      <c r="Q360" s="1137"/>
      <c r="R360" s="1120"/>
      <c r="S360" s="1120"/>
      <c r="T360" s="1120"/>
      <c r="U360" s="1120"/>
      <c r="V360" s="1120"/>
      <c r="W360" s="1120"/>
      <c r="Z360" s="1145"/>
      <c r="AA360" s="1120"/>
      <c r="AB360" s="1120"/>
      <c r="AC360" s="1120"/>
      <c r="AD360" s="1212"/>
      <c r="AE360" s="1212"/>
      <c r="AF360" s="1186"/>
      <c r="AG360" s="1186"/>
      <c r="AH360" s="1222"/>
      <c r="AI360" s="1222"/>
      <c r="AJ360" s="1222"/>
      <c r="AK360" s="1222"/>
      <c r="AL360" s="1222"/>
      <c r="AM360" s="1222"/>
      <c r="AN360" s="1222"/>
      <c r="AO360" s="1222"/>
      <c r="AP360" s="1222"/>
      <c r="AQ360" s="1222"/>
      <c r="AR360" s="1222"/>
      <c r="AS360" s="1222"/>
      <c r="AT360" s="1222"/>
      <c r="AU360" s="1120"/>
      <c r="AV360" s="445"/>
      <c r="AW360" s="607"/>
      <c r="AX360" s="607"/>
      <c r="AY360" s="607"/>
      <c r="AZ360" s="1209"/>
      <c r="BA360" s="1209"/>
    </row>
    <row r="361" spans="2:53" s="256" customFormat="1" ht="24.95" customHeight="1">
      <c r="B361" s="445"/>
      <c r="C361" s="204"/>
      <c r="D361" s="204"/>
      <c r="E361" s="204"/>
      <c r="F361" s="368"/>
      <c r="G361" s="1134"/>
      <c r="H361" s="401"/>
      <c r="I361" s="317"/>
      <c r="N361" s="317"/>
      <c r="O361" s="1135"/>
      <c r="P361" s="1136"/>
      <c r="Q361" s="1137"/>
      <c r="R361" s="1120"/>
      <c r="S361" s="1120"/>
      <c r="T361" s="1120"/>
      <c r="U361" s="1120"/>
      <c r="V361" s="1120"/>
      <c r="W361" s="1120"/>
      <c r="Z361" s="1145"/>
      <c r="AA361" s="1120"/>
      <c r="AB361" s="1120"/>
      <c r="AC361" s="1120"/>
      <c r="AD361" s="1212"/>
      <c r="AE361" s="1212"/>
      <c r="AF361" s="1186"/>
      <c r="AG361" s="1186"/>
      <c r="AH361" s="1222"/>
      <c r="AI361" s="1222"/>
      <c r="AJ361" s="1222"/>
      <c r="AK361" s="1222"/>
      <c r="AL361" s="1222"/>
      <c r="AM361" s="1222"/>
      <c r="AN361" s="1222"/>
      <c r="AO361" s="1222"/>
      <c r="AP361" s="1222"/>
      <c r="AQ361" s="1222"/>
      <c r="AR361" s="1222"/>
      <c r="AS361" s="1222"/>
      <c r="AT361" s="1222"/>
      <c r="AU361" s="1120"/>
      <c r="AV361" s="445"/>
      <c r="AW361" s="607"/>
      <c r="AX361" s="607"/>
      <c r="AY361" s="607"/>
      <c r="AZ361" s="1209"/>
      <c r="BA361" s="1209"/>
    </row>
    <row r="362" spans="2:53" s="256" customFormat="1" ht="24.95" customHeight="1">
      <c r="B362" s="445"/>
      <c r="C362" s="204"/>
      <c r="D362" s="204"/>
      <c r="E362" s="204"/>
      <c r="F362" s="368"/>
      <c r="G362" s="1134"/>
      <c r="H362" s="401"/>
      <c r="I362" s="317"/>
      <c r="N362" s="317"/>
      <c r="O362" s="1135"/>
      <c r="P362" s="1136"/>
      <c r="Q362" s="1137"/>
      <c r="R362" s="1120"/>
      <c r="S362" s="1120"/>
      <c r="T362" s="1120"/>
      <c r="U362" s="1120"/>
      <c r="V362" s="1120"/>
      <c r="W362" s="1120"/>
      <c r="Z362" s="1145"/>
      <c r="AA362" s="1120"/>
      <c r="AB362" s="1120"/>
      <c r="AC362" s="1120"/>
      <c r="AD362" s="1212"/>
      <c r="AE362" s="1212"/>
      <c r="AF362" s="1186"/>
      <c r="AG362" s="1186"/>
      <c r="AH362" s="1222"/>
      <c r="AI362" s="1222"/>
      <c r="AJ362" s="1222"/>
      <c r="AK362" s="1222"/>
      <c r="AL362" s="1222"/>
      <c r="AM362" s="1222"/>
      <c r="AN362" s="1222"/>
      <c r="AO362" s="1222"/>
      <c r="AP362" s="1222"/>
      <c r="AQ362" s="1222"/>
      <c r="AR362" s="1222"/>
      <c r="AS362" s="1222"/>
      <c r="AT362" s="1222"/>
      <c r="AU362" s="1120"/>
      <c r="AV362" s="445"/>
      <c r="AW362" s="607"/>
      <c r="AX362" s="607"/>
      <c r="AY362" s="607"/>
      <c r="AZ362" s="1209"/>
      <c r="BA362" s="1209"/>
    </row>
    <row r="363" spans="2:53" s="256" customFormat="1" ht="24.95" customHeight="1">
      <c r="B363" s="445"/>
      <c r="C363" s="204"/>
      <c r="D363" s="204"/>
      <c r="E363" s="204"/>
      <c r="F363" s="368"/>
      <c r="G363" s="1134"/>
      <c r="H363" s="401"/>
      <c r="I363" s="317"/>
      <c r="N363" s="317"/>
      <c r="O363" s="1135"/>
      <c r="P363" s="1136"/>
      <c r="Q363" s="1137"/>
      <c r="R363" s="1120"/>
      <c r="S363" s="1120"/>
      <c r="T363" s="1120"/>
      <c r="U363" s="1120"/>
      <c r="V363" s="1120"/>
      <c r="W363" s="1120"/>
      <c r="Z363" s="1145"/>
      <c r="AA363" s="1120"/>
      <c r="AB363" s="1120"/>
      <c r="AC363" s="1120"/>
      <c r="AD363" s="1212"/>
      <c r="AE363" s="1212"/>
      <c r="AF363" s="1186"/>
      <c r="AG363" s="1186"/>
      <c r="AH363" s="1222"/>
      <c r="AI363" s="1222"/>
      <c r="AJ363" s="1222"/>
      <c r="AK363" s="1222"/>
      <c r="AL363" s="1222"/>
      <c r="AM363" s="1222"/>
      <c r="AN363" s="1222"/>
      <c r="AO363" s="1222"/>
      <c r="AP363" s="1222"/>
      <c r="AQ363" s="1222"/>
      <c r="AR363" s="1222"/>
      <c r="AS363" s="1222"/>
      <c r="AT363" s="1222"/>
      <c r="AU363" s="1120"/>
      <c r="AV363" s="445"/>
      <c r="AW363" s="607"/>
      <c r="AX363" s="607"/>
      <c r="AY363" s="607"/>
      <c r="AZ363" s="1209"/>
      <c r="BA363" s="1209"/>
    </row>
    <row r="364" spans="2:53" s="256" customFormat="1" ht="24.95" customHeight="1">
      <c r="B364" s="445"/>
      <c r="C364" s="204"/>
      <c r="D364" s="204"/>
      <c r="E364" s="204"/>
      <c r="F364" s="368"/>
      <c r="G364" s="1134"/>
      <c r="H364" s="401"/>
      <c r="I364" s="317"/>
      <c r="N364" s="317"/>
      <c r="O364" s="1135"/>
      <c r="P364" s="1136"/>
      <c r="Q364" s="1137"/>
      <c r="R364" s="1120"/>
      <c r="S364" s="1120"/>
      <c r="T364" s="1120"/>
      <c r="U364" s="1120"/>
      <c r="V364" s="1120"/>
      <c r="W364" s="1120"/>
      <c r="Z364" s="1145"/>
      <c r="AA364" s="1120"/>
      <c r="AB364" s="1120"/>
      <c r="AC364" s="1120"/>
      <c r="AD364" s="1212"/>
      <c r="AE364" s="1212"/>
      <c r="AF364" s="1186"/>
      <c r="AG364" s="1186"/>
      <c r="AH364" s="1222"/>
      <c r="AI364" s="1222"/>
      <c r="AJ364" s="1222"/>
      <c r="AK364" s="1222"/>
      <c r="AL364" s="1222"/>
      <c r="AM364" s="1222"/>
      <c r="AN364" s="1222"/>
      <c r="AO364" s="1222"/>
      <c r="AP364" s="1222"/>
      <c r="AQ364" s="1222"/>
      <c r="AR364" s="1222"/>
      <c r="AS364" s="1222"/>
      <c r="AT364" s="1222"/>
      <c r="AU364" s="1120"/>
      <c r="AV364" s="445"/>
      <c r="AW364" s="607"/>
      <c r="AX364" s="607"/>
      <c r="AY364" s="607"/>
      <c r="AZ364" s="1209"/>
      <c r="BA364" s="1209"/>
    </row>
    <row r="365" spans="2:53" s="256" customFormat="1" ht="24.95" customHeight="1">
      <c r="B365" s="445"/>
      <c r="C365" s="204"/>
      <c r="D365" s="204"/>
      <c r="E365" s="204"/>
      <c r="F365" s="368"/>
      <c r="G365" s="1134"/>
      <c r="H365" s="401"/>
      <c r="I365" s="317"/>
      <c r="N365" s="317"/>
      <c r="O365" s="1135"/>
      <c r="P365" s="1136"/>
      <c r="Q365" s="1137"/>
      <c r="R365" s="1120"/>
      <c r="S365" s="1120"/>
      <c r="T365" s="1120"/>
      <c r="U365" s="1120"/>
      <c r="V365" s="1120"/>
      <c r="W365" s="1120"/>
      <c r="Z365" s="1145"/>
      <c r="AA365" s="1120"/>
      <c r="AB365" s="1120"/>
      <c r="AC365" s="1120"/>
      <c r="AD365" s="1212"/>
      <c r="AE365" s="1212"/>
      <c r="AF365" s="1186"/>
      <c r="AG365" s="1186"/>
      <c r="AH365" s="1222"/>
      <c r="AI365" s="1222"/>
      <c r="AJ365" s="1222"/>
      <c r="AK365" s="1222"/>
      <c r="AL365" s="1222"/>
      <c r="AM365" s="1222"/>
      <c r="AN365" s="1222"/>
      <c r="AO365" s="1222"/>
      <c r="AP365" s="1222"/>
      <c r="AQ365" s="1222"/>
      <c r="AR365" s="1222"/>
      <c r="AS365" s="1222"/>
      <c r="AT365" s="1222"/>
      <c r="AU365" s="1120"/>
      <c r="AV365" s="445"/>
      <c r="AW365" s="607"/>
      <c r="AX365" s="607"/>
      <c r="AY365" s="607"/>
      <c r="AZ365" s="1209"/>
      <c r="BA365" s="1209"/>
    </row>
    <row r="366" spans="2:53" s="256" customFormat="1" ht="24.95" customHeight="1">
      <c r="B366" s="445"/>
      <c r="C366" s="204"/>
      <c r="D366" s="204"/>
      <c r="E366" s="204"/>
      <c r="F366" s="368"/>
      <c r="G366" s="1134"/>
      <c r="H366" s="401"/>
      <c r="I366" s="317"/>
      <c r="N366" s="317"/>
      <c r="O366" s="1135"/>
      <c r="P366" s="1136"/>
      <c r="Q366" s="1137"/>
      <c r="R366" s="1120"/>
      <c r="S366" s="1120"/>
      <c r="T366" s="1120"/>
      <c r="U366" s="1120"/>
      <c r="V366" s="1120"/>
      <c r="W366" s="1120"/>
      <c r="Z366" s="1145"/>
      <c r="AA366" s="1120"/>
      <c r="AB366" s="1120"/>
      <c r="AC366" s="1120"/>
      <c r="AD366" s="1212"/>
      <c r="AE366" s="1212"/>
      <c r="AF366" s="1186"/>
      <c r="AG366" s="1186"/>
      <c r="AH366" s="1222"/>
      <c r="AI366" s="1222"/>
      <c r="AJ366" s="1222"/>
      <c r="AK366" s="1222"/>
      <c r="AL366" s="1222"/>
      <c r="AM366" s="1222"/>
      <c r="AN366" s="1222"/>
      <c r="AO366" s="1222"/>
      <c r="AP366" s="1222"/>
      <c r="AQ366" s="1222"/>
      <c r="AR366" s="1222"/>
      <c r="AS366" s="1222"/>
      <c r="AT366" s="1222"/>
      <c r="AU366" s="1120"/>
      <c r="AV366" s="445"/>
      <c r="AW366" s="607"/>
      <c r="AX366" s="607"/>
      <c r="AY366" s="607"/>
      <c r="AZ366" s="1209"/>
      <c r="BA366" s="1209"/>
    </row>
    <row r="367" spans="2:53" s="256" customFormat="1" ht="24.95" customHeight="1">
      <c r="B367" s="445"/>
      <c r="C367" s="204"/>
      <c r="D367" s="204"/>
      <c r="E367" s="204"/>
      <c r="F367" s="368"/>
      <c r="G367" s="1134"/>
      <c r="H367" s="401"/>
      <c r="I367" s="317"/>
      <c r="N367" s="317"/>
      <c r="O367" s="1135"/>
      <c r="P367" s="1136"/>
      <c r="Q367" s="1137"/>
      <c r="R367" s="1120"/>
      <c r="S367" s="1120"/>
      <c r="T367" s="1120"/>
      <c r="U367" s="1120"/>
      <c r="V367" s="1120"/>
      <c r="W367" s="1120"/>
      <c r="Z367" s="1145"/>
      <c r="AA367" s="1120"/>
      <c r="AB367" s="1120"/>
      <c r="AC367" s="1120"/>
      <c r="AD367" s="1212"/>
      <c r="AE367" s="1212"/>
      <c r="AF367" s="1186"/>
      <c r="AG367" s="1186"/>
      <c r="AH367" s="1222"/>
      <c r="AI367" s="1222"/>
      <c r="AJ367" s="1222"/>
      <c r="AK367" s="1222"/>
      <c r="AL367" s="1222"/>
      <c r="AM367" s="1222"/>
      <c r="AN367" s="1222"/>
      <c r="AO367" s="1222"/>
      <c r="AP367" s="1222"/>
      <c r="AQ367" s="1222"/>
      <c r="AR367" s="1222"/>
      <c r="AS367" s="1222"/>
      <c r="AT367" s="1222"/>
      <c r="AU367" s="1120"/>
      <c r="AV367" s="445"/>
      <c r="AW367" s="607"/>
      <c r="AX367" s="607"/>
      <c r="AY367" s="607"/>
      <c r="AZ367" s="1209"/>
      <c r="BA367" s="1209"/>
    </row>
    <row r="368" spans="2:53" s="256" customFormat="1" ht="24.95" customHeight="1">
      <c r="B368" s="445"/>
      <c r="C368" s="204"/>
      <c r="D368" s="204"/>
      <c r="E368" s="204"/>
      <c r="F368" s="368"/>
      <c r="G368" s="1134"/>
      <c r="H368" s="401"/>
      <c r="I368" s="317"/>
      <c r="N368" s="317"/>
      <c r="O368" s="1135"/>
      <c r="P368" s="1136"/>
      <c r="Q368" s="1137"/>
      <c r="R368" s="1120"/>
      <c r="S368" s="1120"/>
      <c r="T368" s="1120"/>
      <c r="U368" s="1120"/>
      <c r="V368" s="1120"/>
      <c r="W368" s="1120"/>
      <c r="Z368" s="1145"/>
      <c r="AA368" s="1120"/>
      <c r="AB368" s="1120"/>
      <c r="AC368" s="1120"/>
      <c r="AD368" s="1212"/>
      <c r="AE368" s="1212"/>
      <c r="AF368" s="1186"/>
      <c r="AG368" s="1186"/>
      <c r="AH368" s="1222"/>
      <c r="AI368" s="1222"/>
      <c r="AJ368" s="1222"/>
      <c r="AK368" s="1222"/>
      <c r="AL368" s="1222"/>
      <c r="AM368" s="1222"/>
      <c r="AN368" s="1222"/>
      <c r="AO368" s="1222"/>
      <c r="AP368" s="1222"/>
      <c r="AQ368" s="1222"/>
      <c r="AR368" s="1222"/>
      <c r="AS368" s="1222"/>
      <c r="AT368" s="1222"/>
      <c r="AU368" s="1120"/>
      <c r="AV368" s="445"/>
      <c r="AW368" s="607"/>
      <c r="AX368" s="607"/>
      <c r="AY368" s="607"/>
      <c r="AZ368" s="1209"/>
      <c r="BA368" s="1209"/>
    </row>
    <row r="369" spans="2:53" s="256" customFormat="1" ht="24.95" customHeight="1">
      <c r="B369" s="445"/>
      <c r="C369" s="204"/>
      <c r="D369" s="204"/>
      <c r="E369" s="204"/>
      <c r="F369" s="368"/>
      <c r="G369" s="1134"/>
      <c r="H369" s="401"/>
      <c r="I369" s="317"/>
      <c r="N369" s="317"/>
      <c r="O369" s="1135"/>
      <c r="P369" s="1136"/>
      <c r="Q369" s="1137"/>
      <c r="R369" s="1120"/>
      <c r="S369" s="1120"/>
      <c r="T369" s="1120"/>
      <c r="U369" s="1120"/>
      <c r="V369" s="1120"/>
      <c r="W369" s="1120"/>
      <c r="Z369" s="1145"/>
      <c r="AA369" s="1120"/>
      <c r="AB369" s="1120"/>
      <c r="AC369" s="1120"/>
      <c r="AD369" s="1212"/>
      <c r="AE369" s="1212"/>
      <c r="AF369" s="1186"/>
      <c r="AG369" s="1186"/>
      <c r="AH369" s="1222"/>
      <c r="AI369" s="1222"/>
      <c r="AJ369" s="1222"/>
      <c r="AK369" s="1222"/>
      <c r="AL369" s="1222"/>
      <c r="AM369" s="1222"/>
      <c r="AN369" s="1222"/>
      <c r="AO369" s="1222"/>
      <c r="AP369" s="1222"/>
      <c r="AQ369" s="1222"/>
      <c r="AR369" s="1222"/>
      <c r="AS369" s="1222"/>
      <c r="AT369" s="1222"/>
      <c r="AU369" s="1120"/>
      <c r="AV369" s="445"/>
      <c r="AW369" s="607"/>
      <c r="AX369" s="607"/>
      <c r="AY369" s="607"/>
      <c r="AZ369" s="1209"/>
      <c r="BA369" s="1209"/>
    </row>
    <row r="370" spans="2:53" s="256" customFormat="1" ht="24.95" customHeight="1">
      <c r="B370" s="445"/>
      <c r="C370" s="204"/>
      <c r="D370" s="204"/>
      <c r="E370" s="204"/>
      <c r="F370" s="368"/>
      <c r="G370" s="1134"/>
      <c r="H370" s="401"/>
      <c r="I370" s="317"/>
      <c r="N370" s="317"/>
      <c r="O370" s="1135"/>
      <c r="P370" s="1136"/>
      <c r="Q370" s="1137"/>
      <c r="R370" s="1120"/>
      <c r="S370" s="1120"/>
      <c r="T370" s="1120"/>
      <c r="U370" s="1120"/>
      <c r="V370" s="1120"/>
      <c r="W370" s="1120"/>
      <c r="Z370" s="1145"/>
      <c r="AA370" s="1120"/>
      <c r="AB370" s="1120"/>
      <c r="AC370" s="1120"/>
      <c r="AD370" s="1212"/>
      <c r="AE370" s="1212"/>
      <c r="AF370" s="1186"/>
      <c r="AG370" s="1186"/>
      <c r="AH370" s="1222"/>
      <c r="AI370" s="1222"/>
      <c r="AJ370" s="1222"/>
      <c r="AK370" s="1222"/>
      <c r="AL370" s="1222"/>
      <c r="AM370" s="1222"/>
      <c r="AN370" s="1222"/>
      <c r="AO370" s="1222"/>
      <c r="AP370" s="1222"/>
      <c r="AQ370" s="1222"/>
      <c r="AR370" s="1222"/>
      <c r="AS370" s="1222"/>
      <c r="AT370" s="1222"/>
      <c r="AU370" s="1120"/>
      <c r="AV370" s="445"/>
      <c r="AW370" s="607"/>
      <c r="AX370" s="607"/>
      <c r="AY370" s="607"/>
      <c r="AZ370" s="1209"/>
      <c r="BA370" s="1209"/>
    </row>
    <row r="371" spans="2:53" s="256" customFormat="1" ht="24.95" customHeight="1">
      <c r="B371" s="445"/>
      <c r="C371" s="204"/>
      <c r="D371" s="204"/>
      <c r="E371" s="204"/>
      <c r="F371" s="368"/>
      <c r="G371" s="1134"/>
      <c r="H371" s="401"/>
      <c r="I371" s="317"/>
      <c r="N371" s="317"/>
      <c r="O371" s="1135"/>
      <c r="P371" s="1136"/>
      <c r="Q371" s="1137"/>
      <c r="R371" s="1120"/>
      <c r="S371" s="1120"/>
      <c r="T371" s="1120"/>
      <c r="U371" s="1120"/>
      <c r="V371" s="1120"/>
      <c r="W371" s="1120"/>
      <c r="Z371" s="1145"/>
      <c r="AA371" s="1120"/>
      <c r="AB371" s="1120"/>
      <c r="AC371" s="1120"/>
      <c r="AD371" s="1212"/>
      <c r="AE371" s="1212"/>
      <c r="AF371" s="1186"/>
      <c r="AG371" s="1186"/>
      <c r="AH371" s="1222"/>
      <c r="AI371" s="1222"/>
      <c r="AJ371" s="1222"/>
      <c r="AK371" s="1222"/>
      <c r="AL371" s="1222"/>
      <c r="AM371" s="1222"/>
      <c r="AN371" s="1222"/>
      <c r="AO371" s="1222"/>
      <c r="AP371" s="1222"/>
      <c r="AQ371" s="1222"/>
      <c r="AR371" s="1222"/>
      <c r="AS371" s="1222"/>
      <c r="AT371" s="1222"/>
      <c r="AU371" s="1120"/>
      <c r="AV371" s="445"/>
      <c r="AW371" s="607"/>
      <c r="AX371" s="607"/>
      <c r="AY371" s="607"/>
      <c r="AZ371" s="1209"/>
      <c r="BA371" s="1209"/>
    </row>
    <row r="372" spans="2:53" s="256" customFormat="1" ht="24.95" customHeight="1">
      <c r="B372" s="445"/>
      <c r="C372" s="204"/>
      <c r="D372" s="204"/>
      <c r="E372" s="204"/>
      <c r="F372" s="368"/>
      <c r="G372" s="1134"/>
      <c r="H372" s="401"/>
      <c r="I372" s="317"/>
      <c r="N372" s="317"/>
      <c r="O372" s="1135"/>
      <c r="P372" s="1136"/>
      <c r="Q372" s="1137"/>
      <c r="R372" s="1120"/>
      <c r="S372" s="1120"/>
      <c r="T372" s="1120"/>
      <c r="U372" s="1120"/>
      <c r="V372" s="1120"/>
      <c r="W372" s="1120"/>
      <c r="Z372" s="1145"/>
      <c r="AA372" s="1120"/>
      <c r="AB372" s="1120"/>
      <c r="AC372" s="1120"/>
      <c r="AD372" s="1212"/>
      <c r="AE372" s="1212"/>
      <c r="AF372" s="1186"/>
      <c r="AG372" s="1186"/>
      <c r="AH372" s="1222"/>
      <c r="AI372" s="1222"/>
      <c r="AJ372" s="1222"/>
      <c r="AK372" s="1222"/>
      <c r="AL372" s="1222"/>
      <c r="AM372" s="1222"/>
      <c r="AN372" s="1222"/>
      <c r="AO372" s="1222"/>
      <c r="AP372" s="1222"/>
      <c r="AQ372" s="1222"/>
      <c r="AR372" s="1222"/>
      <c r="AS372" s="1222"/>
      <c r="AT372" s="1222"/>
      <c r="AU372" s="1120"/>
      <c r="AV372" s="445"/>
      <c r="AW372" s="607"/>
      <c r="AX372" s="607"/>
      <c r="AY372" s="607"/>
      <c r="AZ372" s="1209"/>
      <c r="BA372" s="1209"/>
    </row>
    <row r="373" spans="2:53" s="256" customFormat="1" ht="24.95" customHeight="1">
      <c r="B373" s="445"/>
      <c r="C373" s="204"/>
      <c r="D373" s="204"/>
      <c r="E373" s="204"/>
      <c r="F373" s="368"/>
      <c r="G373" s="1134"/>
      <c r="H373" s="401"/>
      <c r="I373" s="317"/>
      <c r="N373" s="317"/>
      <c r="O373" s="1135"/>
      <c r="P373" s="1136"/>
      <c r="Q373" s="1137"/>
      <c r="R373" s="1120"/>
      <c r="S373" s="1120"/>
      <c r="T373" s="1120"/>
      <c r="U373" s="1120"/>
      <c r="V373" s="1120"/>
      <c r="W373" s="1120"/>
      <c r="Z373" s="1145"/>
      <c r="AA373" s="1120"/>
      <c r="AB373" s="1120"/>
      <c r="AC373" s="1120"/>
      <c r="AD373" s="1212"/>
      <c r="AE373" s="1212"/>
      <c r="AF373" s="1186"/>
      <c r="AG373" s="1186"/>
      <c r="AH373" s="1222"/>
      <c r="AI373" s="1222"/>
      <c r="AJ373" s="1222"/>
      <c r="AK373" s="1222"/>
      <c r="AL373" s="1222"/>
      <c r="AM373" s="1222"/>
      <c r="AN373" s="1222"/>
      <c r="AO373" s="1222"/>
      <c r="AP373" s="1222"/>
      <c r="AQ373" s="1222"/>
      <c r="AR373" s="1222"/>
      <c r="AS373" s="1222"/>
      <c r="AT373" s="1222"/>
      <c r="AU373" s="1120"/>
      <c r="AV373" s="445"/>
      <c r="AW373" s="607"/>
      <c r="AX373" s="607"/>
      <c r="AY373" s="607"/>
      <c r="AZ373" s="1209"/>
      <c r="BA373" s="1209"/>
    </row>
    <row r="374" spans="2:53" s="256" customFormat="1" ht="24.95" customHeight="1">
      <c r="B374" s="445"/>
      <c r="C374" s="204"/>
      <c r="D374" s="204"/>
      <c r="E374" s="204"/>
      <c r="F374" s="368"/>
      <c r="G374" s="1134"/>
      <c r="H374" s="401"/>
      <c r="I374" s="317"/>
      <c r="N374" s="317"/>
      <c r="O374" s="1135"/>
      <c r="P374" s="1136"/>
      <c r="Q374" s="1137"/>
      <c r="R374" s="1120"/>
      <c r="S374" s="1120"/>
      <c r="T374" s="1120"/>
      <c r="U374" s="1120"/>
      <c r="V374" s="1120"/>
      <c r="W374" s="1120"/>
      <c r="Z374" s="1145"/>
      <c r="AA374" s="1120"/>
      <c r="AB374" s="1120"/>
      <c r="AC374" s="1120"/>
      <c r="AD374" s="1212"/>
      <c r="AE374" s="1212"/>
      <c r="AF374" s="1186"/>
      <c r="AG374" s="1186"/>
      <c r="AH374" s="1222"/>
      <c r="AI374" s="1222"/>
      <c r="AJ374" s="1222"/>
      <c r="AK374" s="1222"/>
      <c r="AL374" s="1222"/>
      <c r="AM374" s="1222"/>
      <c r="AN374" s="1222"/>
      <c r="AO374" s="1222"/>
      <c r="AP374" s="1222"/>
      <c r="AQ374" s="1222"/>
      <c r="AR374" s="1222"/>
      <c r="AS374" s="1222"/>
      <c r="AT374" s="1222"/>
      <c r="AU374" s="1120"/>
      <c r="AV374" s="445"/>
      <c r="AW374" s="607"/>
      <c r="AX374" s="607"/>
      <c r="AY374" s="607"/>
      <c r="AZ374" s="1209"/>
      <c r="BA374" s="1209"/>
    </row>
    <row r="375" spans="2:53" s="256" customFormat="1" ht="24.95" customHeight="1">
      <c r="B375" s="445"/>
      <c r="C375" s="204"/>
      <c r="D375" s="204"/>
      <c r="E375" s="204"/>
      <c r="F375" s="368"/>
      <c r="G375" s="1134"/>
      <c r="H375" s="401"/>
      <c r="I375" s="317"/>
      <c r="N375" s="317"/>
      <c r="O375" s="1135"/>
      <c r="P375" s="1136"/>
      <c r="Q375" s="1137"/>
      <c r="R375" s="1120"/>
      <c r="S375" s="1120"/>
      <c r="T375" s="1120"/>
      <c r="U375" s="1120"/>
      <c r="V375" s="1120"/>
      <c r="W375" s="1120"/>
      <c r="Z375" s="1145"/>
      <c r="AA375" s="1120"/>
      <c r="AB375" s="1120"/>
      <c r="AC375" s="1120"/>
      <c r="AD375" s="1212"/>
      <c r="AE375" s="1212"/>
      <c r="AF375" s="1186"/>
      <c r="AG375" s="1186"/>
      <c r="AH375" s="1222"/>
      <c r="AI375" s="1222"/>
      <c r="AJ375" s="1222"/>
      <c r="AK375" s="1222"/>
      <c r="AL375" s="1222"/>
      <c r="AM375" s="1222"/>
      <c r="AN375" s="1222"/>
      <c r="AO375" s="1222"/>
      <c r="AP375" s="1222"/>
      <c r="AQ375" s="1222"/>
      <c r="AR375" s="1222"/>
      <c r="AS375" s="1222"/>
      <c r="AT375" s="1222"/>
      <c r="AU375" s="1120"/>
      <c r="AV375" s="445"/>
      <c r="AW375" s="607"/>
      <c r="AX375" s="607"/>
      <c r="AY375" s="607"/>
      <c r="AZ375" s="1209"/>
      <c r="BA375" s="1209"/>
    </row>
    <row r="376" spans="2:53" s="256" customFormat="1" ht="24.95" customHeight="1">
      <c r="B376" s="445"/>
      <c r="C376" s="204"/>
      <c r="D376" s="204"/>
      <c r="E376" s="204"/>
      <c r="F376" s="368"/>
      <c r="G376" s="1134"/>
      <c r="H376" s="401"/>
      <c r="I376" s="317"/>
      <c r="N376" s="317"/>
      <c r="O376" s="1135"/>
      <c r="P376" s="1136"/>
      <c r="Q376" s="1137"/>
      <c r="R376" s="1120"/>
      <c r="S376" s="1120"/>
      <c r="T376" s="1120"/>
      <c r="U376" s="1120"/>
      <c r="V376" s="1120"/>
      <c r="W376" s="1120"/>
      <c r="Z376" s="1145"/>
      <c r="AA376" s="1120"/>
      <c r="AB376" s="1120"/>
      <c r="AC376" s="1120"/>
      <c r="AD376" s="1212"/>
      <c r="AE376" s="1212"/>
      <c r="AF376" s="1186"/>
      <c r="AG376" s="1186"/>
      <c r="AH376" s="1222"/>
      <c r="AI376" s="1222"/>
      <c r="AJ376" s="1222"/>
      <c r="AK376" s="1222"/>
      <c r="AL376" s="1222"/>
      <c r="AM376" s="1222"/>
      <c r="AN376" s="1222"/>
      <c r="AO376" s="1222"/>
      <c r="AP376" s="1222"/>
      <c r="AQ376" s="1222"/>
      <c r="AR376" s="1222"/>
      <c r="AS376" s="1222"/>
      <c r="AT376" s="1222"/>
      <c r="AU376" s="1120"/>
      <c r="AV376" s="445"/>
      <c r="AW376" s="607"/>
      <c r="AX376" s="607"/>
      <c r="AY376" s="607"/>
      <c r="AZ376" s="1209"/>
      <c r="BA376" s="1209"/>
    </row>
    <row r="377" spans="2:53" s="256" customFormat="1" ht="24.95" customHeight="1">
      <c r="B377" s="445"/>
      <c r="C377" s="204"/>
      <c r="D377" s="204"/>
      <c r="E377" s="204"/>
      <c r="F377" s="368"/>
      <c r="G377" s="1134"/>
      <c r="H377" s="401"/>
      <c r="I377" s="317"/>
      <c r="N377" s="317"/>
      <c r="O377" s="1135"/>
      <c r="P377" s="1136"/>
      <c r="Q377" s="1137"/>
      <c r="R377" s="1120"/>
      <c r="S377" s="1120"/>
      <c r="T377" s="1120"/>
      <c r="U377" s="1120"/>
      <c r="V377" s="1120"/>
      <c r="W377" s="1120"/>
      <c r="Z377" s="1145"/>
      <c r="AA377" s="1120"/>
      <c r="AB377" s="1120"/>
      <c r="AC377" s="1120"/>
      <c r="AD377" s="1212"/>
      <c r="AE377" s="1212"/>
      <c r="AF377" s="1186"/>
      <c r="AG377" s="1186"/>
      <c r="AH377" s="1222"/>
      <c r="AI377" s="1222"/>
      <c r="AJ377" s="1222"/>
      <c r="AK377" s="1222"/>
      <c r="AL377" s="1222"/>
      <c r="AM377" s="1222"/>
      <c r="AN377" s="1222"/>
      <c r="AO377" s="1222"/>
      <c r="AP377" s="1222"/>
      <c r="AQ377" s="1222"/>
      <c r="AR377" s="1222"/>
      <c r="AS377" s="1222"/>
      <c r="AT377" s="1222"/>
      <c r="AU377" s="1120"/>
      <c r="AV377" s="445"/>
      <c r="AW377" s="607"/>
      <c r="AX377" s="607"/>
      <c r="AY377" s="607"/>
      <c r="AZ377" s="1209"/>
      <c r="BA377" s="1209"/>
    </row>
    <row r="378" spans="2:53" s="256" customFormat="1" ht="24.95" customHeight="1">
      <c r="B378" s="445"/>
      <c r="C378" s="204"/>
      <c r="D378" s="204"/>
      <c r="E378" s="204"/>
      <c r="F378" s="368"/>
      <c r="G378" s="1134"/>
      <c r="H378" s="401"/>
      <c r="I378" s="317"/>
      <c r="N378" s="317"/>
      <c r="O378" s="1135"/>
      <c r="P378" s="1136"/>
      <c r="Q378" s="1137"/>
      <c r="R378" s="1120"/>
      <c r="S378" s="1120"/>
      <c r="T378" s="1120"/>
      <c r="U378" s="1120"/>
      <c r="V378" s="1120"/>
      <c r="W378" s="1120"/>
      <c r="Z378" s="1145"/>
      <c r="AA378" s="1120"/>
      <c r="AB378" s="1120"/>
      <c r="AC378" s="1120"/>
      <c r="AD378" s="1212"/>
      <c r="AE378" s="1212"/>
      <c r="AF378" s="1186"/>
      <c r="AG378" s="1186"/>
      <c r="AH378" s="1222"/>
      <c r="AI378" s="1222"/>
      <c r="AJ378" s="1222"/>
      <c r="AK378" s="1222"/>
      <c r="AL378" s="1222"/>
      <c r="AM378" s="1222"/>
      <c r="AN378" s="1222"/>
      <c r="AO378" s="1222"/>
      <c r="AP378" s="1222"/>
      <c r="AQ378" s="1222"/>
      <c r="AR378" s="1222"/>
      <c r="AS378" s="1222"/>
      <c r="AT378" s="1222"/>
      <c r="AU378" s="1120"/>
      <c r="AV378" s="445"/>
      <c r="AW378" s="607"/>
      <c r="AX378" s="607"/>
      <c r="AY378" s="607"/>
      <c r="AZ378" s="1209"/>
      <c r="BA378" s="1209"/>
    </row>
    <row r="379" spans="2:53" s="256" customFormat="1" ht="24.95" customHeight="1">
      <c r="B379" s="445"/>
      <c r="C379" s="204"/>
      <c r="D379" s="204"/>
      <c r="E379" s="204"/>
      <c r="F379" s="368"/>
      <c r="G379" s="1134"/>
      <c r="H379" s="401"/>
      <c r="I379" s="317"/>
      <c r="N379" s="317"/>
      <c r="O379" s="1135"/>
      <c r="P379" s="1136"/>
      <c r="Q379" s="1137"/>
      <c r="R379" s="1120"/>
      <c r="S379" s="1120"/>
      <c r="T379" s="1120"/>
      <c r="U379" s="1120"/>
      <c r="V379" s="1120"/>
      <c r="W379" s="1120"/>
      <c r="Z379" s="1145"/>
      <c r="AA379" s="1120"/>
      <c r="AB379" s="1120"/>
      <c r="AC379" s="1120"/>
      <c r="AD379" s="1212"/>
      <c r="AE379" s="1212"/>
      <c r="AF379" s="1186"/>
      <c r="AG379" s="1186"/>
      <c r="AH379" s="1222"/>
      <c r="AI379" s="1222"/>
      <c r="AJ379" s="1222"/>
      <c r="AK379" s="1222"/>
      <c r="AL379" s="1222"/>
      <c r="AM379" s="1222"/>
      <c r="AN379" s="1222"/>
      <c r="AO379" s="1222"/>
      <c r="AP379" s="1222"/>
      <c r="AQ379" s="1222"/>
      <c r="AR379" s="1222"/>
      <c r="AS379" s="1222"/>
      <c r="AT379" s="1222"/>
      <c r="AU379" s="1120"/>
      <c r="AV379" s="445"/>
      <c r="AW379" s="607"/>
      <c r="AX379" s="607"/>
      <c r="AY379" s="607"/>
      <c r="AZ379" s="1209"/>
      <c r="BA379" s="1209"/>
    </row>
    <row r="380" spans="2:53" s="256" customFormat="1" ht="24.95" customHeight="1">
      <c r="B380" s="445"/>
      <c r="C380" s="204"/>
      <c r="D380" s="204"/>
      <c r="E380" s="204"/>
      <c r="F380" s="368"/>
      <c r="G380" s="1134"/>
      <c r="H380" s="401"/>
      <c r="I380" s="317"/>
      <c r="N380" s="317"/>
      <c r="O380" s="1135"/>
      <c r="P380" s="1136"/>
      <c r="Q380" s="1137"/>
      <c r="R380" s="1120"/>
      <c r="S380" s="1120"/>
      <c r="T380" s="1120"/>
      <c r="U380" s="1120"/>
      <c r="V380" s="1120"/>
      <c r="W380" s="1120"/>
      <c r="Z380" s="1145"/>
      <c r="AA380" s="1120"/>
      <c r="AB380" s="1120"/>
      <c r="AC380" s="1120"/>
      <c r="AD380" s="1212"/>
      <c r="AE380" s="1212"/>
      <c r="AF380" s="1186"/>
      <c r="AG380" s="1186"/>
      <c r="AH380" s="1222"/>
      <c r="AI380" s="1222"/>
      <c r="AJ380" s="1222"/>
      <c r="AK380" s="1222"/>
      <c r="AL380" s="1222"/>
      <c r="AM380" s="1222"/>
      <c r="AN380" s="1222"/>
      <c r="AO380" s="1222"/>
      <c r="AP380" s="1222"/>
      <c r="AQ380" s="1222"/>
      <c r="AR380" s="1222"/>
      <c r="AS380" s="1222"/>
      <c r="AT380" s="1222"/>
      <c r="AU380" s="1120"/>
      <c r="AV380" s="445"/>
      <c r="AW380" s="607"/>
      <c r="AX380" s="607"/>
      <c r="AY380" s="607"/>
      <c r="AZ380" s="1209"/>
      <c r="BA380" s="1209"/>
    </row>
    <row r="381" spans="2:53" s="256" customFormat="1" ht="24.95" customHeight="1">
      <c r="B381" s="445"/>
      <c r="C381" s="204"/>
      <c r="D381" s="204"/>
      <c r="E381" s="204"/>
      <c r="F381" s="368"/>
      <c r="G381" s="1134"/>
      <c r="H381" s="401"/>
      <c r="I381" s="317"/>
      <c r="N381" s="317"/>
      <c r="O381" s="1135"/>
      <c r="P381" s="1136"/>
      <c r="Q381" s="1137"/>
      <c r="R381" s="1120"/>
      <c r="S381" s="1120"/>
      <c r="T381" s="1120"/>
      <c r="U381" s="1120"/>
      <c r="V381" s="1120"/>
      <c r="W381" s="1120"/>
      <c r="Z381" s="1145"/>
      <c r="AA381" s="1120"/>
      <c r="AB381" s="1120"/>
      <c r="AC381" s="1120"/>
      <c r="AD381" s="1212"/>
      <c r="AE381" s="1212"/>
      <c r="AF381" s="1186"/>
      <c r="AG381" s="1186"/>
      <c r="AH381" s="1222"/>
      <c r="AI381" s="1222"/>
      <c r="AJ381" s="1222"/>
      <c r="AK381" s="1222"/>
      <c r="AL381" s="1222"/>
      <c r="AM381" s="1222"/>
      <c r="AN381" s="1222"/>
      <c r="AO381" s="1222"/>
      <c r="AP381" s="1222"/>
      <c r="AQ381" s="1222"/>
      <c r="AR381" s="1222"/>
      <c r="AS381" s="1222"/>
      <c r="AT381" s="1222"/>
      <c r="AU381" s="1120"/>
      <c r="AV381" s="445"/>
      <c r="AW381" s="607"/>
      <c r="AX381" s="607"/>
      <c r="AY381" s="607"/>
      <c r="AZ381" s="1209"/>
      <c r="BA381" s="1209"/>
    </row>
    <row r="382" spans="2:53" s="256" customFormat="1" ht="24.95" customHeight="1">
      <c r="B382" s="445"/>
      <c r="C382" s="204"/>
      <c r="D382" s="204"/>
      <c r="E382" s="204"/>
      <c r="F382" s="368"/>
      <c r="G382" s="1134"/>
      <c r="H382" s="401"/>
      <c r="I382" s="317"/>
      <c r="N382" s="317"/>
      <c r="O382" s="1135"/>
      <c r="P382" s="1136"/>
      <c r="Q382" s="1137"/>
      <c r="R382" s="1120"/>
      <c r="S382" s="1120"/>
      <c r="T382" s="1120"/>
      <c r="U382" s="1120"/>
      <c r="V382" s="1120"/>
      <c r="W382" s="1120"/>
      <c r="Z382" s="1145"/>
      <c r="AA382" s="1120"/>
      <c r="AB382" s="1120"/>
      <c r="AC382" s="1120"/>
      <c r="AD382" s="1212"/>
      <c r="AE382" s="1212"/>
      <c r="AF382" s="1186"/>
      <c r="AG382" s="1186"/>
      <c r="AH382" s="1222"/>
      <c r="AI382" s="1222"/>
      <c r="AJ382" s="1222"/>
      <c r="AK382" s="1222"/>
      <c r="AL382" s="1222"/>
      <c r="AM382" s="1222"/>
      <c r="AN382" s="1222"/>
      <c r="AO382" s="1222"/>
      <c r="AP382" s="1222"/>
      <c r="AQ382" s="1222"/>
      <c r="AR382" s="1222"/>
      <c r="AS382" s="1222"/>
      <c r="AT382" s="1222"/>
      <c r="AU382" s="1120"/>
      <c r="AV382" s="445"/>
      <c r="AW382" s="607"/>
      <c r="AX382" s="607"/>
      <c r="AY382" s="607"/>
      <c r="AZ382" s="1209"/>
      <c r="BA382" s="1209"/>
    </row>
    <row r="383" spans="2:53" s="256" customFormat="1" ht="24.95" customHeight="1">
      <c r="B383" s="445"/>
      <c r="C383" s="204"/>
      <c r="D383" s="204"/>
      <c r="E383" s="204"/>
      <c r="F383" s="368"/>
      <c r="G383" s="1134"/>
      <c r="H383" s="401"/>
      <c r="I383" s="317"/>
      <c r="N383" s="317"/>
      <c r="O383" s="1135"/>
      <c r="P383" s="1136"/>
      <c r="Q383" s="1137"/>
      <c r="R383" s="1120"/>
      <c r="S383" s="1120"/>
      <c r="T383" s="1120"/>
      <c r="U383" s="1120"/>
      <c r="V383" s="1120"/>
      <c r="W383" s="1120"/>
      <c r="Z383" s="1145"/>
      <c r="AA383" s="1120"/>
      <c r="AB383" s="1120"/>
      <c r="AC383" s="1120"/>
      <c r="AD383" s="1212"/>
      <c r="AE383" s="1212"/>
      <c r="AF383" s="1186"/>
      <c r="AG383" s="1186"/>
      <c r="AH383" s="1222"/>
      <c r="AI383" s="1222"/>
      <c r="AJ383" s="1222"/>
      <c r="AK383" s="1222"/>
      <c r="AL383" s="1222"/>
      <c r="AM383" s="1222"/>
      <c r="AN383" s="1222"/>
      <c r="AO383" s="1222"/>
      <c r="AP383" s="1222"/>
      <c r="AQ383" s="1222"/>
      <c r="AR383" s="1222"/>
      <c r="AS383" s="1222"/>
      <c r="AT383" s="1222"/>
      <c r="AU383" s="1120"/>
      <c r="AV383" s="445"/>
      <c r="AW383" s="607"/>
      <c r="AX383" s="607"/>
      <c r="AY383" s="607"/>
      <c r="AZ383" s="1209"/>
      <c r="BA383" s="1209"/>
    </row>
    <row r="384" spans="2:53" s="256" customFormat="1" ht="24.95" customHeight="1">
      <c r="B384" s="445"/>
      <c r="C384" s="204"/>
      <c r="D384" s="204"/>
      <c r="E384" s="204"/>
      <c r="F384" s="368"/>
      <c r="G384" s="1134"/>
      <c r="H384" s="401"/>
      <c r="I384" s="317"/>
      <c r="N384" s="317"/>
      <c r="O384" s="1135"/>
      <c r="P384" s="1136"/>
      <c r="Q384" s="1137"/>
      <c r="R384" s="1120"/>
      <c r="S384" s="1120"/>
      <c r="T384" s="1120"/>
      <c r="U384" s="1120"/>
      <c r="V384" s="1120"/>
      <c r="W384" s="1120"/>
      <c r="Z384" s="1145"/>
      <c r="AA384" s="1120"/>
      <c r="AB384" s="1120"/>
      <c r="AC384" s="1120"/>
      <c r="AD384" s="1212"/>
      <c r="AE384" s="1212"/>
      <c r="AF384" s="1186"/>
      <c r="AG384" s="1186"/>
      <c r="AH384" s="1222"/>
      <c r="AI384" s="1222"/>
      <c r="AJ384" s="1222"/>
      <c r="AK384" s="1222"/>
      <c r="AL384" s="1222"/>
      <c r="AM384" s="1222"/>
      <c r="AN384" s="1222"/>
      <c r="AO384" s="1222"/>
      <c r="AP384" s="1222"/>
      <c r="AQ384" s="1222"/>
      <c r="AR384" s="1222"/>
      <c r="AS384" s="1222"/>
      <c r="AT384" s="1222"/>
      <c r="AU384" s="1120"/>
      <c r="AV384" s="445"/>
      <c r="AW384" s="607"/>
      <c r="AX384" s="607"/>
      <c r="AY384" s="607"/>
      <c r="AZ384" s="1209"/>
      <c r="BA384" s="1209"/>
    </row>
    <row r="385" spans="2:53" s="256" customFormat="1" ht="24.95" customHeight="1">
      <c r="B385" s="445"/>
      <c r="C385" s="204"/>
      <c r="D385" s="204"/>
      <c r="E385" s="204"/>
      <c r="F385" s="368"/>
      <c r="G385" s="1134"/>
      <c r="H385" s="401"/>
      <c r="I385" s="317"/>
      <c r="N385" s="317"/>
      <c r="O385" s="1135"/>
      <c r="P385" s="1136"/>
      <c r="Q385" s="1137"/>
      <c r="R385" s="1120"/>
      <c r="S385" s="1120"/>
      <c r="T385" s="1120"/>
      <c r="U385" s="1120"/>
      <c r="V385" s="1120"/>
      <c r="W385" s="1120"/>
      <c r="Z385" s="1145"/>
      <c r="AA385" s="1120"/>
      <c r="AB385" s="1120"/>
      <c r="AC385" s="1120"/>
      <c r="AD385" s="1212"/>
      <c r="AE385" s="1212"/>
      <c r="AF385" s="1186"/>
      <c r="AG385" s="1186"/>
      <c r="AH385" s="1222"/>
      <c r="AI385" s="1222"/>
      <c r="AJ385" s="1222"/>
      <c r="AK385" s="1222"/>
      <c r="AL385" s="1222"/>
      <c r="AM385" s="1222"/>
      <c r="AN385" s="1222"/>
      <c r="AO385" s="1222"/>
      <c r="AP385" s="1222"/>
      <c r="AQ385" s="1222"/>
      <c r="AR385" s="1222"/>
      <c r="AS385" s="1222"/>
      <c r="AT385" s="1222"/>
      <c r="AU385" s="1120"/>
      <c r="AV385" s="445"/>
      <c r="AW385" s="607"/>
      <c r="AX385" s="607"/>
      <c r="AY385" s="607"/>
      <c r="AZ385" s="1209"/>
      <c r="BA385" s="1209"/>
    </row>
    <row r="386" spans="2:53" s="256" customFormat="1" ht="24.95" customHeight="1">
      <c r="B386" s="445"/>
      <c r="C386" s="204"/>
      <c r="D386" s="204"/>
      <c r="E386" s="204"/>
      <c r="F386" s="368"/>
      <c r="G386" s="1134"/>
      <c r="H386" s="401"/>
      <c r="I386" s="317"/>
      <c r="N386" s="317"/>
      <c r="O386" s="1135"/>
      <c r="P386" s="1136"/>
      <c r="Q386" s="1137"/>
      <c r="R386" s="1120"/>
      <c r="S386" s="1120"/>
      <c r="T386" s="1120"/>
      <c r="U386" s="1120"/>
      <c r="V386" s="1120"/>
      <c r="W386" s="1120"/>
      <c r="Z386" s="1145"/>
      <c r="AA386" s="1120"/>
      <c r="AB386" s="1120"/>
      <c r="AC386" s="1120"/>
      <c r="AD386" s="1212"/>
      <c r="AE386" s="1212"/>
      <c r="AF386" s="1186"/>
      <c r="AG386" s="1186"/>
      <c r="AH386" s="1222"/>
      <c r="AI386" s="1222"/>
      <c r="AJ386" s="1222"/>
      <c r="AK386" s="1222"/>
      <c r="AL386" s="1222"/>
      <c r="AM386" s="1222"/>
      <c r="AN386" s="1222"/>
      <c r="AO386" s="1222"/>
      <c r="AP386" s="1222"/>
      <c r="AQ386" s="1222"/>
      <c r="AR386" s="1222"/>
      <c r="AS386" s="1222"/>
      <c r="AT386" s="1222"/>
      <c r="AU386" s="1120"/>
      <c r="AV386" s="445"/>
      <c r="AW386" s="607"/>
      <c r="AX386" s="607"/>
      <c r="AY386" s="607"/>
      <c r="AZ386" s="1209"/>
      <c r="BA386" s="1209"/>
    </row>
    <row r="387" spans="2:53" s="256" customFormat="1" ht="24.95" customHeight="1">
      <c r="B387" s="445"/>
      <c r="C387" s="204"/>
      <c r="D387" s="204"/>
      <c r="E387" s="204"/>
      <c r="F387" s="368"/>
      <c r="G387" s="1134"/>
      <c r="H387" s="401"/>
      <c r="I387" s="317"/>
      <c r="N387" s="317"/>
      <c r="O387" s="1135"/>
      <c r="P387" s="1136"/>
      <c r="Q387" s="1137"/>
      <c r="R387" s="1120"/>
      <c r="S387" s="1120"/>
      <c r="T387" s="1120"/>
      <c r="U387" s="1120"/>
      <c r="V387" s="1120"/>
      <c r="W387" s="1120"/>
      <c r="Z387" s="1145"/>
      <c r="AA387" s="1120"/>
      <c r="AB387" s="1120"/>
      <c r="AC387" s="1120"/>
      <c r="AD387" s="1212"/>
      <c r="AE387" s="1212"/>
      <c r="AF387" s="1186"/>
      <c r="AG387" s="1186"/>
      <c r="AH387" s="1222"/>
      <c r="AI387" s="1222"/>
      <c r="AJ387" s="1222"/>
      <c r="AK387" s="1222"/>
      <c r="AL387" s="1222"/>
      <c r="AM387" s="1222"/>
      <c r="AN387" s="1222"/>
      <c r="AO387" s="1222"/>
      <c r="AP387" s="1222"/>
      <c r="AQ387" s="1222"/>
      <c r="AR387" s="1222"/>
      <c r="AS387" s="1222"/>
      <c r="AT387" s="1222"/>
      <c r="AU387" s="1120"/>
      <c r="AV387" s="445"/>
      <c r="AW387" s="607"/>
      <c r="AX387" s="607"/>
      <c r="AY387" s="607"/>
      <c r="AZ387" s="1209"/>
      <c r="BA387" s="1209"/>
    </row>
    <row r="388" spans="2:53" s="256" customFormat="1" ht="24.95" customHeight="1">
      <c r="B388" s="445"/>
      <c r="C388" s="204"/>
      <c r="D388" s="204"/>
      <c r="E388" s="204"/>
      <c r="F388" s="368"/>
      <c r="G388" s="1134"/>
      <c r="H388" s="401"/>
      <c r="I388" s="317"/>
      <c r="N388" s="317"/>
      <c r="O388" s="1135"/>
      <c r="P388" s="1136"/>
      <c r="Q388" s="1137"/>
      <c r="R388" s="1120"/>
      <c r="S388" s="1120"/>
      <c r="T388" s="1120"/>
      <c r="U388" s="1120"/>
      <c r="V388" s="1120"/>
      <c r="W388" s="1120"/>
      <c r="Z388" s="1145"/>
      <c r="AA388" s="1120"/>
      <c r="AB388" s="1120"/>
      <c r="AC388" s="1120"/>
      <c r="AD388" s="1212"/>
      <c r="AE388" s="1212"/>
      <c r="AF388" s="1186"/>
      <c r="AG388" s="1186"/>
      <c r="AH388" s="1222"/>
      <c r="AI388" s="1222"/>
      <c r="AJ388" s="1222"/>
      <c r="AK388" s="1222"/>
      <c r="AL388" s="1222"/>
      <c r="AM388" s="1222"/>
      <c r="AN388" s="1222"/>
      <c r="AO388" s="1222"/>
      <c r="AP388" s="1222"/>
      <c r="AQ388" s="1222"/>
      <c r="AR388" s="1222"/>
      <c r="AS388" s="1222"/>
      <c r="AT388" s="1222"/>
      <c r="AU388" s="1120"/>
      <c r="AV388" s="445"/>
      <c r="AW388" s="607"/>
      <c r="AX388" s="607"/>
      <c r="AY388" s="607"/>
      <c r="AZ388" s="1209"/>
      <c r="BA388" s="1209"/>
    </row>
    <row r="389" spans="2:53" s="256" customFormat="1" ht="24.95" customHeight="1">
      <c r="B389" s="445"/>
      <c r="C389" s="204"/>
      <c r="D389" s="204"/>
      <c r="E389" s="204"/>
      <c r="F389" s="368"/>
      <c r="G389" s="1134"/>
      <c r="H389" s="401"/>
      <c r="I389" s="317"/>
      <c r="N389" s="317"/>
      <c r="O389" s="1135"/>
      <c r="P389" s="1136"/>
      <c r="Q389" s="1137"/>
      <c r="R389" s="1120"/>
      <c r="S389" s="1120"/>
      <c r="T389" s="1120"/>
      <c r="U389" s="1120"/>
      <c r="V389" s="1120"/>
      <c r="W389" s="1120"/>
      <c r="Z389" s="1145"/>
      <c r="AA389" s="1120"/>
      <c r="AB389" s="1120"/>
      <c r="AC389" s="1120"/>
      <c r="AD389" s="1212"/>
      <c r="AE389" s="1212"/>
      <c r="AF389" s="1186"/>
      <c r="AG389" s="1186"/>
      <c r="AH389" s="1222"/>
      <c r="AI389" s="1222"/>
      <c r="AJ389" s="1222"/>
      <c r="AK389" s="1222"/>
      <c r="AL389" s="1222"/>
      <c r="AM389" s="1222"/>
      <c r="AN389" s="1222"/>
      <c r="AO389" s="1222"/>
      <c r="AP389" s="1222"/>
      <c r="AQ389" s="1222"/>
      <c r="AR389" s="1222"/>
      <c r="AS389" s="1222"/>
      <c r="AT389" s="1222"/>
      <c r="AU389" s="1120"/>
      <c r="AV389" s="445"/>
      <c r="AW389" s="607"/>
      <c r="AX389" s="607"/>
      <c r="AY389" s="607"/>
      <c r="AZ389" s="1209"/>
      <c r="BA389" s="1209"/>
    </row>
    <row r="390" spans="2:53" s="256" customFormat="1" ht="24.95" customHeight="1">
      <c r="B390" s="445"/>
      <c r="C390" s="204"/>
      <c r="D390" s="204"/>
      <c r="E390" s="204"/>
      <c r="F390" s="368"/>
      <c r="G390" s="1134"/>
      <c r="H390" s="401"/>
      <c r="I390" s="317"/>
      <c r="N390" s="317"/>
      <c r="O390" s="1135"/>
      <c r="P390" s="1136"/>
      <c r="Q390" s="1137"/>
      <c r="R390" s="1120"/>
      <c r="S390" s="1120"/>
      <c r="T390" s="1120"/>
      <c r="U390" s="1120"/>
      <c r="V390" s="1120"/>
      <c r="W390" s="1120"/>
      <c r="Z390" s="1145"/>
      <c r="AA390" s="1120"/>
      <c r="AB390" s="1120"/>
      <c r="AC390" s="1120"/>
      <c r="AD390" s="1212"/>
      <c r="AE390" s="1212"/>
      <c r="AF390" s="1186"/>
      <c r="AG390" s="1186"/>
      <c r="AH390" s="1222"/>
      <c r="AI390" s="1222"/>
      <c r="AJ390" s="1222"/>
      <c r="AK390" s="1222"/>
      <c r="AL390" s="1222"/>
      <c r="AM390" s="1222"/>
      <c r="AN390" s="1222"/>
      <c r="AO390" s="1222"/>
      <c r="AP390" s="1222"/>
      <c r="AQ390" s="1222"/>
      <c r="AR390" s="1222"/>
      <c r="AS390" s="1222"/>
      <c r="AT390" s="1222"/>
      <c r="AU390" s="1120"/>
      <c r="AV390" s="445"/>
      <c r="AW390" s="607"/>
      <c r="AX390" s="607"/>
      <c r="AY390" s="607"/>
      <c r="AZ390" s="1209"/>
      <c r="BA390" s="1209"/>
    </row>
    <row r="391" spans="2:53" s="256" customFormat="1" ht="24.95" customHeight="1">
      <c r="B391" s="445"/>
      <c r="C391" s="204"/>
      <c r="D391" s="204"/>
      <c r="E391" s="204"/>
      <c r="F391" s="368"/>
      <c r="G391" s="1134"/>
      <c r="H391" s="401"/>
      <c r="I391" s="317"/>
      <c r="N391" s="317"/>
      <c r="O391" s="1135"/>
      <c r="P391" s="1136"/>
      <c r="Q391" s="1137"/>
      <c r="R391" s="1120"/>
      <c r="S391" s="1120"/>
      <c r="T391" s="1120"/>
      <c r="U391" s="1120"/>
      <c r="V391" s="1120"/>
      <c r="W391" s="1120"/>
      <c r="Z391" s="1145"/>
      <c r="AA391" s="1120"/>
      <c r="AB391" s="1120"/>
      <c r="AC391" s="1120"/>
      <c r="AD391" s="1212"/>
      <c r="AE391" s="1212"/>
      <c r="AF391" s="1186"/>
      <c r="AG391" s="1186"/>
      <c r="AH391" s="1222"/>
      <c r="AI391" s="1222"/>
      <c r="AJ391" s="1222"/>
      <c r="AK391" s="1222"/>
      <c r="AL391" s="1222"/>
      <c r="AM391" s="1222"/>
      <c r="AN391" s="1222"/>
      <c r="AO391" s="1222"/>
      <c r="AP391" s="1222"/>
      <c r="AQ391" s="1222"/>
      <c r="AR391" s="1222"/>
      <c r="AS391" s="1222"/>
      <c r="AT391" s="1222"/>
      <c r="AU391" s="1120"/>
      <c r="AV391" s="445"/>
      <c r="AW391" s="607"/>
      <c r="AX391" s="607"/>
      <c r="AY391" s="607"/>
      <c r="AZ391" s="1209"/>
      <c r="BA391" s="1209"/>
    </row>
    <row r="392" spans="2:53" s="256" customFormat="1" ht="24.95" customHeight="1">
      <c r="B392" s="445"/>
      <c r="C392" s="204"/>
      <c r="D392" s="204"/>
      <c r="E392" s="204"/>
      <c r="F392" s="368"/>
      <c r="G392" s="1134"/>
      <c r="H392" s="401"/>
      <c r="I392" s="317"/>
      <c r="N392" s="317"/>
      <c r="O392" s="1135"/>
      <c r="P392" s="1136"/>
      <c r="Q392" s="1137"/>
      <c r="R392" s="1120"/>
      <c r="S392" s="1120"/>
      <c r="T392" s="1120"/>
      <c r="U392" s="1120"/>
      <c r="V392" s="1120"/>
      <c r="W392" s="1120"/>
      <c r="Z392" s="1145"/>
      <c r="AA392" s="1120"/>
      <c r="AB392" s="1120"/>
      <c r="AC392" s="1120"/>
      <c r="AD392" s="1212"/>
      <c r="AE392" s="1212"/>
      <c r="AF392" s="1186"/>
      <c r="AG392" s="1186"/>
      <c r="AH392" s="1222"/>
      <c r="AI392" s="1222"/>
      <c r="AJ392" s="1222"/>
      <c r="AK392" s="1222"/>
      <c r="AL392" s="1222"/>
      <c r="AM392" s="1222"/>
      <c r="AN392" s="1222"/>
      <c r="AO392" s="1222"/>
      <c r="AP392" s="1222"/>
      <c r="AQ392" s="1222"/>
      <c r="AR392" s="1222"/>
      <c r="AS392" s="1222"/>
      <c r="AT392" s="1222"/>
      <c r="AU392" s="1120"/>
      <c r="AV392" s="445"/>
      <c r="AW392" s="607"/>
      <c r="AX392" s="607"/>
      <c r="AY392" s="607"/>
      <c r="AZ392" s="1209"/>
      <c r="BA392" s="1209"/>
    </row>
    <row r="393" spans="2:53" s="256" customFormat="1" ht="24.95" customHeight="1">
      <c r="B393" s="445"/>
      <c r="C393" s="204"/>
      <c r="D393" s="204"/>
      <c r="E393" s="204"/>
      <c r="F393" s="368"/>
      <c r="G393" s="1134"/>
      <c r="H393" s="401"/>
      <c r="I393" s="317"/>
      <c r="N393" s="317"/>
      <c r="O393" s="1135"/>
      <c r="P393" s="1136"/>
      <c r="Q393" s="1137"/>
      <c r="R393" s="1120"/>
      <c r="S393" s="1120"/>
      <c r="T393" s="1120"/>
      <c r="U393" s="1120"/>
      <c r="V393" s="1120"/>
      <c r="W393" s="1120"/>
      <c r="Z393" s="1145"/>
      <c r="AA393" s="1120"/>
      <c r="AB393" s="1120"/>
      <c r="AC393" s="1120"/>
      <c r="AD393" s="1212"/>
      <c r="AE393" s="1212"/>
      <c r="AF393" s="1186"/>
      <c r="AG393" s="1186"/>
      <c r="AH393" s="1222"/>
      <c r="AI393" s="1222"/>
      <c r="AJ393" s="1222"/>
      <c r="AK393" s="1222"/>
      <c r="AL393" s="1222"/>
      <c r="AM393" s="1222"/>
      <c r="AN393" s="1222"/>
      <c r="AO393" s="1222"/>
      <c r="AP393" s="1222"/>
      <c r="AQ393" s="1222"/>
      <c r="AR393" s="1222"/>
      <c r="AS393" s="1222"/>
      <c r="AT393" s="1222"/>
      <c r="AU393" s="1120"/>
      <c r="AV393" s="445"/>
      <c r="AW393" s="607"/>
      <c r="AX393" s="607"/>
      <c r="AY393" s="607"/>
      <c r="AZ393" s="1209"/>
      <c r="BA393" s="1209"/>
    </row>
    <row r="394" spans="2:53" s="256" customFormat="1" ht="24.95" customHeight="1">
      <c r="B394" s="445"/>
      <c r="C394" s="204"/>
      <c r="D394" s="204"/>
      <c r="E394" s="204"/>
      <c r="F394" s="368"/>
      <c r="G394" s="1134"/>
      <c r="H394" s="401"/>
      <c r="I394" s="317"/>
      <c r="N394" s="317"/>
      <c r="O394" s="1135"/>
      <c r="P394" s="1136"/>
      <c r="Q394" s="1137"/>
      <c r="R394" s="1120"/>
      <c r="S394" s="1120"/>
      <c r="T394" s="1120"/>
      <c r="U394" s="1120"/>
      <c r="V394" s="1120"/>
      <c r="W394" s="1120"/>
      <c r="Z394" s="1145"/>
      <c r="AA394" s="1120"/>
      <c r="AB394" s="1120"/>
      <c r="AC394" s="1120"/>
      <c r="AD394" s="1212"/>
      <c r="AE394" s="1212"/>
      <c r="AF394" s="1186"/>
      <c r="AG394" s="1186"/>
      <c r="AH394" s="1222"/>
      <c r="AI394" s="1222"/>
      <c r="AJ394" s="1222"/>
      <c r="AK394" s="1222"/>
      <c r="AL394" s="1222"/>
      <c r="AM394" s="1222"/>
      <c r="AN394" s="1222"/>
      <c r="AO394" s="1222"/>
      <c r="AP394" s="1222"/>
      <c r="AQ394" s="1222"/>
      <c r="AR394" s="1222"/>
      <c r="AS394" s="1222"/>
      <c r="AT394" s="1222"/>
      <c r="AU394" s="1120"/>
      <c r="AV394" s="445"/>
      <c r="AW394" s="607"/>
      <c r="AX394" s="607"/>
      <c r="AY394" s="607"/>
      <c r="AZ394" s="1209"/>
      <c r="BA394" s="1209"/>
    </row>
    <row r="395" spans="2:53" s="256" customFormat="1" ht="24.95" customHeight="1">
      <c r="B395" s="445"/>
      <c r="C395" s="204"/>
      <c r="D395" s="204"/>
      <c r="E395" s="204"/>
      <c r="F395" s="368"/>
      <c r="G395" s="1134"/>
      <c r="H395" s="401"/>
      <c r="I395" s="317"/>
      <c r="N395" s="317"/>
      <c r="O395" s="1135"/>
      <c r="P395" s="1136"/>
      <c r="Q395" s="1137"/>
      <c r="R395" s="1120"/>
      <c r="S395" s="1120"/>
      <c r="T395" s="1120"/>
      <c r="U395" s="1120"/>
      <c r="V395" s="1120"/>
      <c r="W395" s="1120"/>
      <c r="Z395" s="1145"/>
      <c r="AA395" s="1120"/>
      <c r="AB395" s="1120"/>
      <c r="AC395" s="1120"/>
      <c r="AD395" s="1212"/>
      <c r="AE395" s="1212"/>
      <c r="AF395" s="1186"/>
      <c r="AG395" s="1186"/>
      <c r="AH395" s="1222"/>
      <c r="AI395" s="1222"/>
      <c r="AJ395" s="1222"/>
      <c r="AK395" s="1222"/>
      <c r="AL395" s="1222"/>
      <c r="AM395" s="1222"/>
      <c r="AN395" s="1222"/>
      <c r="AO395" s="1222"/>
      <c r="AP395" s="1222"/>
      <c r="AQ395" s="1222"/>
      <c r="AR395" s="1222"/>
      <c r="AS395" s="1222"/>
      <c r="AT395" s="1222"/>
      <c r="AU395" s="1120"/>
      <c r="AV395" s="445"/>
      <c r="AW395" s="607"/>
      <c r="AX395" s="607"/>
      <c r="AY395" s="607"/>
      <c r="AZ395" s="1209"/>
      <c r="BA395" s="1209"/>
    </row>
    <row r="396" spans="2:53" s="256" customFormat="1" ht="24.95" customHeight="1">
      <c r="B396" s="445"/>
      <c r="C396" s="204"/>
      <c r="D396" s="204"/>
      <c r="E396" s="204"/>
      <c r="F396" s="368"/>
      <c r="G396" s="1134"/>
      <c r="H396" s="401"/>
      <c r="I396" s="317"/>
      <c r="N396" s="317"/>
      <c r="O396" s="1135"/>
      <c r="P396" s="1136"/>
      <c r="Q396" s="1137"/>
      <c r="R396" s="1120"/>
      <c r="S396" s="1120"/>
      <c r="T396" s="1120"/>
      <c r="U396" s="1120"/>
      <c r="V396" s="1120"/>
      <c r="W396" s="1120"/>
      <c r="Z396" s="1145"/>
      <c r="AA396" s="1120"/>
      <c r="AB396" s="1120"/>
      <c r="AC396" s="1120"/>
      <c r="AD396" s="1212"/>
      <c r="AE396" s="1212"/>
      <c r="AF396" s="1186"/>
      <c r="AG396" s="1186"/>
      <c r="AH396" s="1222"/>
      <c r="AI396" s="1222"/>
      <c r="AJ396" s="1222"/>
      <c r="AK396" s="1222"/>
      <c r="AL396" s="1222"/>
      <c r="AM396" s="1222"/>
      <c r="AN396" s="1222"/>
      <c r="AO396" s="1222"/>
      <c r="AP396" s="1222"/>
      <c r="AQ396" s="1222"/>
      <c r="AR396" s="1222"/>
      <c r="AS396" s="1222"/>
      <c r="AT396" s="1222"/>
      <c r="AU396" s="1120"/>
      <c r="AV396" s="445"/>
      <c r="AW396" s="607"/>
      <c r="AX396" s="607"/>
      <c r="AY396" s="607"/>
      <c r="AZ396" s="1209"/>
      <c r="BA396" s="1209"/>
    </row>
    <row r="397" spans="2:53" s="256" customFormat="1" ht="24.95" customHeight="1">
      <c r="B397" s="445"/>
      <c r="C397" s="204"/>
      <c r="D397" s="204"/>
      <c r="E397" s="204"/>
      <c r="F397" s="368"/>
      <c r="G397" s="1134"/>
      <c r="H397" s="401"/>
      <c r="I397" s="317"/>
      <c r="N397" s="317"/>
      <c r="O397" s="1135"/>
      <c r="P397" s="1136"/>
      <c r="Q397" s="1137"/>
      <c r="R397" s="1120"/>
      <c r="S397" s="1120"/>
      <c r="T397" s="1120"/>
      <c r="U397" s="1120"/>
      <c r="V397" s="1120"/>
      <c r="W397" s="1120"/>
      <c r="Z397" s="1145"/>
      <c r="AA397" s="1120"/>
      <c r="AB397" s="1120"/>
      <c r="AC397" s="1120"/>
      <c r="AD397" s="1212"/>
      <c r="AE397" s="1212"/>
      <c r="AF397" s="1186"/>
      <c r="AG397" s="1186"/>
      <c r="AH397" s="1222"/>
      <c r="AI397" s="1222"/>
      <c r="AJ397" s="1222"/>
      <c r="AK397" s="1222"/>
      <c r="AL397" s="1222"/>
      <c r="AM397" s="1222"/>
      <c r="AN397" s="1222"/>
      <c r="AO397" s="1222"/>
      <c r="AP397" s="1222"/>
      <c r="AQ397" s="1222"/>
      <c r="AR397" s="1222"/>
      <c r="AS397" s="1222"/>
      <c r="AT397" s="1222"/>
      <c r="AU397" s="1120"/>
      <c r="AV397" s="445"/>
      <c r="AW397" s="607"/>
      <c r="AX397" s="607"/>
      <c r="AY397" s="607"/>
      <c r="AZ397" s="1209"/>
      <c r="BA397" s="1209"/>
    </row>
    <row r="398" spans="2:53" s="256" customFormat="1" ht="24.95" customHeight="1">
      <c r="B398" s="445"/>
      <c r="C398" s="204"/>
      <c r="D398" s="204"/>
      <c r="E398" s="204"/>
      <c r="F398" s="368"/>
      <c r="G398" s="1134"/>
      <c r="H398" s="401"/>
      <c r="I398" s="317"/>
      <c r="N398" s="317"/>
      <c r="O398" s="1135"/>
      <c r="P398" s="1136"/>
      <c r="Q398" s="1137"/>
      <c r="R398" s="1120"/>
      <c r="S398" s="1120"/>
      <c r="T398" s="1120"/>
      <c r="U398" s="1120"/>
      <c r="V398" s="1120"/>
      <c r="W398" s="1120"/>
      <c r="Z398" s="1145"/>
      <c r="AA398" s="1120"/>
      <c r="AB398" s="1120"/>
      <c r="AC398" s="1120"/>
      <c r="AD398" s="1212"/>
      <c r="AE398" s="1212"/>
      <c r="AF398" s="1186"/>
      <c r="AG398" s="1186"/>
      <c r="AH398" s="1222"/>
      <c r="AI398" s="1222"/>
      <c r="AJ398" s="1222"/>
      <c r="AK398" s="1222"/>
      <c r="AL398" s="1222"/>
      <c r="AM398" s="1222"/>
      <c r="AN398" s="1222"/>
      <c r="AO398" s="1222"/>
      <c r="AP398" s="1222"/>
      <c r="AQ398" s="1222"/>
      <c r="AR398" s="1222"/>
      <c r="AS398" s="1222"/>
      <c r="AT398" s="1222"/>
      <c r="AU398" s="1120"/>
      <c r="AV398" s="445"/>
      <c r="AW398" s="607"/>
      <c r="AX398" s="607"/>
      <c r="AY398" s="607"/>
      <c r="AZ398" s="1209"/>
      <c r="BA398" s="1209"/>
    </row>
    <row r="399" spans="2:53" s="256" customFormat="1" ht="24.95" customHeight="1">
      <c r="B399" s="445"/>
      <c r="C399" s="204"/>
      <c r="D399" s="204"/>
      <c r="E399" s="204"/>
      <c r="F399" s="368"/>
      <c r="G399" s="1134"/>
      <c r="H399" s="401"/>
      <c r="I399" s="317"/>
      <c r="N399" s="317"/>
      <c r="O399" s="1135"/>
      <c r="P399" s="1136"/>
      <c r="Q399" s="1137"/>
      <c r="R399" s="1120"/>
      <c r="S399" s="1120"/>
      <c r="T399" s="1120"/>
      <c r="U399" s="1120"/>
      <c r="V399" s="1120"/>
      <c r="W399" s="1120"/>
      <c r="Z399" s="1145"/>
      <c r="AA399" s="1120"/>
      <c r="AB399" s="1120"/>
      <c r="AC399" s="1120"/>
      <c r="AD399" s="1212"/>
      <c r="AE399" s="1212"/>
      <c r="AF399" s="1186"/>
      <c r="AG399" s="1186"/>
      <c r="AH399" s="1222"/>
      <c r="AI399" s="1222"/>
      <c r="AJ399" s="1222"/>
      <c r="AK399" s="1222"/>
      <c r="AL399" s="1222"/>
      <c r="AM399" s="1222"/>
      <c r="AN399" s="1222"/>
      <c r="AO399" s="1222"/>
      <c r="AP399" s="1222"/>
      <c r="AQ399" s="1222"/>
      <c r="AR399" s="1222"/>
      <c r="AS399" s="1222"/>
      <c r="AT399" s="1222"/>
      <c r="AU399" s="1120"/>
      <c r="AV399" s="445"/>
      <c r="AW399" s="607"/>
      <c r="AX399" s="607"/>
      <c r="AY399" s="607"/>
      <c r="AZ399" s="1209"/>
      <c r="BA399" s="1209"/>
    </row>
    <row r="400" spans="2:53" s="256" customFormat="1" ht="24.95" customHeight="1">
      <c r="B400" s="445"/>
      <c r="C400" s="204"/>
      <c r="D400" s="204"/>
      <c r="E400" s="204"/>
      <c r="F400" s="368"/>
      <c r="G400" s="1134"/>
      <c r="H400" s="401"/>
      <c r="I400" s="317"/>
      <c r="N400" s="317"/>
      <c r="O400" s="1135"/>
      <c r="P400" s="1136"/>
      <c r="Q400" s="1137"/>
      <c r="R400" s="1120"/>
      <c r="S400" s="1120"/>
      <c r="T400" s="1120"/>
      <c r="U400" s="1120"/>
      <c r="V400" s="1120"/>
      <c r="W400" s="1120"/>
      <c r="Z400" s="1145"/>
      <c r="AA400" s="1120"/>
      <c r="AB400" s="1120"/>
      <c r="AC400" s="1120"/>
      <c r="AD400" s="1212"/>
      <c r="AE400" s="1212"/>
      <c r="AF400" s="1186"/>
      <c r="AG400" s="1186"/>
      <c r="AH400" s="1222"/>
      <c r="AI400" s="1222"/>
      <c r="AJ400" s="1222"/>
      <c r="AK400" s="1222"/>
      <c r="AL400" s="1222"/>
      <c r="AM400" s="1222"/>
      <c r="AN400" s="1222"/>
      <c r="AO400" s="1222"/>
      <c r="AP400" s="1222"/>
      <c r="AQ400" s="1222"/>
      <c r="AR400" s="1222"/>
      <c r="AS400" s="1222"/>
      <c r="AT400" s="1222"/>
      <c r="AU400" s="1120"/>
      <c r="AV400" s="445"/>
      <c r="AW400" s="607"/>
      <c r="AX400" s="607"/>
      <c r="AY400" s="607"/>
      <c r="AZ400" s="1209"/>
      <c r="BA400" s="1209"/>
    </row>
    <row r="401" spans="2:53" s="256" customFormat="1" ht="24.95" customHeight="1">
      <c r="B401" s="445"/>
      <c r="C401" s="204"/>
      <c r="D401" s="204"/>
      <c r="E401" s="204"/>
      <c r="F401" s="368"/>
      <c r="G401" s="1134"/>
      <c r="H401" s="401"/>
      <c r="I401" s="317"/>
      <c r="N401" s="317"/>
      <c r="O401" s="1135"/>
      <c r="P401" s="1136"/>
      <c r="Q401" s="1137"/>
      <c r="R401" s="1120"/>
      <c r="S401" s="1120"/>
      <c r="T401" s="1120"/>
      <c r="U401" s="1120"/>
      <c r="V401" s="1120"/>
      <c r="W401" s="1120"/>
      <c r="Z401" s="1145"/>
      <c r="AA401" s="1120"/>
      <c r="AB401" s="1120"/>
      <c r="AC401" s="1120"/>
      <c r="AD401" s="1212"/>
      <c r="AE401" s="1212"/>
      <c r="AF401" s="1186"/>
      <c r="AG401" s="1186"/>
      <c r="AH401" s="1222"/>
      <c r="AI401" s="1222"/>
      <c r="AJ401" s="1222"/>
      <c r="AK401" s="1222"/>
      <c r="AL401" s="1222"/>
      <c r="AM401" s="1222"/>
      <c r="AN401" s="1222"/>
      <c r="AO401" s="1222"/>
      <c r="AP401" s="1222"/>
      <c r="AQ401" s="1222"/>
      <c r="AR401" s="1222"/>
      <c r="AS401" s="1222"/>
      <c r="AT401" s="1222"/>
      <c r="AU401" s="1120"/>
      <c r="AV401" s="445"/>
      <c r="AW401" s="607"/>
      <c r="AX401" s="607"/>
      <c r="AY401" s="607"/>
      <c r="AZ401" s="1209"/>
      <c r="BA401" s="1209"/>
    </row>
    <row r="402" spans="2:53" s="256" customFormat="1" ht="24.95" customHeight="1">
      <c r="B402" s="445"/>
      <c r="C402" s="204"/>
      <c r="D402" s="204"/>
      <c r="E402" s="204"/>
      <c r="F402" s="368"/>
      <c r="G402" s="1134"/>
      <c r="H402" s="401"/>
      <c r="I402" s="317"/>
      <c r="N402" s="317"/>
      <c r="O402" s="1135"/>
      <c r="P402" s="1136"/>
      <c r="Q402" s="1137"/>
      <c r="R402" s="1120"/>
      <c r="S402" s="1120"/>
      <c r="T402" s="1120"/>
      <c r="U402" s="1120"/>
      <c r="V402" s="1120"/>
      <c r="W402" s="1120"/>
      <c r="Z402" s="1145"/>
      <c r="AA402" s="1120"/>
      <c r="AB402" s="1120"/>
      <c r="AC402" s="1120"/>
      <c r="AD402" s="1212"/>
      <c r="AE402" s="1212"/>
      <c r="AF402" s="1186"/>
      <c r="AG402" s="1186"/>
      <c r="AH402" s="1222"/>
      <c r="AI402" s="1222"/>
      <c r="AJ402" s="1222"/>
      <c r="AK402" s="1222"/>
      <c r="AL402" s="1222"/>
      <c r="AM402" s="1222"/>
      <c r="AN402" s="1222"/>
      <c r="AO402" s="1222"/>
      <c r="AP402" s="1222"/>
      <c r="AQ402" s="1222"/>
      <c r="AR402" s="1222"/>
      <c r="AS402" s="1222"/>
      <c r="AT402" s="1222"/>
      <c r="AU402" s="1120"/>
      <c r="AV402" s="445"/>
      <c r="AW402" s="607"/>
      <c r="AX402" s="607"/>
      <c r="AY402" s="607"/>
      <c r="AZ402" s="1209"/>
      <c r="BA402" s="1209"/>
    </row>
    <row r="403" spans="2:53" s="256" customFormat="1" ht="24.95" customHeight="1">
      <c r="B403" s="445"/>
      <c r="C403" s="204"/>
      <c r="D403" s="204"/>
      <c r="E403" s="204"/>
      <c r="F403" s="368"/>
      <c r="G403" s="1134"/>
      <c r="H403" s="401"/>
      <c r="I403" s="317"/>
      <c r="N403" s="317"/>
      <c r="O403" s="1135"/>
      <c r="P403" s="1136"/>
      <c r="Q403" s="1137"/>
      <c r="R403" s="1120"/>
      <c r="S403" s="1120"/>
      <c r="T403" s="1120"/>
      <c r="U403" s="1120"/>
      <c r="V403" s="1120"/>
      <c r="W403" s="1120"/>
      <c r="Z403" s="1145"/>
      <c r="AA403" s="1120"/>
      <c r="AB403" s="1120"/>
      <c r="AC403" s="1120"/>
      <c r="AD403" s="1212"/>
      <c r="AE403" s="1212"/>
      <c r="AF403" s="1186"/>
      <c r="AG403" s="1186"/>
      <c r="AH403" s="1222"/>
      <c r="AI403" s="1222"/>
      <c r="AJ403" s="1222"/>
      <c r="AK403" s="1222"/>
      <c r="AL403" s="1222"/>
      <c r="AM403" s="1222"/>
      <c r="AN403" s="1222"/>
      <c r="AO403" s="1222"/>
      <c r="AP403" s="1222"/>
      <c r="AQ403" s="1222"/>
      <c r="AR403" s="1222"/>
      <c r="AS403" s="1222"/>
      <c r="AT403" s="1222"/>
      <c r="AU403" s="1120"/>
      <c r="AV403" s="445"/>
      <c r="AW403" s="607"/>
      <c r="AX403" s="607"/>
      <c r="AY403" s="607"/>
      <c r="AZ403" s="1209"/>
      <c r="BA403" s="1209"/>
    </row>
    <row r="404" spans="2:53" s="256" customFormat="1" ht="24.95" customHeight="1">
      <c r="B404" s="445"/>
      <c r="C404" s="204"/>
      <c r="D404" s="204"/>
      <c r="E404" s="204"/>
      <c r="F404" s="368"/>
      <c r="G404" s="1134"/>
      <c r="H404" s="401"/>
      <c r="I404" s="317"/>
      <c r="N404" s="317"/>
      <c r="O404" s="1135"/>
      <c r="P404" s="1136"/>
      <c r="Q404" s="1137"/>
      <c r="R404" s="1120"/>
      <c r="S404" s="1120"/>
      <c r="T404" s="1120"/>
      <c r="U404" s="1120"/>
      <c r="V404" s="1120"/>
      <c r="W404" s="1120"/>
      <c r="Z404" s="1145"/>
      <c r="AA404" s="1120"/>
      <c r="AB404" s="1120"/>
      <c r="AC404" s="1120"/>
      <c r="AD404" s="1212"/>
      <c r="AE404" s="1212"/>
      <c r="AF404" s="1186"/>
      <c r="AG404" s="1186"/>
      <c r="AH404" s="1222"/>
      <c r="AI404" s="1222"/>
      <c r="AJ404" s="1222"/>
      <c r="AK404" s="1222"/>
      <c r="AL404" s="1222"/>
      <c r="AM404" s="1222"/>
      <c r="AN404" s="1222"/>
      <c r="AO404" s="1222"/>
      <c r="AP404" s="1222"/>
      <c r="AQ404" s="1222"/>
      <c r="AR404" s="1222"/>
      <c r="AS404" s="1222"/>
      <c r="AT404" s="1222"/>
      <c r="AU404" s="1120"/>
      <c r="AV404" s="445"/>
      <c r="AW404" s="607"/>
      <c r="AX404" s="607"/>
      <c r="AY404" s="607"/>
      <c r="AZ404" s="1209"/>
      <c r="BA404" s="1209"/>
    </row>
    <row r="405" spans="2:53" s="256" customFormat="1" ht="24.95" customHeight="1">
      <c r="B405" s="445"/>
      <c r="C405" s="204"/>
      <c r="D405" s="204"/>
      <c r="E405" s="204"/>
      <c r="F405" s="368"/>
      <c r="G405" s="1134"/>
      <c r="H405" s="401"/>
      <c r="I405" s="317"/>
      <c r="N405" s="317"/>
      <c r="O405" s="1135"/>
      <c r="P405" s="1136"/>
      <c r="Q405" s="1137"/>
      <c r="R405" s="1120"/>
      <c r="S405" s="1120"/>
      <c r="T405" s="1120"/>
      <c r="U405" s="1120"/>
      <c r="V405" s="1120"/>
      <c r="W405" s="1120"/>
      <c r="Z405" s="1145"/>
      <c r="AA405" s="1120"/>
      <c r="AB405" s="1120"/>
      <c r="AC405" s="1120"/>
      <c r="AD405" s="1212"/>
      <c r="AE405" s="1212"/>
      <c r="AF405" s="1186"/>
      <c r="AG405" s="1186"/>
      <c r="AH405" s="1222"/>
      <c r="AI405" s="1222"/>
      <c r="AJ405" s="1222"/>
      <c r="AK405" s="1222"/>
      <c r="AL405" s="1222"/>
      <c r="AM405" s="1222"/>
      <c r="AN405" s="1222"/>
      <c r="AO405" s="1222"/>
      <c r="AP405" s="1222"/>
      <c r="AQ405" s="1222"/>
      <c r="AR405" s="1222"/>
      <c r="AS405" s="1222"/>
      <c r="AT405" s="1222"/>
      <c r="AU405" s="1120"/>
      <c r="AV405" s="445"/>
      <c r="AW405" s="607"/>
      <c r="AX405" s="607"/>
      <c r="AY405" s="607"/>
      <c r="AZ405" s="1209"/>
      <c r="BA405" s="1209"/>
    </row>
    <row r="406" spans="2:53" s="256" customFormat="1" ht="24.95" customHeight="1">
      <c r="B406" s="445"/>
      <c r="C406" s="204"/>
      <c r="D406" s="204"/>
      <c r="E406" s="204"/>
      <c r="F406" s="368"/>
      <c r="G406" s="1134"/>
      <c r="H406" s="401"/>
      <c r="I406" s="317"/>
      <c r="N406" s="317"/>
      <c r="O406" s="1135"/>
      <c r="P406" s="1136"/>
      <c r="Q406" s="1137"/>
      <c r="R406" s="1120"/>
      <c r="S406" s="1120"/>
      <c r="T406" s="1120"/>
      <c r="U406" s="1120"/>
      <c r="V406" s="1120"/>
      <c r="W406" s="1120"/>
      <c r="Z406" s="1145"/>
      <c r="AA406" s="1120"/>
      <c r="AB406" s="1120"/>
      <c r="AC406" s="1120"/>
      <c r="AD406" s="1212"/>
      <c r="AE406" s="1212"/>
      <c r="AF406" s="1186"/>
      <c r="AG406" s="1186"/>
      <c r="AH406" s="1222"/>
      <c r="AI406" s="1222"/>
      <c r="AJ406" s="1222"/>
      <c r="AK406" s="1222"/>
      <c r="AL406" s="1222"/>
      <c r="AM406" s="1222"/>
      <c r="AN406" s="1222"/>
      <c r="AO406" s="1222"/>
      <c r="AP406" s="1222"/>
      <c r="AQ406" s="1222"/>
      <c r="AR406" s="1222"/>
      <c r="AS406" s="1222"/>
      <c r="AT406" s="1222"/>
      <c r="AU406" s="1120"/>
      <c r="AV406" s="445"/>
      <c r="AW406" s="607"/>
      <c r="AX406" s="607"/>
      <c r="AY406" s="607"/>
      <c r="AZ406" s="1209"/>
      <c r="BA406" s="1209"/>
    </row>
    <row r="407" spans="2:53" s="256" customFormat="1" ht="24.95" customHeight="1">
      <c r="B407" s="445"/>
      <c r="C407" s="204"/>
      <c r="D407" s="204"/>
      <c r="E407" s="204"/>
      <c r="F407" s="368"/>
      <c r="G407" s="1134"/>
      <c r="H407" s="401"/>
      <c r="I407" s="317"/>
      <c r="N407" s="317"/>
      <c r="O407" s="1135"/>
      <c r="P407" s="1136"/>
      <c r="Q407" s="1137"/>
      <c r="R407" s="1120"/>
      <c r="S407" s="1120"/>
      <c r="T407" s="1120"/>
      <c r="U407" s="1120"/>
      <c r="V407" s="1120"/>
      <c r="W407" s="1120"/>
      <c r="Z407" s="1145"/>
      <c r="AA407" s="1120"/>
      <c r="AB407" s="1120"/>
      <c r="AC407" s="1120"/>
      <c r="AD407" s="1212"/>
      <c r="AE407" s="1212"/>
      <c r="AF407" s="1186"/>
      <c r="AG407" s="1186"/>
      <c r="AH407" s="1222"/>
      <c r="AI407" s="1222"/>
      <c r="AJ407" s="1222"/>
      <c r="AK407" s="1222"/>
      <c r="AL407" s="1222"/>
      <c r="AM407" s="1222"/>
      <c r="AN407" s="1222"/>
      <c r="AO407" s="1222"/>
      <c r="AP407" s="1222"/>
      <c r="AQ407" s="1222"/>
      <c r="AR407" s="1222"/>
      <c r="AS407" s="1222"/>
      <c r="AT407" s="1222"/>
      <c r="AU407" s="1120"/>
      <c r="AV407" s="445"/>
      <c r="AW407" s="607"/>
      <c r="AX407" s="607"/>
      <c r="AY407" s="607"/>
      <c r="AZ407" s="1209"/>
      <c r="BA407" s="1209"/>
    </row>
    <row r="408" spans="2:53" s="256" customFormat="1" ht="24.95" customHeight="1">
      <c r="B408" s="445"/>
      <c r="C408" s="204"/>
      <c r="D408" s="204"/>
      <c r="E408" s="204"/>
      <c r="F408" s="368"/>
      <c r="G408" s="1134"/>
      <c r="H408" s="401"/>
      <c r="I408" s="317"/>
      <c r="N408" s="317"/>
      <c r="O408" s="1135"/>
      <c r="P408" s="1136"/>
      <c r="Q408" s="1137"/>
      <c r="R408" s="1120"/>
      <c r="S408" s="1120"/>
      <c r="T408" s="1120"/>
      <c r="U408" s="1120"/>
      <c r="V408" s="1120"/>
      <c r="W408" s="1120"/>
      <c r="Z408" s="1145"/>
      <c r="AA408" s="1120"/>
      <c r="AB408" s="1120"/>
      <c r="AC408" s="1120"/>
      <c r="AD408" s="1212"/>
      <c r="AE408" s="1212"/>
      <c r="AF408" s="1186"/>
      <c r="AG408" s="1186"/>
      <c r="AH408" s="1222"/>
      <c r="AI408" s="1222"/>
      <c r="AJ408" s="1222"/>
      <c r="AK408" s="1222"/>
      <c r="AL408" s="1222"/>
      <c r="AM408" s="1222"/>
      <c r="AN408" s="1222"/>
      <c r="AO408" s="1222"/>
      <c r="AP408" s="1222"/>
      <c r="AQ408" s="1222"/>
      <c r="AR408" s="1222"/>
      <c r="AS408" s="1222"/>
      <c r="AT408" s="1222"/>
      <c r="AU408" s="1120"/>
      <c r="AV408" s="445"/>
      <c r="AW408" s="607"/>
      <c r="AX408" s="607"/>
      <c r="AY408" s="607"/>
      <c r="AZ408" s="1209"/>
      <c r="BA408" s="1209"/>
    </row>
    <row r="409" spans="2:53" s="256" customFormat="1" ht="24.95" customHeight="1">
      <c r="B409" s="445"/>
      <c r="C409" s="204"/>
      <c r="D409" s="204"/>
      <c r="E409" s="204"/>
      <c r="F409" s="368"/>
      <c r="G409" s="1134"/>
      <c r="H409" s="401"/>
      <c r="I409" s="317"/>
      <c r="N409" s="317"/>
      <c r="O409" s="1135"/>
      <c r="P409" s="1136"/>
      <c r="Q409" s="1137"/>
      <c r="R409" s="1120"/>
      <c r="S409" s="1120"/>
      <c r="T409" s="1120"/>
      <c r="U409" s="1120"/>
      <c r="V409" s="1120"/>
      <c r="W409" s="1120"/>
      <c r="Z409" s="1145"/>
      <c r="AA409" s="1120"/>
      <c r="AB409" s="1120"/>
      <c r="AC409" s="1120"/>
      <c r="AD409" s="1212"/>
      <c r="AE409" s="1212"/>
      <c r="AF409" s="1186"/>
      <c r="AG409" s="1186"/>
      <c r="AH409" s="1222"/>
      <c r="AI409" s="1222"/>
      <c r="AJ409" s="1222"/>
      <c r="AK409" s="1222"/>
      <c r="AL409" s="1222"/>
      <c r="AM409" s="1222"/>
      <c r="AN409" s="1222"/>
      <c r="AO409" s="1222"/>
      <c r="AP409" s="1222"/>
      <c r="AQ409" s="1222"/>
      <c r="AR409" s="1222"/>
      <c r="AS409" s="1222"/>
      <c r="AT409" s="1222"/>
      <c r="AU409" s="1120"/>
      <c r="AV409" s="445"/>
      <c r="AW409" s="607"/>
      <c r="AX409" s="607"/>
      <c r="AY409" s="607"/>
      <c r="AZ409" s="1209"/>
      <c r="BA409" s="1209"/>
    </row>
    <row r="410" spans="2:53" s="256" customFormat="1" ht="24.95" customHeight="1">
      <c r="B410" s="445"/>
      <c r="C410" s="204"/>
      <c r="D410" s="204"/>
      <c r="E410" s="204"/>
      <c r="F410" s="368"/>
      <c r="G410" s="1134"/>
      <c r="H410" s="401"/>
      <c r="I410" s="317"/>
      <c r="N410" s="317"/>
      <c r="O410" s="1135"/>
      <c r="P410" s="1136"/>
      <c r="Q410" s="1137"/>
      <c r="R410" s="1120"/>
      <c r="S410" s="1120"/>
      <c r="T410" s="1120"/>
      <c r="U410" s="1120"/>
      <c r="V410" s="1120"/>
      <c r="W410" s="1120"/>
      <c r="Z410" s="1145"/>
      <c r="AA410" s="1120"/>
      <c r="AB410" s="1120"/>
      <c r="AC410" s="1120"/>
      <c r="AD410" s="1212"/>
      <c r="AE410" s="1212"/>
      <c r="AF410" s="1186"/>
      <c r="AG410" s="1186"/>
      <c r="AH410" s="1222"/>
      <c r="AI410" s="1222"/>
      <c r="AJ410" s="1222"/>
      <c r="AK410" s="1222"/>
      <c r="AL410" s="1222"/>
      <c r="AM410" s="1222"/>
      <c r="AN410" s="1222"/>
      <c r="AO410" s="1222"/>
      <c r="AP410" s="1222"/>
      <c r="AQ410" s="1222"/>
      <c r="AR410" s="1222"/>
      <c r="AS410" s="1222"/>
      <c r="AT410" s="1222"/>
      <c r="AU410" s="1120"/>
      <c r="AV410" s="445"/>
      <c r="AW410" s="607"/>
      <c r="AX410" s="607"/>
      <c r="AY410" s="607"/>
      <c r="AZ410" s="1209"/>
      <c r="BA410" s="1209"/>
    </row>
    <row r="411" spans="2:53" s="256" customFormat="1" ht="24.95" customHeight="1">
      <c r="B411" s="445"/>
      <c r="C411" s="204"/>
      <c r="D411" s="204"/>
      <c r="E411" s="204"/>
      <c r="F411" s="368"/>
      <c r="G411" s="1134"/>
      <c r="H411" s="401"/>
      <c r="I411" s="317"/>
      <c r="N411" s="317"/>
      <c r="O411" s="1135"/>
      <c r="P411" s="1136"/>
      <c r="Q411" s="1137"/>
      <c r="R411" s="1120"/>
      <c r="S411" s="1120"/>
      <c r="T411" s="1120"/>
      <c r="U411" s="1120"/>
      <c r="V411" s="1120"/>
      <c r="W411" s="1120"/>
      <c r="Z411" s="1145"/>
      <c r="AA411" s="1120"/>
      <c r="AB411" s="1120"/>
      <c r="AC411" s="1120"/>
      <c r="AD411" s="1212"/>
      <c r="AE411" s="1212"/>
      <c r="AF411" s="1186"/>
      <c r="AG411" s="1186"/>
      <c r="AH411" s="1222"/>
      <c r="AI411" s="1222"/>
      <c r="AJ411" s="1222"/>
      <c r="AK411" s="1222"/>
      <c r="AL411" s="1222"/>
      <c r="AM411" s="1222"/>
      <c r="AN411" s="1222"/>
      <c r="AO411" s="1222"/>
      <c r="AP411" s="1222"/>
      <c r="AQ411" s="1222"/>
      <c r="AR411" s="1222"/>
      <c r="AS411" s="1222"/>
      <c r="AT411" s="1222"/>
      <c r="AU411" s="1120"/>
      <c r="AV411" s="445"/>
      <c r="AW411" s="607"/>
      <c r="AX411" s="607"/>
      <c r="AY411" s="607"/>
      <c r="AZ411" s="1209"/>
      <c r="BA411" s="1209"/>
    </row>
    <row r="412" spans="2:53" s="256" customFormat="1" ht="24.95" customHeight="1">
      <c r="B412" s="445"/>
      <c r="C412" s="204"/>
      <c r="D412" s="204"/>
      <c r="E412" s="204"/>
      <c r="F412" s="368"/>
      <c r="G412" s="1134"/>
      <c r="H412" s="401"/>
      <c r="I412" s="317"/>
      <c r="N412" s="317"/>
      <c r="O412" s="1135"/>
      <c r="P412" s="1136"/>
      <c r="Q412" s="1137"/>
      <c r="R412" s="1120"/>
      <c r="S412" s="1120"/>
      <c r="T412" s="1120"/>
      <c r="U412" s="1120"/>
      <c r="V412" s="1120"/>
      <c r="W412" s="1120"/>
      <c r="Z412" s="1145"/>
      <c r="AA412" s="1120"/>
      <c r="AB412" s="1120"/>
      <c r="AC412" s="1120"/>
      <c r="AD412" s="1212"/>
      <c r="AE412" s="1212"/>
      <c r="AF412" s="1186"/>
      <c r="AG412" s="1186"/>
      <c r="AH412" s="1222"/>
      <c r="AI412" s="1222"/>
      <c r="AJ412" s="1222"/>
      <c r="AK412" s="1222"/>
      <c r="AL412" s="1222"/>
      <c r="AM412" s="1222"/>
      <c r="AN412" s="1222"/>
      <c r="AO412" s="1222"/>
      <c r="AP412" s="1222"/>
      <c r="AQ412" s="1222"/>
      <c r="AR412" s="1222"/>
      <c r="AS412" s="1222"/>
      <c r="AT412" s="1222"/>
      <c r="AU412" s="1120"/>
      <c r="AV412" s="445"/>
      <c r="AW412" s="607"/>
      <c r="AX412" s="607"/>
      <c r="AY412" s="607"/>
      <c r="AZ412" s="1209"/>
      <c r="BA412" s="1209"/>
    </row>
    <row r="413" spans="2:53" s="256" customFormat="1" ht="24.95" customHeight="1">
      <c r="B413" s="445"/>
      <c r="C413" s="204"/>
      <c r="D413" s="204"/>
      <c r="E413" s="204"/>
      <c r="F413" s="368"/>
      <c r="G413" s="1134"/>
      <c r="H413" s="401"/>
      <c r="I413" s="317"/>
      <c r="N413" s="317"/>
      <c r="O413" s="1135"/>
      <c r="P413" s="1136"/>
      <c r="Q413" s="1137"/>
      <c r="R413" s="1120"/>
      <c r="S413" s="1120"/>
      <c r="T413" s="1120"/>
      <c r="U413" s="1120"/>
      <c r="V413" s="1120"/>
      <c r="W413" s="1120"/>
      <c r="Z413" s="1145"/>
      <c r="AA413" s="1120"/>
      <c r="AB413" s="1120"/>
      <c r="AC413" s="1120"/>
      <c r="AD413" s="1212"/>
      <c r="AE413" s="1212"/>
      <c r="AF413" s="1186"/>
      <c r="AG413" s="1186"/>
      <c r="AH413" s="1222"/>
      <c r="AI413" s="1222"/>
      <c r="AJ413" s="1222"/>
      <c r="AK413" s="1222"/>
      <c r="AL413" s="1222"/>
      <c r="AM413" s="1222"/>
      <c r="AN413" s="1222"/>
      <c r="AO413" s="1222"/>
      <c r="AP413" s="1222"/>
      <c r="AQ413" s="1222"/>
      <c r="AR413" s="1222"/>
      <c r="AS413" s="1222"/>
      <c r="AT413" s="1222"/>
      <c r="AU413" s="1120"/>
      <c r="AV413" s="445"/>
      <c r="AW413" s="607"/>
      <c r="AX413" s="607"/>
      <c r="AY413" s="607"/>
      <c r="AZ413" s="1209"/>
      <c r="BA413" s="1209"/>
    </row>
    <row r="414" spans="2:53" s="256" customFormat="1" ht="24.95" customHeight="1">
      <c r="B414" s="445"/>
      <c r="C414" s="204"/>
      <c r="D414" s="204"/>
      <c r="E414" s="204"/>
      <c r="F414" s="368"/>
      <c r="G414" s="1134"/>
      <c r="H414" s="401"/>
      <c r="I414" s="317"/>
      <c r="N414" s="317"/>
      <c r="O414" s="1135"/>
      <c r="P414" s="1136"/>
      <c r="Q414" s="1137"/>
      <c r="R414" s="1120"/>
      <c r="S414" s="1120"/>
      <c r="T414" s="1120"/>
      <c r="U414" s="1120"/>
      <c r="V414" s="1120"/>
      <c r="W414" s="1120"/>
      <c r="Z414" s="1145"/>
      <c r="AA414" s="1120"/>
      <c r="AB414" s="1120"/>
      <c r="AC414" s="1120"/>
      <c r="AD414" s="1212"/>
      <c r="AE414" s="1212"/>
      <c r="AF414" s="1186"/>
      <c r="AG414" s="1186"/>
      <c r="AH414" s="1222"/>
      <c r="AI414" s="1222"/>
      <c r="AJ414" s="1222"/>
      <c r="AK414" s="1222"/>
      <c r="AL414" s="1222"/>
      <c r="AM414" s="1222"/>
      <c r="AN414" s="1222"/>
      <c r="AO414" s="1222"/>
      <c r="AP414" s="1222"/>
      <c r="AQ414" s="1222"/>
      <c r="AR414" s="1222"/>
      <c r="AS414" s="1222"/>
      <c r="AT414" s="1222"/>
      <c r="AU414" s="1120"/>
      <c r="AV414" s="445"/>
      <c r="AW414" s="607"/>
      <c r="AX414" s="607"/>
      <c r="AY414" s="607"/>
      <c r="AZ414" s="1209"/>
      <c r="BA414" s="1209"/>
    </row>
    <row r="415" spans="2:53" s="256" customFormat="1" ht="24.95" customHeight="1">
      <c r="B415" s="445"/>
      <c r="C415" s="204"/>
      <c r="D415" s="204"/>
      <c r="E415" s="204"/>
      <c r="F415" s="368"/>
      <c r="G415" s="1134"/>
      <c r="H415" s="401"/>
      <c r="I415" s="317"/>
      <c r="N415" s="317"/>
      <c r="O415" s="1135"/>
      <c r="P415" s="1136"/>
      <c r="Q415" s="1137"/>
      <c r="R415" s="1120"/>
      <c r="S415" s="1120"/>
      <c r="T415" s="1120"/>
      <c r="U415" s="1120"/>
      <c r="V415" s="1120"/>
      <c r="W415" s="1120"/>
      <c r="Z415" s="1145"/>
      <c r="AA415" s="1120"/>
      <c r="AB415" s="1120"/>
      <c r="AC415" s="1120"/>
      <c r="AD415" s="1212"/>
      <c r="AE415" s="1212"/>
      <c r="AF415" s="1186"/>
      <c r="AG415" s="1186"/>
      <c r="AH415" s="1222"/>
      <c r="AI415" s="1222"/>
      <c r="AJ415" s="1222"/>
      <c r="AK415" s="1222"/>
      <c r="AL415" s="1222"/>
      <c r="AM415" s="1222"/>
      <c r="AN415" s="1222"/>
      <c r="AO415" s="1222"/>
      <c r="AP415" s="1222"/>
      <c r="AQ415" s="1222"/>
      <c r="AR415" s="1222"/>
      <c r="AS415" s="1222"/>
      <c r="AT415" s="1222"/>
      <c r="AU415" s="1120"/>
      <c r="AV415" s="445"/>
      <c r="AW415" s="607"/>
      <c r="AX415" s="607"/>
      <c r="AY415" s="607"/>
      <c r="AZ415" s="1209"/>
      <c r="BA415" s="1209"/>
    </row>
    <row r="416" spans="2:53" s="256" customFormat="1" ht="24.95" customHeight="1">
      <c r="B416" s="445"/>
      <c r="C416" s="204"/>
      <c r="D416" s="204"/>
      <c r="E416" s="204"/>
      <c r="F416" s="368"/>
      <c r="G416" s="1134"/>
      <c r="H416" s="401"/>
      <c r="I416" s="317"/>
      <c r="N416" s="317"/>
      <c r="O416" s="1135"/>
      <c r="P416" s="1136"/>
      <c r="Q416" s="1137"/>
      <c r="R416" s="1120"/>
      <c r="S416" s="1120"/>
      <c r="T416" s="1120"/>
      <c r="U416" s="1120"/>
      <c r="V416" s="1120"/>
      <c r="W416" s="1120"/>
      <c r="Z416" s="1145"/>
      <c r="AA416" s="1120"/>
      <c r="AB416" s="1120"/>
      <c r="AC416" s="1120"/>
      <c r="AD416" s="1212"/>
      <c r="AE416" s="1212"/>
      <c r="AF416" s="1186"/>
      <c r="AG416" s="1186"/>
      <c r="AH416" s="1222"/>
      <c r="AI416" s="1222"/>
      <c r="AJ416" s="1222"/>
      <c r="AK416" s="1222"/>
      <c r="AL416" s="1222"/>
      <c r="AM416" s="1222"/>
      <c r="AN416" s="1222"/>
      <c r="AO416" s="1222"/>
      <c r="AP416" s="1222"/>
      <c r="AQ416" s="1222"/>
      <c r="AR416" s="1222"/>
      <c r="AS416" s="1222"/>
      <c r="AT416" s="1222"/>
      <c r="AU416" s="1120"/>
      <c r="AV416" s="445"/>
      <c r="AW416" s="607"/>
      <c r="AX416" s="607"/>
      <c r="AY416" s="607"/>
      <c r="AZ416" s="1209"/>
      <c r="BA416" s="1209"/>
    </row>
    <row r="417" spans="2:53" s="256" customFormat="1" ht="24.95" customHeight="1">
      <c r="B417" s="445"/>
      <c r="C417" s="204"/>
      <c r="D417" s="204"/>
      <c r="E417" s="204"/>
      <c r="F417" s="368"/>
      <c r="G417" s="1134"/>
      <c r="H417" s="401"/>
      <c r="I417" s="317"/>
      <c r="N417" s="317"/>
      <c r="O417" s="1135"/>
      <c r="P417" s="1136"/>
      <c r="Q417" s="1137"/>
      <c r="R417" s="1120"/>
      <c r="S417" s="1120"/>
      <c r="T417" s="1120"/>
      <c r="U417" s="1120"/>
      <c r="V417" s="1120"/>
      <c r="W417" s="1120"/>
      <c r="Z417" s="1145"/>
      <c r="AA417" s="1120"/>
      <c r="AB417" s="1120"/>
      <c r="AC417" s="1120"/>
      <c r="AD417" s="1212"/>
      <c r="AE417" s="1212"/>
      <c r="AF417" s="1186"/>
      <c r="AG417" s="1186"/>
      <c r="AH417" s="1222"/>
      <c r="AI417" s="1222"/>
      <c r="AJ417" s="1222"/>
      <c r="AK417" s="1222"/>
      <c r="AL417" s="1222"/>
      <c r="AM417" s="1222"/>
      <c r="AN417" s="1222"/>
      <c r="AO417" s="1222"/>
      <c r="AP417" s="1222"/>
      <c r="AQ417" s="1222"/>
      <c r="AR417" s="1222"/>
      <c r="AS417" s="1222"/>
      <c r="AT417" s="1222"/>
      <c r="AU417" s="1120"/>
      <c r="AV417" s="445"/>
      <c r="AW417" s="607"/>
      <c r="AX417" s="607"/>
      <c r="AY417" s="607"/>
      <c r="AZ417" s="1209"/>
      <c r="BA417" s="1209"/>
    </row>
    <row r="418" spans="2:53" s="256" customFormat="1" ht="24.95" customHeight="1">
      <c r="B418" s="445"/>
      <c r="C418" s="204"/>
      <c r="D418" s="204"/>
      <c r="E418" s="204"/>
      <c r="F418" s="368"/>
      <c r="G418" s="1134"/>
      <c r="H418" s="401"/>
      <c r="I418" s="317"/>
      <c r="N418" s="317"/>
      <c r="O418" s="1135"/>
      <c r="P418" s="1136"/>
      <c r="Q418" s="1137"/>
      <c r="R418" s="1120"/>
      <c r="S418" s="1120"/>
      <c r="T418" s="1120"/>
      <c r="U418" s="1120"/>
      <c r="V418" s="1120"/>
      <c r="W418" s="1120"/>
      <c r="Z418" s="1145"/>
      <c r="AA418" s="1120"/>
      <c r="AB418" s="1120"/>
      <c r="AC418" s="1120"/>
      <c r="AD418" s="1212"/>
      <c r="AE418" s="1212"/>
      <c r="AF418" s="1186"/>
      <c r="AG418" s="1186"/>
      <c r="AH418" s="1222"/>
      <c r="AI418" s="1222"/>
      <c r="AJ418" s="1222"/>
      <c r="AK418" s="1222"/>
      <c r="AL418" s="1222"/>
      <c r="AM418" s="1222"/>
      <c r="AN418" s="1222"/>
      <c r="AO418" s="1222"/>
      <c r="AP418" s="1222"/>
      <c r="AQ418" s="1222"/>
      <c r="AR418" s="1222"/>
      <c r="AS418" s="1222"/>
      <c r="AT418" s="1222"/>
      <c r="AU418" s="1120"/>
      <c r="AV418" s="445"/>
      <c r="AW418" s="607"/>
      <c r="AX418" s="607"/>
      <c r="AY418" s="607"/>
      <c r="AZ418" s="1209"/>
      <c r="BA418" s="1209"/>
    </row>
    <row r="419" spans="2:53" s="256" customFormat="1" ht="24.95" customHeight="1">
      <c r="B419" s="445"/>
      <c r="C419" s="204"/>
      <c r="D419" s="204"/>
      <c r="E419" s="204"/>
      <c r="F419" s="368"/>
      <c r="G419" s="1134"/>
      <c r="H419" s="401"/>
      <c r="I419" s="317"/>
      <c r="N419" s="317"/>
      <c r="O419" s="1135"/>
      <c r="P419" s="1136"/>
      <c r="Q419" s="1137"/>
      <c r="R419" s="1120"/>
      <c r="S419" s="1120"/>
      <c r="T419" s="1120"/>
      <c r="U419" s="1120"/>
      <c r="V419" s="1120"/>
      <c r="W419" s="1120"/>
      <c r="Z419" s="1145"/>
      <c r="AA419" s="1120"/>
      <c r="AB419" s="1120"/>
      <c r="AC419" s="1120"/>
      <c r="AD419" s="1212"/>
      <c r="AE419" s="1212"/>
      <c r="AF419" s="1186"/>
      <c r="AG419" s="1186"/>
      <c r="AH419" s="1222"/>
      <c r="AI419" s="1222"/>
      <c r="AJ419" s="1222"/>
      <c r="AK419" s="1222"/>
      <c r="AL419" s="1222"/>
      <c r="AM419" s="1222"/>
      <c r="AN419" s="1222"/>
      <c r="AO419" s="1222"/>
      <c r="AP419" s="1222"/>
      <c r="AQ419" s="1222"/>
      <c r="AR419" s="1222"/>
      <c r="AS419" s="1222"/>
      <c r="AT419" s="1222"/>
      <c r="AU419" s="1120"/>
      <c r="AV419" s="445"/>
      <c r="AW419" s="607"/>
      <c r="AX419" s="607"/>
      <c r="AY419" s="607"/>
      <c r="AZ419" s="1209"/>
      <c r="BA419" s="1209"/>
    </row>
    <row r="420" spans="2:53" s="256" customFormat="1" ht="24.95" customHeight="1">
      <c r="B420" s="445"/>
      <c r="C420" s="204"/>
      <c r="D420" s="204"/>
      <c r="E420" s="204"/>
      <c r="F420" s="368"/>
      <c r="G420" s="1134"/>
      <c r="H420" s="401"/>
      <c r="I420" s="317"/>
      <c r="N420" s="317"/>
      <c r="O420" s="1135"/>
      <c r="P420" s="1136"/>
      <c r="Q420" s="1137"/>
      <c r="R420" s="1120"/>
      <c r="S420" s="1120"/>
      <c r="T420" s="1120"/>
      <c r="U420" s="1120"/>
      <c r="V420" s="1120"/>
      <c r="W420" s="1120"/>
      <c r="Z420" s="1145"/>
      <c r="AA420" s="1120"/>
      <c r="AB420" s="1120"/>
      <c r="AC420" s="1120"/>
      <c r="AD420" s="1212"/>
      <c r="AE420" s="1212"/>
      <c r="AF420" s="1186"/>
      <c r="AG420" s="1186"/>
      <c r="AH420" s="1222"/>
      <c r="AI420" s="1222"/>
      <c r="AJ420" s="1222"/>
      <c r="AK420" s="1222"/>
      <c r="AL420" s="1222"/>
      <c r="AM420" s="1222"/>
      <c r="AN420" s="1222"/>
      <c r="AO420" s="1222"/>
      <c r="AP420" s="1222"/>
      <c r="AQ420" s="1222"/>
      <c r="AR420" s="1222"/>
      <c r="AS420" s="1222"/>
      <c r="AT420" s="1222"/>
      <c r="AU420" s="1120"/>
      <c r="AV420" s="445"/>
      <c r="AW420" s="607"/>
      <c r="AX420" s="607"/>
      <c r="AY420" s="607"/>
      <c r="AZ420" s="1209"/>
      <c r="BA420" s="1209"/>
    </row>
    <row r="421" spans="2:53" s="256" customFormat="1" ht="24.95" customHeight="1">
      <c r="B421" s="445"/>
      <c r="C421" s="204"/>
      <c r="D421" s="204"/>
      <c r="E421" s="204"/>
      <c r="F421" s="368"/>
      <c r="G421" s="1134"/>
      <c r="H421" s="401"/>
      <c r="I421" s="317"/>
      <c r="N421" s="317"/>
      <c r="O421" s="1135"/>
      <c r="P421" s="1136"/>
      <c r="Q421" s="1137"/>
      <c r="R421" s="1120"/>
      <c r="S421" s="1120"/>
      <c r="T421" s="1120"/>
      <c r="U421" s="1120"/>
      <c r="V421" s="1120"/>
      <c r="W421" s="1120"/>
      <c r="Z421" s="1145"/>
      <c r="AA421" s="1120"/>
      <c r="AB421" s="1120"/>
      <c r="AC421" s="1120"/>
      <c r="AD421" s="1212"/>
      <c r="AE421" s="1212"/>
      <c r="AF421" s="1186"/>
      <c r="AG421" s="1186"/>
      <c r="AH421" s="1222"/>
      <c r="AI421" s="1222"/>
      <c r="AJ421" s="1222"/>
      <c r="AK421" s="1222"/>
      <c r="AL421" s="1222"/>
      <c r="AM421" s="1222"/>
      <c r="AN421" s="1222"/>
      <c r="AO421" s="1222"/>
      <c r="AP421" s="1222"/>
      <c r="AQ421" s="1222"/>
      <c r="AR421" s="1222"/>
      <c r="AS421" s="1222"/>
      <c r="AT421" s="1222"/>
      <c r="AU421" s="1120"/>
      <c r="AV421" s="445"/>
      <c r="AW421" s="607"/>
      <c r="AX421" s="607"/>
      <c r="AY421" s="607"/>
      <c r="AZ421" s="1209"/>
      <c r="BA421" s="1209"/>
    </row>
    <row r="422" spans="2:53" s="256" customFormat="1" ht="24.95" customHeight="1">
      <c r="B422" s="445"/>
      <c r="C422" s="204"/>
      <c r="D422" s="204"/>
      <c r="E422" s="204"/>
      <c r="F422" s="368"/>
      <c r="G422" s="1134"/>
      <c r="H422" s="401"/>
      <c r="I422" s="317"/>
      <c r="N422" s="317"/>
      <c r="O422" s="1135"/>
      <c r="P422" s="1136"/>
      <c r="Q422" s="1137"/>
      <c r="R422" s="1120"/>
      <c r="S422" s="1120"/>
      <c r="T422" s="1120"/>
      <c r="U422" s="1120"/>
      <c r="V422" s="1120"/>
      <c r="W422" s="1120"/>
      <c r="Z422" s="1145"/>
      <c r="AA422" s="1120"/>
      <c r="AB422" s="1120"/>
      <c r="AC422" s="1120"/>
      <c r="AD422" s="1212"/>
      <c r="AE422" s="1212"/>
      <c r="AF422" s="1186"/>
      <c r="AG422" s="1186"/>
      <c r="AH422" s="1222"/>
      <c r="AI422" s="1222"/>
      <c r="AJ422" s="1222"/>
      <c r="AK422" s="1222"/>
      <c r="AL422" s="1222"/>
      <c r="AM422" s="1222"/>
      <c r="AN422" s="1222"/>
      <c r="AO422" s="1222"/>
      <c r="AP422" s="1222"/>
      <c r="AQ422" s="1222"/>
      <c r="AR422" s="1222"/>
      <c r="AS422" s="1222"/>
      <c r="AT422" s="1222"/>
      <c r="AU422" s="1120"/>
      <c r="AV422" s="445"/>
      <c r="AW422" s="607"/>
      <c r="AX422" s="607"/>
      <c r="AY422" s="607"/>
      <c r="AZ422" s="1209"/>
      <c r="BA422" s="1209"/>
    </row>
    <row r="423" spans="2:53" s="256" customFormat="1" ht="24.95" customHeight="1">
      <c r="B423" s="445"/>
      <c r="C423" s="204"/>
      <c r="D423" s="204"/>
      <c r="E423" s="204"/>
      <c r="F423" s="368"/>
      <c r="G423" s="1134"/>
      <c r="H423" s="401"/>
      <c r="I423" s="317"/>
      <c r="N423" s="317"/>
      <c r="O423" s="1135"/>
      <c r="P423" s="1136"/>
      <c r="Q423" s="1137"/>
      <c r="R423" s="1120"/>
      <c r="S423" s="1120"/>
      <c r="T423" s="1120"/>
      <c r="U423" s="1120"/>
      <c r="V423" s="1120"/>
      <c r="W423" s="1120"/>
      <c r="Z423" s="1145"/>
      <c r="AA423" s="1120"/>
      <c r="AB423" s="1120"/>
      <c r="AC423" s="1120"/>
      <c r="AD423" s="1212"/>
      <c r="AE423" s="1212"/>
      <c r="AF423" s="1186"/>
      <c r="AG423" s="1186"/>
      <c r="AH423" s="1222"/>
      <c r="AI423" s="1222"/>
      <c r="AJ423" s="1222"/>
      <c r="AK423" s="1222"/>
      <c r="AL423" s="1222"/>
      <c r="AM423" s="1222"/>
      <c r="AN423" s="1222"/>
      <c r="AO423" s="1222"/>
      <c r="AP423" s="1222"/>
      <c r="AQ423" s="1222"/>
      <c r="AR423" s="1222"/>
      <c r="AS423" s="1222"/>
      <c r="AT423" s="1222"/>
      <c r="AU423" s="1120"/>
      <c r="AV423" s="445"/>
      <c r="AW423" s="607"/>
      <c r="AX423" s="607"/>
      <c r="AY423" s="607"/>
      <c r="AZ423" s="1209"/>
      <c r="BA423" s="1209"/>
    </row>
    <row r="424" spans="2:53" s="256" customFormat="1" ht="24.95" customHeight="1">
      <c r="B424" s="445"/>
      <c r="C424" s="204"/>
      <c r="D424" s="204"/>
      <c r="E424" s="204"/>
      <c r="F424" s="368"/>
      <c r="G424" s="1134"/>
      <c r="H424" s="401"/>
      <c r="I424" s="317"/>
      <c r="N424" s="317"/>
      <c r="O424" s="1135"/>
      <c r="P424" s="1136"/>
      <c r="Q424" s="1137"/>
      <c r="R424" s="1120"/>
      <c r="S424" s="1120"/>
      <c r="T424" s="1120"/>
      <c r="U424" s="1120"/>
      <c r="V424" s="1120"/>
      <c r="W424" s="1120"/>
      <c r="Z424" s="1145"/>
      <c r="AA424" s="1120"/>
      <c r="AB424" s="1120"/>
      <c r="AC424" s="1120"/>
      <c r="AD424" s="1212"/>
      <c r="AE424" s="1212"/>
      <c r="AF424" s="1186"/>
      <c r="AG424" s="1186"/>
      <c r="AH424" s="1222"/>
      <c r="AI424" s="1222"/>
      <c r="AJ424" s="1222"/>
      <c r="AK424" s="1222"/>
      <c r="AL424" s="1222"/>
      <c r="AM424" s="1222"/>
      <c r="AN424" s="1222"/>
      <c r="AO424" s="1222"/>
      <c r="AP424" s="1222"/>
      <c r="AQ424" s="1222"/>
      <c r="AR424" s="1222"/>
      <c r="AS424" s="1222"/>
      <c r="AT424" s="1222"/>
      <c r="AU424" s="1120"/>
      <c r="AV424" s="445"/>
      <c r="AW424" s="607"/>
      <c r="AX424" s="607"/>
      <c r="AY424" s="607"/>
      <c r="AZ424" s="1209"/>
      <c r="BA424" s="1209"/>
    </row>
    <row r="425" spans="2:53" s="256" customFormat="1" ht="24.95" customHeight="1">
      <c r="B425" s="445"/>
      <c r="C425" s="204"/>
      <c r="D425" s="204"/>
      <c r="E425" s="204"/>
      <c r="F425" s="368"/>
      <c r="G425" s="1134"/>
      <c r="H425" s="401"/>
      <c r="I425" s="317"/>
      <c r="N425" s="317"/>
      <c r="O425" s="1135"/>
      <c r="P425" s="1136"/>
      <c r="Q425" s="1137"/>
      <c r="R425" s="1120"/>
      <c r="S425" s="1120"/>
      <c r="T425" s="1120"/>
      <c r="U425" s="1120"/>
      <c r="V425" s="1120"/>
      <c r="W425" s="1120"/>
      <c r="Z425" s="1145"/>
      <c r="AA425" s="1120"/>
      <c r="AB425" s="1120"/>
      <c r="AC425" s="1120"/>
      <c r="AD425" s="1212"/>
      <c r="AE425" s="1212"/>
      <c r="AF425" s="1186"/>
      <c r="AG425" s="1186"/>
      <c r="AH425" s="1222"/>
      <c r="AI425" s="1222"/>
      <c r="AJ425" s="1222"/>
      <c r="AK425" s="1222"/>
      <c r="AL425" s="1222"/>
      <c r="AM425" s="1222"/>
      <c r="AN425" s="1222"/>
      <c r="AO425" s="1222"/>
      <c r="AP425" s="1222"/>
      <c r="AQ425" s="1222"/>
      <c r="AR425" s="1222"/>
      <c r="AS425" s="1222"/>
      <c r="AT425" s="1222"/>
      <c r="AU425" s="1120"/>
      <c r="AV425" s="445"/>
      <c r="AW425" s="607"/>
      <c r="AX425" s="607"/>
      <c r="AY425" s="607"/>
      <c r="AZ425" s="1209"/>
      <c r="BA425" s="1209"/>
    </row>
    <row r="426" spans="2:53" s="256" customFormat="1" ht="24.95" customHeight="1">
      <c r="B426" s="445"/>
      <c r="C426" s="204"/>
      <c r="D426" s="204"/>
      <c r="E426" s="204"/>
      <c r="F426" s="368"/>
      <c r="G426" s="1134"/>
      <c r="H426" s="401"/>
      <c r="I426" s="317"/>
      <c r="N426" s="317"/>
      <c r="O426" s="1135"/>
      <c r="P426" s="1136"/>
      <c r="Q426" s="1137"/>
      <c r="R426" s="1120"/>
      <c r="S426" s="1120"/>
      <c r="T426" s="1120"/>
      <c r="U426" s="1120"/>
      <c r="V426" s="1120"/>
      <c r="W426" s="1120"/>
      <c r="Z426" s="1145"/>
      <c r="AA426" s="1120"/>
      <c r="AB426" s="1120"/>
      <c r="AC426" s="1120"/>
      <c r="AD426" s="1212"/>
      <c r="AE426" s="1212"/>
      <c r="AF426" s="1186"/>
      <c r="AG426" s="1186"/>
      <c r="AH426" s="1222"/>
      <c r="AI426" s="1222"/>
      <c r="AJ426" s="1222"/>
      <c r="AK426" s="1222"/>
      <c r="AL426" s="1222"/>
      <c r="AM426" s="1222"/>
      <c r="AN426" s="1222"/>
      <c r="AO426" s="1222"/>
      <c r="AP426" s="1222"/>
      <c r="AQ426" s="1222"/>
      <c r="AR426" s="1222"/>
      <c r="AS426" s="1222"/>
      <c r="AT426" s="1222"/>
      <c r="AU426" s="1120"/>
      <c r="AV426" s="445"/>
      <c r="AW426" s="607"/>
      <c r="AX426" s="607"/>
      <c r="AY426" s="607"/>
      <c r="AZ426" s="1209"/>
      <c r="BA426" s="1209"/>
    </row>
    <row r="427" spans="2:53" s="256" customFormat="1" ht="24.95" customHeight="1">
      <c r="B427" s="445"/>
      <c r="C427" s="204"/>
      <c r="D427" s="204"/>
      <c r="E427" s="204"/>
      <c r="F427" s="368"/>
      <c r="G427" s="1134"/>
      <c r="H427" s="401"/>
      <c r="I427" s="317"/>
      <c r="N427" s="317"/>
      <c r="O427" s="1135"/>
      <c r="P427" s="1136"/>
      <c r="Q427" s="1137"/>
      <c r="R427" s="1120"/>
      <c r="S427" s="1120"/>
      <c r="T427" s="1120"/>
      <c r="U427" s="1120"/>
      <c r="V427" s="1120"/>
      <c r="W427" s="1120"/>
      <c r="Z427" s="1145"/>
      <c r="AA427" s="1120"/>
      <c r="AB427" s="1120"/>
      <c r="AC427" s="1120"/>
      <c r="AD427" s="1212"/>
      <c r="AE427" s="1212"/>
      <c r="AF427" s="1186"/>
      <c r="AG427" s="1186"/>
      <c r="AH427" s="1222"/>
      <c r="AI427" s="1222"/>
      <c r="AJ427" s="1222"/>
      <c r="AK427" s="1222"/>
      <c r="AL427" s="1222"/>
      <c r="AM427" s="1222"/>
      <c r="AN427" s="1222"/>
      <c r="AO427" s="1222"/>
      <c r="AP427" s="1222"/>
      <c r="AQ427" s="1222"/>
      <c r="AR427" s="1222"/>
      <c r="AS427" s="1222"/>
      <c r="AT427" s="1222"/>
      <c r="AU427" s="1120"/>
      <c r="AV427" s="445"/>
      <c r="AW427" s="607"/>
      <c r="AX427" s="607"/>
      <c r="AY427" s="607"/>
      <c r="AZ427" s="1209"/>
      <c r="BA427" s="1209"/>
    </row>
    <row r="428" spans="2:53" s="256" customFormat="1" ht="24.95" customHeight="1">
      <c r="B428" s="445"/>
      <c r="C428" s="204"/>
      <c r="D428" s="204"/>
      <c r="E428" s="204"/>
      <c r="F428" s="368"/>
      <c r="G428" s="1134"/>
      <c r="H428" s="401"/>
      <c r="I428" s="317"/>
      <c r="N428" s="317"/>
      <c r="O428" s="1135"/>
      <c r="P428" s="1136"/>
      <c r="Q428" s="1137"/>
      <c r="R428" s="1120"/>
      <c r="S428" s="1120"/>
      <c r="T428" s="1120"/>
      <c r="U428" s="1120"/>
      <c r="V428" s="1120"/>
      <c r="W428" s="1120"/>
      <c r="Z428" s="1145"/>
      <c r="AA428" s="1120"/>
      <c r="AB428" s="1120"/>
      <c r="AC428" s="1120"/>
      <c r="AD428" s="1212"/>
      <c r="AE428" s="1212"/>
      <c r="AF428" s="1186"/>
      <c r="AG428" s="1186"/>
      <c r="AH428" s="1222"/>
      <c r="AI428" s="1222"/>
      <c r="AJ428" s="1222"/>
      <c r="AK428" s="1222"/>
      <c r="AL428" s="1222"/>
      <c r="AM428" s="1222"/>
      <c r="AN428" s="1222"/>
      <c r="AO428" s="1222"/>
      <c r="AP428" s="1222"/>
      <c r="AQ428" s="1222"/>
      <c r="AR428" s="1222"/>
      <c r="AS428" s="1222"/>
      <c r="AT428" s="1222"/>
      <c r="AU428" s="1120"/>
      <c r="AV428" s="445"/>
      <c r="AW428" s="607"/>
      <c r="AX428" s="607"/>
      <c r="AY428" s="607"/>
      <c r="AZ428" s="1209"/>
      <c r="BA428" s="1209"/>
    </row>
    <row r="429" spans="2:53" s="256" customFormat="1" ht="24.95" customHeight="1">
      <c r="B429" s="445"/>
      <c r="C429" s="204"/>
      <c r="D429" s="204"/>
      <c r="E429" s="204"/>
      <c r="F429" s="368"/>
      <c r="G429" s="1134"/>
      <c r="H429" s="401"/>
      <c r="I429" s="317"/>
      <c r="N429" s="317"/>
      <c r="O429" s="1135"/>
      <c r="P429" s="1136"/>
      <c r="Q429" s="1137"/>
      <c r="R429" s="1120"/>
      <c r="S429" s="1120"/>
      <c r="T429" s="1120"/>
      <c r="U429" s="1120"/>
      <c r="V429" s="1120"/>
      <c r="W429" s="1120"/>
      <c r="Z429" s="1145"/>
      <c r="AA429" s="1120"/>
      <c r="AB429" s="1120"/>
      <c r="AC429" s="1120"/>
      <c r="AD429" s="1212"/>
      <c r="AE429" s="1212"/>
      <c r="AF429" s="1186"/>
      <c r="AG429" s="1186"/>
      <c r="AH429" s="1222"/>
      <c r="AI429" s="1222"/>
      <c r="AJ429" s="1222"/>
      <c r="AK429" s="1222"/>
      <c r="AL429" s="1222"/>
      <c r="AM429" s="1222"/>
      <c r="AN429" s="1222"/>
      <c r="AO429" s="1222"/>
      <c r="AP429" s="1222"/>
      <c r="AQ429" s="1222"/>
      <c r="AR429" s="1222"/>
      <c r="AS429" s="1222"/>
      <c r="AT429" s="1222"/>
      <c r="AU429" s="1120"/>
      <c r="AV429" s="445"/>
      <c r="AW429" s="607"/>
      <c r="AX429" s="607"/>
      <c r="AY429" s="607"/>
      <c r="AZ429" s="1209"/>
      <c r="BA429" s="1209"/>
    </row>
    <row r="430" spans="2:53" s="256" customFormat="1" ht="24.95" customHeight="1">
      <c r="B430" s="445"/>
      <c r="C430" s="204"/>
      <c r="D430" s="204"/>
      <c r="E430" s="204"/>
      <c r="F430" s="368"/>
      <c r="G430" s="1134"/>
      <c r="H430" s="401"/>
      <c r="I430" s="317"/>
      <c r="N430" s="317"/>
      <c r="O430" s="1135"/>
      <c r="P430" s="1136"/>
      <c r="Q430" s="1137"/>
      <c r="R430" s="1120"/>
      <c r="S430" s="1120"/>
      <c r="T430" s="1120"/>
      <c r="U430" s="1120"/>
      <c r="V430" s="1120"/>
      <c r="W430" s="1120"/>
      <c r="Z430" s="1145"/>
      <c r="AA430" s="1120"/>
      <c r="AB430" s="1120"/>
      <c r="AC430" s="1120"/>
      <c r="AD430" s="1212"/>
      <c r="AE430" s="1212"/>
      <c r="AF430" s="1186"/>
      <c r="AG430" s="1186"/>
      <c r="AH430" s="1222"/>
      <c r="AI430" s="1222"/>
      <c r="AJ430" s="1222"/>
      <c r="AK430" s="1222"/>
      <c r="AL430" s="1222"/>
      <c r="AM430" s="1222"/>
      <c r="AN430" s="1222"/>
      <c r="AO430" s="1222"/>
      <c r="AP430" s="1222"/>
      <c r="AQ430" s="1222"/>
      <c r="AR430" s="1222"/>
      <c r="AS430" s="1222"/>
      <c r="AT430" s="1222"/>
      <c r="AU430" s="1120"/>
      <c r="AV430" s="445"/>
      <c r="AW430" s="607"/>
      <c r="AX430" s="607"/>
      <c r="AY430" s="607"/>
      <c r="AZ430" s="1209"/>
      <c r="BA430" s="1209"/>
    </row>
    <row r="431" spans="2:53" s="256" customFormat="1" ht="24.95" customHeight="1">
      <c r="B431" s="445"/>
      <c r="C431" s="204"/>
      <c r="D431" s="204"/>
      <c r="E431" s="204"/>
      <c r="F431" s="368"/>
      <c r="G431" s="1134"/>
      <c r="H431" s="401"/>
      <c r="I431" s="317"/>
      <c r="N431" s="317"/>
      <c r="O431" s="1135"/>
      <c r="P431" s="1136"/>
      <c r="Q431" s="1137"/>
      <c r="R431" s="1120"/>
      <c r="S431" s="1120"/>
      <c r="T431" s="1120"/>
      <c r="U431" s="1120"/>
      <c r="V431" s="1120"/>
      <c r="W431" s="1120"/>
      <c r="Z431" s="1145"/>
      <c r="AA431" s="1120"/>
      <c r="AB431" s="1120"/>
      <c r="AC431" s="1120"/>
      <c r="AD431" s="1212"/>
      <c r="AE431" s="1212"/>
      <c r="AF431" s="1186"/>
      <c r="AG431" s="1186"/>
      <c r="AH431" s="1222"/>
      <c r="AI431" s="1222"/>
      <c r="AJ431" s="1222"/>
      <c r="AK431" s="1222"/>
      <c r="AL431" s="1222"/>
      <c r="AM431" s="1222"/>
      <c r="AN431" s="1222"/>
      <c r="AO431" s="1222"/>
      <c r="AP431" s="1222"/>
      <c r="AQ431" s="1222"/>
      <c r="AR431" s="1222"/>
      <c r="AS431" s="1222"/>
      <c r="AT431" s="1222"/>
      <c r="AU431" s="1120"/>
      <c r="AV431" s="445"/>
      <c r="AW431" s="607"/>
      <c r="AX431" s="607"/>
      <c r="AY431" s="607"/>
      <c r="AZ431" s="1209"/>
      <c r="BA431" s="1209"/>
    </row>
    <row r="432" spans="2:53" s="256" customFormat="1" ht="24.95" customHeight="1">
      <c r="B432" s="445"/>
      <c r="C432" s="204"/>
      <c r="D432" s="204"/>
      <c r="E432" s="204"/>
      <c r="F432" s="368"/>
      <c r="G432" s="1134"/>
      <c r="H432" s="401"/>
      <c r="I432" s="317"/>
      <c r="N432" s="317"/>
      <c r="O432" s="1135"/>
      <c r="P432" s="1136"/>
      <c r="Q432" s="1137"/>
      <c r="R432" s="1120"/>
      <c r="S432" s="1120"/>
      <c r="T432" s="1120"/>
      <c r="U432" s="1120"/>
      <c r="V432" s="1120"/>
      <c r="W432" s="1120"/>
      <c r="Z432" s="1145"/>
      <c r="AA432" s="1120"/>
      <c r="AB432" s="1120"/>
      <c r="AC432" s="1120"/>
      <c r="AD432" s="1212"/>
      <c r="AE432" s="1212"/>
      <c r="AF432" s="1186"/>
      <c r="AG432" s="1186"/>
      <c r="AH432" s="1222"/>
      <c r="AI432" s="1222"/>
      <c r="AJ432" s="1222"/>
      <c r="AK432" s="1222"/>
      <c r="AL432" s="1222"/>
      <c r="AM432" s="1222"/>
      <c r="AN432" s="1222"/>
      <c r="AO432" s="1222"/>
      <c r="AP432" s="1222"/>
      <c r="AQ432" s="1222"/>
      <c r="AR432" s="1222"/>
      <c r="AS432" s="1222"/>
      <c r="AT432" s="1222"/>
      <c r="AU432" s="1120"/>
      <c r="AV432" s="445"/>
      <c r="AW432" s="607"/>
      <c r="AX432" s="607"/>
      <c r="AY432" s="607"/>
      <c r="AZ432" s="1209"/>
      <c r="BA432" s="1209"/>
    </row>
    <row r="433" spans="2:53" s="256" customFormat="1" ht="24.95" customHeight="1">
      <c r="B433" s="445"/>
      <c r="C433" s="204"/>
      <c r="D433" s="204"/>
      <c r="E433" s="204"/>
      <c r="F433" s="368"/>
      <c r="G433" s="1134"/>
      <c r="H433" s="401"/>
      <c r="I433" s="317"/>
      <c r="N433" s="317"/>
      <c r="O433" s="1135"/>
      <c r="P433" s="1136"/>
      <c r="Q433" s="1137"/>
      <c r="R433" s="1120"/>
      <c r="S433" s="1120"/>
      <c r="T433" s="1120"/>
      <c r="U433" s="1120"/>
      <c r="V433" s="1120"/>
      <c r="W433" s="1120"/>
      <c r="Z433" s="1145"/>
      <c r="AA433" s="1120"/>
      <c r="AB433" s="1120"/>
      <c r="AC433" s="1120"/>
      <c r="AD433" s="1212"/>
      <c r="AE433" s="1212"/>
      <c r="AF433" s="1186"/>
      <c r="AG433" s="1186"/>
      <c r="AH433" s="1222"/>
      <c r="AI433" s="1222"/>
      <c r="AJ433" s="1222"/>
      <c r="AK433" s="1222"/>
      <c r="AL433" s="1222"/>
      <c r="AM433" s="1222"/>
      <c r="AN433" s="1222"/>
      <c r="AO433" s="1222"/>
      <c r="AP433" s="1222"/>
      <c r="AQ433" s="1222"/>
      <c r="AR433" s="1222"/>
      <c r="AS433" s="1222"/>
      <c r="AT433" s="1222"/>
      <c r="AU433" s="1120"/>
      <c r="AV433" s="445"/>
      <c r="AW433" s="607"/>
      <c r="AX433" s="607"/>
      <c r="AY433" s="607"/>
      <c r="AZ433" s="1209"/>
      <c r="BA433" s="1209"/>
    </row>
    <row r="434" spans="2:53" s="256" customFormat="1" ht="24.95" customHeight="1">
      <c r="B434" s="445"/>
      <c r="C434" s="204"/>
      <c r="D434" s="204"/>
      <c r="E434" s="204"/>
      <c r="F434" s="368"/>
      <c r="G434" s="1134"/>
      <c r="H434" s="401"/>
      <c r="I434" s="317"/>
      <c r="N434" s="317"/>
      <c r="O434" s="1135"/>
      <c r="P434" s="1136"/>
      <c r="Q434" s="1137"/>
      <c r="R434" s="1120"/>
      <c r="S434" s="1120"/>
      <c r="T434" s="1120"/>
      <c r="U434" s="1120"/>
      <c r="V434" s="1120"/>
      <c r="W434" s="1120"/>
      <c r="Z434" s="1145"/>
      <c r="AA434" s="1120"/>
      <c r="AB434" s="1120"/>
      <c r="AC434" s="1120"/>
      <c r="AD434" s="1212"/>
      <c r="AE434" s="1212"/>
      <c r="AF434" s="1186"/>
      <c r="AG434" s="1186"/>
      <c r="AH434" s="1222"/>
      <c r="AI434" s="1222"/>
      <c r="AJ434" s="1222"/>
      <c r="AK434" s="1222"/>
      <c r="AL434" s="1222"/>
      <c r="AM434" s="1222"/>
      <c r="AN434" s="1222"/>
      <c r="AO434" s="1222"/>
      <c r="AP434" s="1222"/>
      <c r="AQ434" s="1222"/>
      <c r="AR434" s="1222"/>
      <c r="AS434" s="1222"/>
      <c r="AT434" s="1222"/>
      <c r="AU434" s="1120"/>
      <c r="AV434" s="445"/>
      <c r="AW434" s="607"/>
      <c r="AX434" s="607"/>
      <c r="AY434" s="607"/>
      <c r="AZ434" s="1209"/>
      <c r="BA434" s="1209"/>
    </row>
    <row r="435" spans="2:53" s="256" customFormat="1" ht="24.95" customHeight="1">
      <c r="B435" s="445"/>
      <c r="C435" s="204"/>
      <c r="D435" s="204"/>
      <c r="E435" s="204"/>
      <c r="F435" s="368"/>
      <c r="G435" s="1134"/>
      <c r="H435" s="401"/>
      <c r="I435" s="317"/>
      <c r="N435" s="317"/>
      <c r="O435" s="1135"/>
      <c r="P435" s="1136"/>
      <c r="Q435" s="1137"/>
      <c r="R435" s="1120"/>
      <c r="S435" s="1120"/>
      <c r="T435" s="1120"/>
      <c r="U435" s="1120"/>
      <c r="V435" s="1120"/>
      <c r="W435" s="1120"/>
      <c r="Z435" s="1145"/>
      <c r="AA435" s="1120"/>
      <c r="AB435" s="1120"/>
      <c r="AC435" s="1120"/>
      <c r="AD435" s="1212"/>
      <c r="AE435" s="1212"/>
      <c r="AF435" s="1186"/>
      <c r="AG435" s="1186"/>
      <c r="AH435" s="1222"/>
      <c r="AI435" s="1222"/>
      <c r="AJ435" s="1222"/>
      <c r="AK435" s="1222"/>
      <c r="AL435" s="1222"/>
      <c r="AM435" s="1222"/>
      <c r="AN435" s="1222"/>
      <c r="AO435" s="1222"/>
      <c r="AP435" s="1222"/>
      <c r="AQ435" s="1222"/>
      <c r="AR435" s="1222"/>
      <c r="AS435" s="1222"/>
      <c r="AT435" s="1222"/>
      <c r="AU435" s="1120"/>
      <c r="AV435" s="445"/>
      <c r="AW435" s="607"/>
      <c r="AX435" s="607"/>
      <c r="AY435" s="607"/>
      <c r="AZ435" s="1209"/>
      <c r="BA435" s="1209"/>
    </row>
    <row r="436" spans="2:53" s="256" customFormat="1" ht="24.95" customHeight="1">
      <c r="B436" s="445"/>
      <c r="C436" s="204"/>
      <c r="D436" s="204"/>
      <c r="E436" s="204"/>
      <c r="F436" s="368"/>
      <c r="G436" s="1134"/>
      <c r="H436" s="401"/>
      <c r="I436" s="317"/>
      <c r="N436" s="317"/>
      <c r="O436" s="1135"/>
      <c r="P436" s="1136"/>
      <c r="Q436" s="1137"/>
      <c r="R436" s="1120"/>
      <c r="S436" s="1120"/>
      <c r="T436" s="1120"/>
      <c r="U436" s="1120"/>
      <c r="V436" s="1120"/>
      <c r="W436" s="1120"/>
      <c r="Z436" s="1145"/>
      <c r="AA436" s="1120"/>
      <c r="AB436" s="1120"/>
      <c r="AC436" s="1120"/>
      <c r="AD436" s="1212"/>
      <c r="AE436" s="1212"/>
      <c r="AF436" s="1186"/>
      <c r="AG436" s="1186"/>
      <c r="AH436" s="1222"/>
      <c r="AI436" s="1222"/>
      <c r="AJ436" s="1222"/>
      <c r="AK436" s="1222"/>
      <c r="AL436" s="1222"/>
      <c r="AM436" s="1222"/>
      <c r="AN436" s="1222"/>
      <c r="AO436" s="1222"/>
      <c r="AP436" s="1222"/>
      <c r="AQ436" s="1222"/>
      <c r="AR436" s="1222"/>
      <c r="AS436" s="1222"/>
      <c r="AT436" s="1222"/>
      <c r="AU436" s="1120"/>
      <c r="AV436" s="445"/>
      <c r="AW436" s="607"/>
      <c r="AX436" s="607"/>
      <c r="AY436" s="607"/>
      <c r="AZ436" s="1209"/>
      <c r="BA436" s="1209"/>
    </row>
    <row r="437" spans="2:53" s="256" customFormat="1" ht="24.95" customHeight="1">
      <c r="B437" s="445"/>
      <c r="C437" s="204"/>
      <c r="D437" s="204"/>
      <c r="E437" s="204"/>
      <c r="F437" s="368"/>
      <c r="G437" s="1134"/>
      <c r="H437" s="401"/>
      <c r="I437" s="317"/>
      <c r="N437" s="317"/>
      <c r="O437" s="1135"/>
      <c r="P437" s="1136"/>
      <c r="Q437" s="1137"/>
      <c r="R437" s="1120"/>
      <c r="S437" s="1120"/>
      <c r="T437" s="1120"/>
      <c r="U437" s="1120"/>
      <c r="V437" s="1120"/>
      <c r="W437" s="1120"/>
      <c r="Z437" s="1145"/>
      <c r="AA437" s="1120"/>
      <c r="AB437" s="1120"/>
      <c r="AC437" s="1120"/>
      <c r="AD437" s="1212"/>
      <c r="AE437" s="1212"/>
      <c r="AF437" s="1186"/>
      <c r="AG437" s="1186"/>
      <c r="AH437" s="1222"/>
      <c r="AI437" s="1222"/>
      <c r="AJ437" s="1222"/>
      <c r="AK437" s="1222"/>
      <c r="AL437" s="1222"/>
      <c r="AM437" s="1222"/>
      <c r="AN437" s="1222"/>
      <c r="AO437" s="1222"/>
      <c r="AP437" s="1222"/>
      <c r="AQ437" s="1222"/>
      <c r="AR437" s="1222"/>
      <c r="AS437" s="1222"/>
      <c r="AT437" s="1222"/>
      <c r="AU437" s="1120"/>
      <c r="AV437" s="445"/>
      <c r="AW437" s="607"/>
      <c r="AX437" s="607"/>
      <c r="AY437" s="607"/>
      <c r="AZ437" s="1209"/>
      <c r="BA437" s="1209"/>
    </row>
    <row r="438" spans="2:53" s="256" customFormat="1" ht="24.95" customHeight="1">
      <c r="B438" s="445"/>
      <c r="C438" s="204"/>
      <c r="D438" s="204"/>
      <c r="E438" s="204"/>
      <c r="F438" s="368"/>
      <c r="G438" s="1134"/>
      <c r="H438" s="401"/>
      <c r="I438" s="317"/>
      <c r="N438" s="317"/>
      <c r="O438" s="1135"/>
      <c r="P438" s="1136"/>
      <c r="Q438" s="1137"/>
      <c r="R438" s="1120"/>
      <c r="S438" s="1120"/>
      <c r="T438" s="1120"/>
      <c r="U438" s="1120"/>
      <c r="V438" s="1120"/>
      <c r="W438" s="1120"/>
      <c r="Z438" s="1145"/>
      <c r="AA438" s="1120"/>
      <c r="AB438" s="1120"/>
      <c r="AC438" s="1120"/>
      <c r="AD438" s="1212"/>
      <c r="AE438" s="1212"/>
      <c r="AF438" s="1186"/>
      <c r="AG438" s="1186"/>
      <c r="AH438" s="1222"/>
      <c r="AI438" s="1222"/>
      <c r="AJ438" s="1222"/>
      <c r="AK438" s="1222"/>
      <c r="AL438" s="1222"/>
      <c r="AM438" s="1222"/>
      <c r="AN438" s="1222"/>
      <c r="AO438" s="1222"/>
      <c r="AP438" s="1222"/>
      <c r="AQ438" s="1222"/>
      <c r="AR438" s="1222"/>
      <c r="AS438" s="1222"/>
      <c r="AT438" s="1222"/>
      <c r="AU438" s="1120"/>
      <c r="AV438" s="445"/>
      <c r="AW438" s="607"/>
      <c r="AX438" s="607"/>
      <c r="AY438" s="607"/>
      <c r="AZ438" s="1209"/>
      <c r="BA438" s="1209"/>
    </row>
    <row r="439" spans="2:53" s="256" customFormat="1" ht="24.95" customHeight="1">
      <c r="B439" s="445"/>
      <c r="C439" s="204"/>
      <c r="D439" s="204"/>
      <c r="E439" s="204"/>
      <c r="F439" s="368"/>
      <c r="G439" s="1134"/>
      <c r="H439" s="401"/>
      <c r="I439" s="317"/>
      <c r="N439" s="317"/>
      <c r="O439" s="1135"/>
      <c r="P439" s="1136"/>
      <c r="Q439" s="1137"/>
      <c r="R439" s="1120"/>
      <c r="S439" s="1120"/>
      <c r="T439" s="1120"/>
      <c r="U439" s="1120"/>
      <c r="V439" s="1120"/>
      <c r="W439" s="1120"/>
      <c r="Z439" s="1145"/>
      <c r="AA439" s="1120"/>
      <c r="AB439" s="1120"/>
      <c r="AC439" s="1120"/>
      <c r="AD439" s="1212"/>
      <c r="AE439" s="1212"/>
      <c r="AF439" s="1186"/>
      <c r="AG439" s="1186"/>
      <c r="AH439" s="1222"/>
      <c r="AI439" s="1222"/>
      <c r="AJ439" s="1222"/>
      <c r="AK439" s="1222"/>
      <c r="AL439" s="1222"/>
      <c r="AM439" s="1222"/>
      <c r="AN439" s="1222"/>
      <c r="AO439" s="1222"/>
      <c r="AP439" s="1222"/>
      <c r="AQ439" s="1222"/>
      <c r="AR439" s="1222"/>
      <c r="AS439" s="1222"/>
      <c r="AT439" s="1222"/>
      <c r="AU439" s="1120"/>
      <c r="AV439" s="445"/>
      <c r="AW439" s="607"/>
      <c r="AX439" s="607"/>
      <c r="AY439" s="607"/>
      <c r="AZ439" s="1209"/>
      <c r="BA439" s="1209"/>
    </row>
    <row r="440" spans="2:53" s="256" customFormat="1" ht="24.95" customHeight="1">
      <c r="B440" s="445"/>
      <c r="C440" s="204"/>
      <c r="D440" s="204"/>
      <c r="E440" s="204"/>
      <c r="F440" s="368"/>
      <c r="G440" s="1134"/>
      <c r="H440" s="401"/>
      <c r="I440" s="317"/>
      <c r="N440" s="317"/>
      <c r="O440" s="1135"/>
      <c r="P440" s="1136"/>
      <c r="Q440" s="1137"/>
      <c r="R440" s="1120"/>
      <c r="S440" s="1120"/>
      <c r="T440" s="1120"/>
      <c r="U440" s="1120"/>
      <c r="V440" s="1120"/>
      <c r="W440" s="1120"/>
      <c r="Z440" s="1145"/>
      <c r="AA440" s="1120"/>
      <c r="AB440" s="1120"/>
      <c r="AC440" s="1120"/>
      <c r="AD440" s="1212"/>
      <c r="AE440" s="1212"/>
      <c r="AF440" s="1186"/>
      <c r="AG440" s="1186"/>
      <c r="AH440" s="1222"/>
      <c r="AI440" s="1222"/>
      <c r="AJ440" s="1222"/>
      <c r="AK440" s="1222"/>
      <c r="AL440" s="1222"/>
      <c r="AM440" s="1222"/>
      <c r="AN440" s="1222"/>
      <c r="AO440" s="1222"/>
      <c r="AP440" s="1222"/>
      <c r="AQ440" s="1222"/>
      <c r="AR440" s="1222"/>
      <c r="AS440" s="1222"/>
      <c r="AT440" s="1222"/>
      <c r="AU440" s="1120"/>
      <c r="AV440" s="445"/>
      <c r="AW440" s="607"/>
      <c r="AX440" s="607"/>
      <c r="AY440" s="607"/>
      <c r="AZ440" s="1209"/>
      <c r="BA440" s="1209"/>
    </row>
    <row r="441" spans="2:53" s="256" customFormat="1" ht="24.95" customHeight="1">
      <c r="B441" s="445"/>
      <c r="C441" s="204"/>
      <c r="D441" s="204"/>
      <c r="E441" s="204"/>
      <c r="F441" s="368"/>
      <c r="G441" s="1134"/>
      <c r="H441" s="401"/>
      <c r="I441" s="317"/>
      <c r="N441" s="317"/>
      <c r="O441" s="1135"/>
      <c r="P441" s="1136"/>
      <c r="Q441" s="1137"/>
      <c r="R441" s="1120"/>
      <c r="S441" s="1120"/>
      <c r="T441" s="1120"/>
      <c r="U441" s="1120"/>
      <c r="V441" s="1120"/>
      <c r="W441" s="1120"/>
      <c r="Z441" s="1145"/>
      <c r="AA441" s="1120"/>
      <c r="AB441" s="1120"/>
      <c r="AC441" s="1120"/>
      <c r="AD441" s="1212"/>
      <c r="AE441" s="1212"/>
      <c r="AF441" s="1186"/>
      <c r="AG441" s="1186"/>
      <c r="AH441" s="1222"/>
      <c r="AI441" s="1222"/>
      <c r="AJ441" s="1222"/>
      <c r="AK441" s="1222"/>
      <c r="AL441" s="1222"/>
      <c r="AM441" s="1222"/>
      <c r="AN441" s="1222"/>
      <c r="AO441" s="1222"/>
      <c r="AP441" s="1222"/>
      <c r="AQ441" s="1222"/>
      <c r="AR441" s="1222"/>
      <c r="AS441" s="1222"/>
      <c r="AT441" s="1222"/>
      <c r="AU441" s="1120"/>
      <c r="AV441" s="445"/>
      <c r="AW441" s="607"/>
      <c r="AX441" s="607"/>
      <c r="AY441" s="607"/>
      <c r="AZ441" s="1209"/>
      <c r="BA441" s="1209"/>
    </row>
    <row r="442" spans="2:53" s="256" customFormat="1" ht="24.95" customHeight="1">
      <c r="B442" s="445"/>
      <c r="C442" s="204"/>
      <c r="D442" s="204"/>
      <c r="E442" s="204"/>
      <c r="F442" s="368"/>
      <c r="G442" s="1134"/>
      <c r="H442" s="401"/>
      <c r="I442" s="317"/>
      <c r="N442" s="317"/>
      <c r="O442" s="1135"/>
      <c r="P442" s="1136"/>
      <c r="Q442" s="1137"/>
      <c r="R442" s="1120"/>
      <c r="S442" s="1120"/>
      <c r="T442" s="1120"/>
      <c r="U442" s="1120"/>
      <c r="V442" s="1120"/>
      <c r="W442" s="1120"/>
      <c r="Z442" s="1145"/>
      <c r="AA442" s="1120"/>
      <c r="AB442" s="1120"/>
      <c r="AC442" s="1120"/>
      <c r="AD442" s="1212"/>
      <c r="AE442" s="1212"/>
      <c r="AF442" s="1186"/>
      <c r="AG442" s="1186"/>
      <c r="AH442" s="1222"/>
      <c r="AI442" s="1222"/>
      <c r="AJ442" s="1222"/>
      <c r="AK442" s="1222"/>
      <c r="AL442" s="1222"/>
      <c r="AM442" s="1222"/>
      <c r="AN442" s="1222"/>
      <c r="AO442" s="1222"/>
      <c r="AP442" s="1222"/>
      <c r="AQ442" s="1222"/>
      <c r="AR442" s="1222"/>
      <c r="AS442" s="1222"/>
      <c r="AT442" s="1222"/>
      <c r="AU442" s="1120"/>
      <c r="AV442" s="445"/>
      <c r="AW442" s="607"/>
      <c r="AX442" s="607"/>
      <c r="AY442" s="607"/>
      <c r="AZ442" s="1209"/>
      <c r="BA442" s="1209"/>
    </row>
    <row r="443" spans="2:53" s="256" customFormat="1" ht="24.95" customHeight="1">
      <c r="B443" s="445"/>
      <c r="C443" s="204"/>
      <c r="D443" s="204"/>
      <c r="E443" s="204"/>
      <c r="F443" s="368"/>
      <c r="G443" s="1134"/>
      <c r="H443" s="401"/>
      <c r="I443" s="317"/>
      <c r="N443" s="317"/>
      <c r="O443" s="1135"/>
      <c r="P443" s="1136"/>
      <c r="Q443" s="1137"/>
      <c r="R443" s="1120"/>
      <c r="S443" s="1120"/>
      <c r="T443" s="1120"/>
      <c r="U443" s="1120"/>
      <c r="V443" s="1120"/>
      <c r="W443" s="1120"/>
      <c r="Z443" s="1145"/>
      <c r="AA443" s="1120"/>
      <c r="AB443" s="1120"/>
      <c r="AC443" s="1120"/>
      <c r="AD443" s="1212"/>
      <c r="AE443" s="1212"/>
      <c r="AF443" s="1186"/>
      <c r="AG443" s="1186"/>
      <c r="AH443" s="1222"/>
      <c r="AI443" s="1222"/>
      <c r="AJ443" s="1222"/>
      <c r="AK443" s="1222"/>
      <c r="AL443" s="1222"/>
      <c r="AM443" s="1222"/>
      <c r="AN443" s="1222"/>
      <c r="AO443" s="1222"/>
      <c r="AP443" s="1222"/>
      <c r="AQ443" s="1222"/>
      <c r="AR443" s="1222"/>
      <c r="AS443" s="1222"/>
      <c r="AT443" s="1222"/>
      <c r="AU443" s="1120"/>
      <c r="AV443" s="445"/>
      <c r="AW443" s="607"/>
      <c r="AX443" s="607"/>
      <c r="AY443" s="607"/>
      <c r="AZ443" s="1209"/>
      <c r="BA443" s="1209"/>
    </row>
    <row r="444" spans="2:53" s="256" customFormat="1" ht="24.95" customHeight="1">
      <c r="B444" s="445"/>
      <c r="C444" s="204"/>
      <c r="D444" s="204"/>
      <c r="E444" s="204"/>
      <c r="F444" s="368"/>
      <c r="G444" s="1134"/>
      <c r="H444" s="401"/>
      <c r="I444" s="317"/>
      <c r="N444" s="317"/>
      <c r="O444" s="1135"/>
      <c r="P444" s="1136"/>
      <c r="Q444" s="1137"/>
      <c r="R444" s="1120"/>
      <c r="S444" s="1120"/>
      <c r="T444" s="1120"/>
      <c r="U444" s="1120"/>
      <c r="V444" s="1120"/>
      <c r="W444" s="1120"/>
      <c r="Z444" s="1145"/>
      <c r="AA444" s="1120"/>
      <c r="AB444" s="1120"/>
      <c r="AC444" s="1120"/>
      <c r="AD444" s="1212"/>
      <c r="AE444" s="1212"/>
      <c r="AF444" s="1186"/>
      <c r="AG444" s="1186"/>
      <c r="AH444" s="1222"/>
      <c r="AI444" s="1222"/>
      <c r="AJ444" s="1222"/>
      <c r="AK444" s="1222"/>
      <c r="AL444" s="1222"/>
      <c r="AM444" s="1222"/>
      <c r="AN444" s="1222"/>
      <c r="AO444" s="1222"/>
      <c r="AP444" s="1222"/>
      <c r="AQ444" s="1222"/>
      <c r="AR444" s="1222"/>
      <c r="AS444" s="1222"/>
      <c r="AT444" s="1222"/>
      <c r="AU444" s="1120"/>
      <c r="AV444" s="445"/>
      <c r="AW444" s="607"/>
      <c r="AX444" s="607"/>
      <c r="AY444" s="607"/>
      <c r="AZ444" s="1209"/>
      <c r="BA444" s="1209"/>
    </row>
    <row r="445" spans="2:53" s="256" customFormat="1" ht="24.95" customHeight="1">
      <c r="B445" s="445"/>
      <c r="C445" s="204"/>
      <c r="D445" s="204"/>
      <c r="E445" s="204"/>
      <c r="F445" s="368"/>
      <c r="G445" s="1134"/>
      <c r="H445" s="401"/>
      <c r="I445" s="317"/>
      <c r="N445" s="317"/>
      <c r="O445" s="1135"/>
      <c r="P445" s="1136"/>
      <c r="Q445" s="1137"/>
      <c r="R445" s="1120"/>
      <c r="S445" s="1120"/>
      <c r="T445" s="1120"/>
      <c r="U445" s="1120"/>
      <c r="V445" s="1120"/>
      <c r="W445" s="1120"/>
      <c r="Z445" s="1145"/>
      <c r="AA445" s="1120"/>
      <c r="AB445" s="1120"/>
      <c r="AC445" s="1120"/>
      <c r="AD445" s="1212"/>
      <c r="AE445" s="1212"/>
      <c r="AF445" s="1186"/>
      <c r="AG445" s="1186"/>
      <c r="AH445" s="1222"/>
      <c r="AI445" s="1222"/>
      <c r="AJ445" s="1222"/>
      <c r="AK445" s="1222"/>
      <c r="AL445" s="1222"/>
      <c r="AM445" s="1222"/>
      <c r="AN445" s="1222"/>
      <c r="AO445" s="1222"/>
      <c r="AP445" s="1222"/>
      <c r="AQ445" s="1222"/>
      <c r="AR445" s="1222"/>
      <c r="AS445" s="1222"/>
      <c r="AT445" s="1222"/>
      <c r="AU445" s="1120"/>
      <c r="AV445" s="445"/>
      <c r="AW445" s="607"/>
      <c r="AX445" s="607"/>
      <c r="AY445" s="607"/>
      <c r="AZ445" s="1209"/>
      <c r="BA445" s="1209"/>
    </row>
    <row r="446" spans="2:53" s="256" customFormat="1" ht="24.95" customHeight="1">
      <c r="B446" s="445"/>
      <c r="C446" s="204"/>
      <c r="D446" s="204"/>
      <c r="E446" s="204"/>
      <c r="F446" s="368"/>
      <c r="G446" s="1134"/>
      <c r="H446" s="401"/>
      <c r="I446" s="317"/>
      <c r="N446" s="317"/>
      <c r="O446" s="1135"/>
      <c r="P446" s="1136"/>
      <c r="Q446" s="1137"/>
      <c r="R446" s="1120"/>
      <c r="S446" s="1120"/>
      <c r="T446" s="1120"/>
      <c r="U446" s="1120"/>
      <c r="V446" s="1120"/>
      <c r="W446" s="1120"/>
      <c r="Z446" s="1145"/>
      <c r="AA446" s="1120"/>
      <c r="AB446" s="1120"/>
      <c r="AC446" s="1120"/>
      <c r="AD446" s="1212"/>
      <c r="AE446" s="1212"/>
      <c r="AF446" s="1186"/>
      <c r="AG446" s="1186"/>
      <c r="AH446" s="1222"/>
      <c r="AI446" s="1222"/>
      <c r="AJ446" s="1222"/>
      <c r="AK446" s="1222"/>
      <c r="AL446" s="1222"/>
      <c r="AM446" s="1222"/>
      <c r="AN446" s="1222"/>
      <c r="AO446" s="1222"/>
      <c r="AP446" s="1222"/>
      <c r="AQ446" s="1222"/>
      <c r="AR446" s="1222"/>
      <c r="AS446" s="1222"/>
      <c r="AT446" s="1222"/>
      <c r="AU446" s="1120"/>
      <c r="AV446" s="445"/>
      <c r="AW446" s="607"/>
      <c r="AX446" s="607"/>
      <c r="AY446" s="607"/>
      <c r="AZ446" s="1209"/>
      <c r="BA446" s="1209"/>
    </row>
    <row r="447" spans="2:53" s="256" customFormat="1" ht="24.95" customHeight="1">
      <c r="B447" s="445"/>
      <c r="C447" s="204"/>
      <c r="D447" s="204"/>
      <c r="E447" s="204"/>
      <c r="F447" s="368"/>
      <c r="G447" s="1134"/>
      <c r="H447" s="401"/>
      <c r="I447" s="317"/>
      <c r="N447" s="317"/>
      <c r="O447" s="1135"/>
      <c r="P447" s="1136"/>
      <c r="Q447" s="1137"/>
      <c r="R447" s="1120"/>
      <c r="S447" s="1120"/>
      <c r="T447" s="1120"/>
      <c r="U447" s="1120"/>
      <c r="V447" s="1120"/>
      <c r="W447" s="1120"/>
      <c r="Z447" s="1145"/>
      <c r="AA447" s="1120"/>
      <c r="AB447" s="1120"/>
      <c r="AC447" s="1120"/>
      <c r="AD447" s="1212"/>
      <c r="AE447" s="1212"/>
      <c r="AF447" s="1186"/>
      <c r="AG447" s="1186"/>
      <c r="AH447" s="1222"/>
      <c r="AI447" s="1222"/>
      <c r="AJ447" s="1222"/>
      <c r="AK447" s="1222"/>
      <c r="AL447" s="1222"/>
      <c r="AM447" s="1222"/>
      <c r="AN447" s="1222"/>
      <c r="AO447" s="1222"/>
      <c r="AP447" s="1222"/>
      <c r="AQ447" s="1222"/>
      <c r="AR447" s="1222"/>
      <c r="AS447" s="1222"/>
      <c r="AT447" s="1222"/>
      <c r="AU447" s="1120"/>
      <c r="AV447" s="445"/>
      <c r="AW447" s="607"/>
      <c r="AX447" s="607"/>
      <c r="AY447" s="607"/>
      <c r="AZ447" s="1209"/>
      <c r="BA447" s="1209"/>
    </row>
    <row r="448" spans="2:53" s="256" customFormat="1" ht="24.95" customHeight="1">
      <c r="B448" s="445"/>
      <c r="C448" s="204"/>
      <c r="D448" s="204"/>
      <c r="E448" s="204"/>
      <c r="F448" s="368"/>
      <c r="G448" s="1134"/>
      <c r="H448" s="401"/>
      <c r="I448" s="317"/>
      <c r="N448" s="317"/>
      <c r="O448" s="1135"/>
      <c r="P448" s="1136"/>
      <c r="Q448" s="1137"/>
      <c r="R448" s="1120"/>
      <c r="S448" s="1120"/>
      <c r="T448" s="1120"/>
      <c r="U448" s="1120"/>
      <c r="V448" s="1120"/>
      <c r="W448" s="1120"/>
      <c r="Z448" s="1145"/>
      <c r="AA448" s="1120"/>
      <c r="AB448" s="1120"/>
      <c r="AC448" s="1120"/>
      <c r="AD448" s="1212"/>
      <c r="AE448" s="1212"/>
      <c r="AF448" s="1186"/>
      <c r="AG448" s="1186"/>
      <c r="AH448" s="1222"/>
      <c r="AI448" s="1222"/>
      <c r="AJ448" s="1222"/>
      <c r="AK448" s="1222"/>
      <c r="AL448" s="1222"/>
      <c r="AM448" s="1222"/>
      <c r="AN448" s="1222"/>
      <c r="AO448" s="1222"/>
      <c r="AP448" s="1222"/>
      <c r="AQ448" s="1222"/>
      <c r="AR448" s="1222"/>
      <c r="AS448" s="1222"/>
      <c r="AT448" s="1222"/>
      <c r="AU448" s="1120"/>
      <c r="AV448" s="445"/>
      <c r="AW448" s="607"/>
      <c r="AX448" s="607"/>
      <c r="AY448" s="607"/>
      <c r="AZ448" s="1209"/>
      <c r="BA448" s="1209"/>
    </row>
    <row r="449" spans="2:53" s="256" customFormat="1" ht="24.95" customHeight="1">
      <c r="B449" s="445"/>
      <c r="C449" s="204"/>
      <c r="D449" s="204"/>
      <c r="E449" s="204"/>
      <c r="F449" s="368"/>
      <c r="G449" s="1134"/>
      <c r="H449" s="401"/>
      <c r="I449" s="317"/>
      <c r="N449" s="317"/>
      <c r="O449" s="1135"/>
      <c r="P449" s="1136"/>
      <c r="Q449" s="1137"/>
      <c r="R449" s="1120"/>
      <c r="S449" s="1120"/>
      <c r="T449" s="1120"/>
      <c r="U449" s="1120"/>
      <c r="V449" s="1120"/>
      <c r="W449" s="1120"/>
      <c r="Z449" s="1145"/>
      <c r="AA449" s="1120"/>
      <c r="AB449" s="1120"/>
      <c r="AC449" s="1120"/>
      <c r="AD449" s="1212"/>
      <c r="AE449" s="1212"/>
      <c r="AF449" s="1186"/>
      <c r="AG449" s="1186"/>
      <c r="AH449" s="1222"/>
      <c r="AI449" s="1222"/>
      <c r="AJ449" s="1222"/>
      <c r="AK449" s="1222"/>
      <c r="AL449" s="1222"/>
      <c r="AM449" s="1222"/>
      <c r="AN449" s="1222"/>
      <c r="AO449" s="1222"/>
      <c r="AP449" s="1222"/>
      <c r="AQ449" s="1222"/>
      <c r="AR449" s="1222"/>
      <c r="AS449" s="1222"/>
      <c r="AT449" s="1222"/>
      <c r="AU449" s="1120"/>
      <c r="AV449" s="445"/>
      <c r="AW449" s="607"/>
      <c r="AX449" s="607"/>
      <c r="AY449" s="607"/>
      <c r="AZ449" s="1209"/>
      <c r="BA449" s="1209"/>
    </row>
    <row r="450" spans="2:53" s="256" customFormat="1" ht="24.95" customHeight="1">
      <c r="B450" s="445"/>
      <c r="C450" s="204"/>
      <c r="D450" s="204"/>
      <c r="E450" s="204"/>
      <c r="F450" s="368"/>
      <c r="G450" s="1134"/>
      <c r="H450" s="401"/>
      <c r="I450" s="317"/>
      <c r="N450" s="317"/>
      <c r="O450" s="1135"/>
      <c r="P450" s="1136"/>
      <c r="Q450" s="1137"/>
      <c r="R450" s="1120"/>
      <c r="S450" s="1120"/>
      <c r="T450" s="1120"/>
      <c r="U450" s="1120"/>
      <c r="V450" s="1120"/>
      <c r="W450" s="1120"/>
      <c r="Z450" s="1145"/>
      <c r="AA450" s="1120"/>
      <c r="AB450" s="1120"/>
      <c r="AC450" s="1120"/>
      <c r="AD450" s="1212"/>
      <c r="AE450" s="1212"/>
      <c r="AF450" s="1186"/>
      <c r="AG450" s="1186"/>
      <c r="AH450" s="1222"/>
      <c r="AI450" s="1222"/>
      <c r="AJ450" s="1222"/>
      <c r="AK450" s="1222"/>
      <c r="AL450" s="1222"/>
      <c r="AM450" s="1222"/>
      <c r="AN450" s="1222"/>
      <c r="AO450" s="1222"/>
      <c r="AP450" s="1222"/>
      <c r="AQ450" s="1222"/>
      <c r="AR450" s="1222"/>
      <c r="AS450" s="1222"/>
      <c r="AT450" s="1222"/>
      <c r="AU450" s="1120"/>
      <c r="AV450" s="445"/>
      <c r="AW450" s="607"/>
      <c r="AX450" s="607"/>
      <c r="AY450" s="607"/>
      <c r="AZ450" s="1209"/>
      <c r="BA450" s="1209"/>
    </row>
    <row r="451" spans="2:53" s="256" customFormat="1" ht="24.95" customHeight="1">
      <c r="B451" s="445"/>
      <c r="C451" s="204"/>
      <c r="D451" s="204"/>
      <c r="E451" s="204"/>
      <c r="F451" s="368"/>
      <c r="G451" s="1134"/>
      <c r="H451" s="401"/>
      <c r="I451" s="317"/>
      <c r="N451" s="317"/>
      <c r="O451" s="1135"/>
      <c r="P451" s="1136"/>
      <c r="Q451" s="1137"/>
      <c r="R451" s="1120"/>
      <c r="S451" s="1120"/>
      <c r="T451" s="1120"/>
      <c r="U451" s="1120"/>
      <c r="V451" s="1120"/>
      <c r="W451" s="1120"/>
      <c r="Z451" s="1145"/>
      <c r="AA451" s="1120"/>
      <c r="AB451" s="1120"/>
      <c r="AC451" s="1120"/>
      <c r="AD451" s="1212"/>
      <c r="AE451" s="1212"/>
      <c r="AF451" s="1186"/>
      <c r="AG451" s="1186"/>
      <c r="AH451" s="1222"/>
      <c r="AI451" s="1222"/>
      <c r="AJ451" s="1222"/>
      <c r="AK451" s="1222"/>
      <c r="AL451" s="1222"/>
      <c r="AM451" s="1222"/>
      <c r="AN451" s="1222"/>
      <c r="AO451" s="1222"/>
      <c r="AP451" s="1222"/>
      <c r="AQ451" s="1222"/>
      <c r="AR451" s="1222"/>
      <c r="AS451" s="1222"/>
      <c r="AT451" s="1222"/>
      <c r="AU451" s="1120"/>
      <c r="AV451" s="445"/>
      <c r="AW451" s="607"/>
      <c r="AX451" s="607"/>
      <c r="AY451" s="607"/>
      <c r="AZ451" s="1209"/>
      <c r="BA451" s="1209"/>
    </row>
    <row r="452" spans="2:53" s="256" customFormat="1" ht="24.95" customHeight="1">
      <c r="B452" s="445"/>
      <c r="C452" s="204"/>
      <c r="D452" s="204"/>
      <c r="E452" s="204"/>
      <c r="F452" s="368"/>
      <c r="G452" s="1134"/>
      <c r="H452" s="401"/>
      <c r="I452" s="317"/>
      <c r="N452" s="317"/>
      <c r="O452" s="1135"/>
      <c r="P452" s="1136"/>
      <c r="Q452" s="1137"/>
      <c r="R452" s="1120"/>
      <c r="S452" s="1120"/>
      <c r="T452" s="1120"/>
      <c r="U452" s="1120"/>
      <c r="V452" s="1120"/>
      <c r="W452" s="1120"/>
      <c r="Z452" s="1145"/>
      <c r="AA452" s="1120"/>
      <c r="AB452" s="1120"/>
      <c r="AC452" s="1120"/>
      <c r="AD452" s="1212"/>
      <c r="AE452" s="1212"/>
      <c r="AF452" s="1186"/>
      <c r="AG452" s="1186"/>
      <c r="AH452" s="1222"/>
      <c r="AI452" s="1222"/>
      <c r="AJ452" s="1222"/>
      <c r="AK452" s="1222"/>
      <c r="AL452" s="1222"/>
      <c r="AM452" s="1222"/>
      <c r="AN452" s="1222"/>
      <c r="AO452" s="1222"/>
      <c r="AP452" s="1222"/>
      <c r="AQ452" s="1222"/>
      <c r="AR452" s="1222"/>
      <c r="AS452" s="1222"/>
      <c r="AT452" s="1222"/>
      <c r="AU452" s="1120"/>
      <c r="AV452" s="445"/>
      <c r="AW452" s="607"/>
      <c r="AX452" s="607"/>
      <c r="AY452" s="607"/>
      <c r="AZ452" s="1209"/>
      <c r="BA452" s="1209"/>
    </row>
    <row r="453" spans="2:53" s="256" customFormat="1" ht="24.95" customHeight="1">
      <c r="B453" s="445"/>
      <c r="C453" s="204"/>
      <c r="D453" s="204"/>
      <c r="E453" s="204"/>
      <c r="F453" s="368"/>
      <c r="G453" s="1134"/>
      <c r="H453" s="401"/>
      <c r="I453" s="317"/>
      <c r="N453" s="317"/>
      <c r="O453" s="1135"/>
      <c r="P453" s="1136"/>
      <c r="Q453" s="1137"/>
      <c r="R453" s="1120"/>
      <c r="S453" s="1120"/>
      <c r="T453" s="1120"/>
      <c r="U453" s="1120"/>
      <c r="V453" s="1120"/>
      <c r="W453" s="1120"/>
      <c r="Z453" s="1145"/>
      <c r="AA453" s="1120"/>
      <c r="AB453" s="1120"/>
      <c r="AC453" s="1120"/>
      <c r="AD453" s="1212"/>
      <c r="AE453" s="1212"/>
      <c r="AF453" s="1186"/>
      <c r="AG453" s="1186"/>
      <c r="AH453" s="1222"/>
      <c r="AI453" s="1222"/>
      <c r="AJ453" s="1222"/>
      <c r="AK453" s="1222"/>
      <c r="AL453" s="1222"/>
      <c r="AM453" s="1222"/>
      <c r="AN453" s="1222"/>
      <c r="AO453" s="1222"/>
      <c r="AP453" s="1222"/>
      <c r="AQ453" s="1222"/>
      <c r="AR453" s="1222"/>
      <c r="AS453" s="1222"/>
      <c r="AT453" s="1222"/>
      <c r="AU453" s="1120"/>
      <c r="AV453" s="445"/>
      <c r="AW453" s="607"/>
      <c r="AX453" s="607"/>
      <c r="AY453" s="607"/>
      <c r="AZ453" s="1209"/>
      <c r="BA453" s="1209"/>
    </row>
    <row r="454" spans="2:53" s="256" customFormat="1" ht="24.95" customHeight="1">
      <c r="B454" s="445"/>
      <c r="C454" s="204"/>
      <c r="D454" s="204"/>
      <c r="E454" s="204"/>
      <c r="F454" s="368"/>
      <c r="G454" s="1134"/>
      <c r="H454" s="401"/>
      <c r="I454" s="317"/>
      <c r="N454" s="317"/>
      <c r="O454" s="1135"/>
      <c r="P454" s="1136"/>
      <c r="Q454" s="1137"/>
      <c r="R454" s="1120"/>
      <c r="S454" s="1120"/>
      <c r="T454" s="1120"/>
      <c r="U454" s="1120"/>
      <c r="V454" s="1120"/>
      <c r="W454" s="1120"/>
      <c r="Z454" s="1145"/>
      <c r="AA454" s="1120"/>
      <c r="AB454" s="1120"/>
      <c r="AC454" s="1120"/>
      <c r="AD454" s="1212"/>
      <c r="AE454" s="1212"/>
      <c r="AF454" s="1186"/>
      <c r="AG454" s="1186"/>
      <c r="AH454" s="1222"/>
      <c r="AI454" s="1222"/>
      <c r="AJ454" s="1222"/>
      <c r="AK454" s="1222"/>
      <c r="AL454" s="1222"/>
      <c r="AM454" s="1222"/>
      <c r="AN454" s="1222"/>
      <c r="AO454" s="1222"/>
      <c r="AP454" s="1222"/>
      <c r="AQ454" s="1222"/>
      <c r="AR454" s="1222"/>
      <c r="AS454" s="1222"/>
      <c r="AT454" s="1222"/>
      <c r="AU454" s="1120"/>
      <c r="AV454" s="445"/>
      <c r="AW454" s="607"/>
      <c r="AX454" s="607"/>
      <c r="AY454" s="607"/>
      <c r="AZ454" s="1209"/>
      <c r="BA454" s="1209"/>
    </row>
    <row r="455" spans="2:53" s="256" customFormat="1" ht="24.95" customHeight="1">
      <c r="B455" s="445"/>
      <c r="C455" s="204"/>
      <c r="D455" s="204"/>
      <c r="E455" s="204"/>
      <c r="F455" s="368"/>
      <c r="G455" s="1134"/>
      <c r="H455" s="401"/>
      <c r="I455" s="317"/>
      <c r="N455" s="317"/>
      <c r="O455" s="1135"/>
      <c r="P455" s="1136"/>
      <c r="Q455" s="1137"/>
      <c r="R455" s="1120"/>
      <c r="S455" s="1120"/>
      <c r="T455" s="1120"/>
      <c r="U455" s="1120"/>
      <c r="V455" s="1120"/>
      <c r="W455" s="1120"/>
      <c r="Z455" s="1145"/>
      <c r="AA455" s="1120"/>
      <c r="AB455" s="1120"/>
      <c r="AC455" s="1120"/>
      <c r="AD455" s="1212"/>
      <c r="AE455" s="1212"/>
      <c r="AF455" s="1186"/>
      <c r="AG455" s="1186"/>
      <c r="AH455" s="1222"/>
      <c r="AI455" s="1222"/>
      <c r="AJ455" s="1222"/>
      <c r="AK455" s="1222"/>
      <c r="AL455" s="1222"/>
      <c r="AM455" s="1222"/>
      <c r="AN455" s="1222"/>
      <c r="AO455" s="1222"/>
      <c r="AP455" s="1222"/>
      <c r="AQ455" s="1222"/>
      <c r="AR455" s="1222"/>
      <c r="AS455" s="1222"/>
      <c r="AT455" s="1222"/>
      <c r="AU455" s="1120"/>
      <c r="AV455" s="445"/>
      <c r="AW455" s="607"/>
      <c r="AX455" s="607"/>
      <c r="AY455" s="607"/>
      <c r="AZ455" s="1209"/>
      <c r="BA455" s="1209"/>
    </row>
    <row r="456" spans="2:53" s="256" customFormat="1" ht="24.95" customHeight="1">
      <c r="B456" s="445"/>
      <c r="C456" s="204"/>
      <c r="D456" s="204"/>
      <c r="E456" s="204"/>
      <c r="F456" s="368"/>
      <c r="G456" s="1134"/>
      <c r="H456" s="401"/>
      <c r="I456" s="317"/>
      <c r="N456" s="317"/>
      <c r="O456" s="1135"/>
      <c r="P456" s="1136"/>
      <c r="Q456" s="1137"/>
      <c r="R456" s="1120"/>
      <c r="S456" s="1120"/>
      <c r="T456" s="1120"/>
      <c r="U456" s="1120"/>
      <c r="V456" s="1120"/>
      <c r="W456" s="1120"/>
      <c r="Z456" s="1145"/>
      <c r="AA456" s="1120"/>
      <c r="AB456" s="1120"/>
      <c r="AC456" s="1120"/>
      <c r="AD456" s="1212"/>
      <c r="AE456" s="1212"/>
      <c r="AF456" s="1186"/>
      <c r="AG456" s="1186"/>
      <c r="AH456" s="1222"/>
      <c r="AI456" s="1222"/>
      <c r="AJ456" s="1222"/>
      <c r="AK456" s="1222"/>
      <c r="AL456" s="1222"/>
      <c r="AM456" s="1222"/>
      <c r="AN456" s="1222"/>
      <c r="AO456" s="1222"/>
      <c r="AP456" s="1222"/>
      <c r="AQ456" s="1222"/>
      <c r="AR456" s="1222"/>
      <c r="AS456" s="1222"/>
      <c r="AT456" s="1222"/>
      <c r="AU456" s="1120"/>
      <c r="AV456" s="445"/>
      <c r="AW456" s="607"/>
      <c r="AX456" s="607"/>
      <c r="AY456" s="607"/>
      <c r="AZ456" s="1209"/>
      <c r="BA456" s="1209"/>
    </row>
    <row r="457" spans="2:53" s="256" customFormat="1" ht="24.95" customHeight="1">
      <c r="B457" s="445"/>
      <c r="C457" s="204"/>
      <c r="D457" s="204"/>
      <c r="E457" s="204"/>
      <c r="F457" s="368"/>
      <c r="G457" s="1134"/>
      <c r="H457" s="401"/>
      <c r="I457" s="317"/>
      <c r="N457" s="317"/>
      <c r="O457" s="1135"/>
      <c r="P457" s="1136"/>
      <c r="Q457" s="1137"/>
      <c r="R457" s="1120"/>
      <c r="S457" s="1120"/>
      <c r="T457" s="1120"/>
      <c r="U457" s="1120"/>
      <c r="V457" s="1120"/>
      <c r="W457" s="1120"/>
      <c r="Z457" s="1145"/>
      <c r="AA457" s="1120"/>
      <c r="AB457" s="1120"/>
      <c r="AC457" s="1120"/>
      <c r="AD457" s="1212"/>
      <c r="AE457" s="1212"/>
      <c r="AF457" s="1186"/>
      <c r="AG457" s="1186"/>
      <c r="AH457" s="1222"/>
      <c r="AI457" s="1222"/>
      <c r="AJ457" s="1222"/>
      <c r="AK457" s="1222"/>
      <c r="AL457" s="1222"/>
      <c r="AM457" s="1222"/>
      <c r="AN457" s="1222"/>
      <c r="AO457" s="1222"/>
      <c r="AP457" s="1222"/>
      <c r="AQ457" s="1222"/>
      <c r="AR457" s="1222"/>
      <c r="AS457" s="1222"/>
      <c r="AT457" s="1222"/>
      <c r="AU457" s="1120"/>
      <c r="AV457" s="445"/>
      <c r="AW457" s="607"/>
      <c r="AX457" s="607"/>
      <c r="AY457" s="607"/>
      <c r="AZ457" s="1209"/>
      <c r="BA457" s="1209"/>
    </row>
    <row r="458" spans="2:53" s="256" customFormat="1" ht="24.95" customHeight="1">
      <c r="B458" s="445"/>
      <c r="C458" s="204"/>
      <c r="D458" s="204"/>
      <c r="E458" s="204"/>
      <c r="F458" s="368"/>
      <c r="G458" s="1134"/>
      <c r="H458" s="401"/>
      <c r="I458" s="317"/>
      <c r="N458" s="317"/>
      <c r="O458" s="1135"/>
      <c r="P458" s="1136"/>
      <c r="Q458" s="1137"/>
      <c r="R458" s="1120"/>
      <c r="S458" s="1120"/>
      <c r="T458" s="1120"/>
      <c r="U458" s="1120"/>
      <c r="V458" s="1120"/>
      <c r="W458" s="1120"/>
      <c r="Z458" s="1145"/>
      <c r="AA458" s="1120"/>
      <c r="AB458" s="1120"/>
      <c r="AC458" s="1120"/>
      <c r="AD458" s="1212"/>
      <c r="AE458" s="1212"/>
      <c r="AF458" s="1186"/>
      <c r="AG458" s="1186"/>
      <c r="AH458" s="1222"/>
      <c r="AI458" s="1222"/>
      <c r="AJ458" s="1222"/>
      <c r="AK458" s="1222"/>
      <c r="AL458" s="1222"/>
      <c r="AM458" s="1222"/>
      <c r="AN458" s="1222"/>
      <c r="AO458" s="1222"/>
      <c r="AP458" s="1222"/>
      <c r="AQ458" s="1222"/>
      <c r="AR458" s="1222"/>
      <c r="AS458" s="1222"/>
      <c r="AT458" s="1222"/>
      <c r="AU458" s="1120"/>
      <c r="AV458" s="445"/>
      <c r="AW458" s="607"/>
      <c r="AX458" s="607"/>
      <c r="AY458" s="607"/>
      <c r="AZ458" s="1209"/>
      <c r="BA458" s="1209"/>
    </row>
    <row r="459" spans="2:53" s="256" customFormat="1" ht="24.95" customHeight="1">
      <c r="B459" s="445"/>
      <c r="C459" s="204"/>
      <c r="D459" s="204"/>
      <c r="E459" s="204"/>
      <c r="F459" s="368"/>
      <c r="G459" s="1134"/>
      <c r="H459" s="401"/>
      <c r="I459" s="317"/>
      <c r="N459" s="317"/>
      <c r="O459" s="1135"/>
      <c r="P459" s="1136"/>
      <c r="Q459" s="1137"/>
      <c r="R459" s="1120"/>
      <c r="S459" s="1120"/>
      <c r="T459" s="1120"/>
      <c r="U459" s="1120"/>
      <c r="V459" s="1120"/>
      <c r="W459" s="1120"/>
      <c r="Z459" s="1145"/>
      <c r="AA459" s="1120"/>
      <c r="AB459" s="1120"/>
      <c r="AC459" s="1120"/>
      <c r="AD459" s="1212"/>
      <c r="AE459" s="1212"/>
      <c r="AF459" s="1186"/>
      <c r="AG459" s="1186"/>
      <c r="AH459" s="1222"/>
      <c r="AI459" s="1222"/>
      <c r="AJ459" s="1222"/>
      <c r="AK459" s="1222"/>
      <c r="AL459" s="1222"/>
      <c r="AM459" s="1222"/>
      <c r="AN459" s="1222"/>
      <c r="AO459" s="1222"/>
      <c r="AP459" s="1222"/>
      <c r="AQ459" s="1222"/>
      <c r="AR459" s="1222"/>
      <c r="AS459" s="1222"/>
      <c r="AT459" s="1222"/>
      <c r="AU459" s="1120"/>
      <c r="AV459" s="445"/>
      <c r="AW459" s="607"/>
      <c r="AX459" s="607"/>
      <c r="AY459" s="607"/>
      <c r="AZ459" s="1209"/>
      <c r="BA459" s="1209"/>
    </row>
    <row r="460" spans="2:53" s="256" customFormat="1" ht="24.95" customHeight="1">
      <c r="B460" s="445"/>
      <c r="C460" s="204"/>
      <c r="D460" s="204"/>
      <c r="E460" s="204"/>
      <c r="F460" s="368"/>
      <c r="G460" s="1134"/>
      <c r="H460" s="401"/>
      <c r="I460" s="317"/>
      <c r="N460" s="317"/>
      <c r="O460" s="1135"/>
      <c r="P460" s="1136"/>
      <c r="Q460" s="1137"/>
      <c r="R460" s="1120"/>
      <c r="S460" s="1120"/>
      <c r="T460" s="1120"/>
      <c r="U460" s="1120"/>
      <c r="V460" s="1120"/>
      <c r="W460" s="1120"/>
      <c r="Z460" s="1145"/>
      <c r="AA460" s="1120"/>
      <c r="AB460" s="1120"/>
      <c r="AC460" s="1120"/>
      <c r="AD460" s="1212"/>
      <c r="AE460" s="1212"/>
      <c r="AF460" s="1186"/>
      <c r="AG460" s="1186"/>
      <c r="AH460" s="1222"/>
      <c r="AI460" s="1222"/>
      <c r="AJ460" s="1222"/>
      <c r="AK460" s="1222"/>
      <c r="AL460" s="1222"/>
      <c r="AM460" s="1222"/>
      <c r="AN460" s="1222"/>
      <c r="AO460" s="1222"/>
      <c r="AP460" s="1222"/>
      <c r="AQ460" s="1222"/>
      <c r="AR460" s="1222"/>
      <c r="AS460" s="1222"/>
      <c r="AT460" s="1222"/>
      <c r="AU460" s="1120"/>
      <c r="AV460" s="445"/>
      <c r="AW460" s="607"/>
      <c r="AX460" s="607"/>
      <c r="AY460" s="607"/>
      <c r="AZ460" s="1209"/>
      <c r="BA460" s="1209"/>
    </row>
    <row r="461" spans="2:53" s="256" customFormat="1" ht="24.95" customHeight="1">
      <c r="B461" s="445"/>
      <c r="C461" s="204"/>
      <c r="D461" s="204"/>
      <c r="E461" s="204"/>
      <c r="F461" s="368"/>
      <c r="G461" s="1134"/>
      <c r="H461" s="401"/>
      <c r="I461" s="317"/>
      <c r="N461" s="317"/>
      <c r="O461" s="1135"/>
      <c r="P461" s="1136"/>
      <c r="Q461" s="1137"/>
      <c r="R461" s="1120"/>
      <c r="S461" s="1120"/>
      <c r="T461" s="1120"/>
      <c r="U461" s="1120"/>
      <c r="V461" s="1120"/>
      <c r="W461" s="1120"/>
      <c r="Z461" s="1145"/>
      <c r="AA461" s="1120"/>
      <c r="AB461" s="1120"/>
      <c r="AC461" s="1120"/>
      <c r="AD461" s="1212"/>
      <c r="AE461" s="1212"/>
      <c r="AF461" s="1186"/>
      <c r="AG461" s="1186"/>
      <c r="AH461" s="1222"/>
      <c r="AI461" s="1222"/>
      <c r="AJ461" s="1222"/>
      <c r="AK461" s="1222"/>
      <c r="AL461" s="1222"/>
      <c r="AM461" s="1222"/>
      <c r="AN461" s="1222"/>
      <c r="AO461" s="1222"/>
      <c r="AP461" s="1222"/>
      <c r="AQ461" s="1222"/>
      <c r="AR461" s="1222"/>
      <c r="AS461" s="1222"/>
      <c r="AT461" s="1222"/>
      <c r="AU461" s="1120"/>
      <c r="AV461" s="445"/>
      <c r="AW461" s="607"/>
      <c r="AX461" s="607"/>
      <c r="AY461" s="607"/>
      <c r="AZ461" s="1209"/>
      <c r="BA461" s="1209"/>
    </row>
    <row r="462" spans="2:53" s="256" customFormat="1" ht="24.95" customHeight="1">
      <c r="B462" s="445"/>
      <c r="C462" s="204"/>
      <c r="D462" s="204"/>
      <c r="E462" s="204"/>
      <c r="F462" s="368"/>
      <c r="G462" s="1134"/>
      <c r="H462" s="401"/>
      <c r="I462" s="317"/>
      <c r="N462" s="317"/>
      <c r="O462" s="1135"/>
      <c r="P462" s="1136"/>
      <c r="Q462" s="1137"/>
      <c r="R462" s="1120"/>
      <c r="S462" s="1120"/>
      <c r="T462" s="1120"/>
      <c r="U462" s="1120"/>
      <c r="V462" s="1120"/>
      <c r="W462" s="1120"/>
      <c r="Z462" s="1145"/>
      <c r="AA462" s="1120"/>
      <c r="AB462" s="1120"/>
      <c r="AC462" s="1120"/>
      <c r="AD462" s="1212"/>
      <c r="AE462" s="1212"/>
      <c r="AF462" s="1186"/>
      <c r="AG462" s="1186"/>
      <c r="AH462" s="1222"/>
      <c r="AI462" s="1222"/>
      <c r="AJ462" s="1222"/>
      <c r="AK462" s="1222"/>
      <c r="AL462" s="1222"/>
      <c r="AM462" s="1222"/>
      <c r="AN462" s="1222"/>
      <c r="AO462" s="1222"/>
      <c r="AP462" s="1222"/>
      <c r="AQ462" s="1222"/>
      <c r="AR462" s="1222"/>
      <c r="AS462" s="1222"/>
      <c r="AT462" s="1222"/>
      <c r="AU462" s="1120"/>
      <c r="AV462" s="445"/>
      <c r="AW462" s="607"/>
      <c r="AX462" s="607"/>
      <c r="AY462" s="607"/>
      <c r="AZ462" s="1209"/>
      <c r="BA462" s="1209"/>
    </row>
    <row r="463" spans="2:53" s="256" customFormat="1" ht="24.95" customHeight="1">
      <c r="B463" s="445"/>
      <c r="C463" s="204"/>
      <c r="D463" s="204"/>
      <c r="E463" s="204"/>
      <c r="F463" s="368"/>
      <c r="G463" s="1134"/>
      <c r="H463" s="401"/>
      <c r="I463" s="317"/>
      <c r="N463" s="317"/>
      <c r="O463" s="1135"/>
      <c r="P463" s="1136"/>
      <c r="Q463" s="1137"/>
      <c r="R463" s="1120"/>
      <c r="S463" s="1120"/>
      <c r="T463" s="1120"/>
      <c r="U463" s="1120"/>
      <c r="V463" s="1120"/>
      <c r="W463" s="1120"/>
      <c r="Z463" s="1145"/>
      <c r="AA463" s="1120"/>
      <c r="AB463" s="1120"/>
      <c r="AC463" s="1120"/>
      <c r="AD463" s="1212"/>
      <c r="AE463" s="1212"/>
      <c r="AF463" s="1186"/>
      <c r="AG463" s="1186"/>
      <c r="AH463" s="1222"/>
      <c r="AI463" s="1222"/>
      <c r="AJ463" s="1222"/>
      <c r="AK463" s="1222"/>
      <c r="AL463" s="1222"/>
      <c r="AM463" s="1222"/>
      <c r="AN463" s="1222"/>
      <c r="AO463" s="1222"/>
      <c r="AP463" s="1222"/>
      <c r="AQ463" s="1222"/>
      <c r="AR463" s="1222"/>
      <c r="AS463" s="1222"/>
      <c r="AT463" s="1222"/>
      <c r="AU463" s="1120"/>
      <c r="AV463" s="445"/>
      <c r="AW463" s="607"/>
      <c r="AX463" s="607"/>
      <c r="AY463" s="607"/>
      <c r="AZ463" s="1209"/>
      <c r="BA463" s="1209"/>
    </row>
    <row r="464" spans="2:53" s="256" customFormat="1" ht="24.95" customHeight="1">
      <c r="B464" s="445"/>
      <c r="C464" s="204"/>
      <c r="D464" s="204"/>
      <c r="E464" s="204"/>
      <c r="F464" s="368"/>
      <c r="G464" s="1134"/>
      <c r="H464" s="401"/>
      <c r="I464" s="317"/>
      <c r="N464" s="317"/>
      <c r="O464" s="1135"/>
      <c r="P464" s="1136"/>
      <c r="Q464" s="1137"/>
      <c r="R464" s="1120"/>
      <c r="S464" s="1120"/>
      <c r="T464" s="1120"/>
      <c r="U464" s="1120"/>
      <c r="V464" s="1120"/>
      <c r="W464" s="1120"/>
      <c r="Z464" s="1145"/>
      <c r="AA464" s="1120"/>
      <c r="AB464" s="1120"/>
      <c r="AC464" s="1120"/>
      <c r="AD464" s="1212"/>
      <c r="AE464" s="1212"/>
      <c r="AF464" s="1186"/>
      <c r="AG464" s="1186"/>
      <c r="AH464" s="1222"/>
      <c r="AI464" s="1222"/>
      <c r="AJ464" s="1222"/>
      <c r="AK464" s="1222"/>
      <c r="AL464" s="1222"/>
      <c r="AM464" s="1222"/>
      <c r="AN464" s="1222"/>
      <c r="AO464" s="1222"/>
      <c r="AP464" s="1222"/>
      <c r="AQ464" s="1222"/>
      <c r="AR464" s="1222"/>
      <c r="AS464" s="1222"/>
      <c r="AT464" s="1222"/>
      <c r="AU464" s="1120"/>
      <c r="AV464" s="445"/>
      <c r="AW464" s="607"/>
      <c r="AX464" s="607"/>
      <c r="AY464" s="607"/>
      <c r="AZ464" s="1209"/>
      <c r="BA464" s="1209"/>
    </row>
    <row r="465" spans="2:53" s="256" customFormat="1" ht="24.95" customHeight="1">
      <c r="B465" s="445"/>
      <c r="C465" s="204"/>
      <c r="D465" s="204"/>
      <c r="E465" s="204"/>
      <c r="F465" s="368"/>
      <c r="G465" s="1134"/>
      <c r="H465" s="401"/>
      <c r="I465" s="317"/>
      <c r="N465" s="317"/>
      <c r="O465" s="1135"/>
      <c r="P465" s="1136"/>
      <c r="Q465" s="1137"/>
      <c r="R465" s="1120"/>
      <c r="S465" s="1120"/>
      <c r="T465" s="1120"/>
      <c r="U465" s="1120"/>
      <c r="V465" s="1120"/>
      <c r="W465" s="1120"/>
      <c r="Z465" s="1145"/>
      <c r="AA465" s="1120"/>
      <c r="AB465" s="1120"/>
      <c r="AC465" s="1120"/>
      <c r="AD465" s="1212"/>
      <c r="AE465" s="1212"/>
      <c r="AF465" s="1186"/>
      <c r="AG465" s="1186"/>
      <c r="AH465" s="1222"/>
      <c r="AI465" s="1222"/>
      <c r="AJ465" s="1222"/>
      <c r="AK465" s="1222"/>
      <c r="AL465" s="1222"/>
      <c r="AM465" s="1222"/>
      <c r="AN465" s="1222"/>
      <c r="AO465" s="1222"/>
      <c r="AP465" s="1222"/>
      <c r="AQ465" s="1222"/>
      <c r="AR465" s="1222"/>
      <c r="AS465" s="1222"/>
      <c r="AT465" s="1222"/>
      <c r="AU465" s="1120"/>
      <c r="AV465" s="445"/>
      <c r="AW465" s="607"/>
      <c r="AX465" s="607"/>
      <c r="AY465" s="607"/>
      <c r="AZ465" s="1209"/>
      <c r="BA465" s="1209"/>
    </row>
    <row r="466" spans="2:53" s="256" customFormat="1" ht="24.95" customHeight="1">
      <c r="B466" s="445"/>
      <c r="C466" s="204"/>
      <c r="D466" s="204"/>
      <c r="E466" s="204"/>
      <c r="F466" s="368"/>
      <c r="G466" s="1134"/>
      <c r="H466" s="401"/>
      <c r="I466" s="317"/>
      <c r="N466" s="317"/>
      <c r="O466" s="1135"/>
      <c r="P466" s="1136"/>
      <c r="Q466" s="1137"/>
      <c r="R466" s="1120"/>
      <c r="S466" s="1120"/>
      <c r="T466" s="1120"/>
      <c r="U466" s="1120"/>
      <c r="V466" s="1120"/>
      <c r="W466" s="1120"/>
      <c r="Z466" s="1145"/>
      <c r="AA466" s="1120"/>
      <c r="AB466" s="1120"/>
      <c r="AC466" s="1120"/>
      <c r="AD466" s="1212"/>
      <c r="AE466" s="1212"/>
      <c r="AF466" s="1186"/>
      <c r="AG466" s="1186"/>
      <c r="AH466" s="1222"/>
      <c r="AI466" s="1222"/>
      <c r="AJ466" s="1222"/>
      <c r="AK466" s="1222"/>
      <c r="AL466" s="1222"/>
      <c r="AM466" s="1222"/>
      <c r="AN466" s="1222"/>
      <c r="AO466" s="1222"/>
      <c r="AP466" s="1222"/>
      <c r="AQ466" s="1222"/>
      <c r="AR466" s="1222"/>
      <c r="AS466" s="1222"/>
      <c r="AT466" s="1222"/>
      <c r="AU466" s="1120"/>
      <c r="AV466" s="445"/>
      <c r="AW466" s="607"/>
      <c r="AX466" s="607"/>
      <c r="AY466" s="607"/>
      <c r="AZ466" s="1209"/>
      <c r="BA466" s="1209"/>
    </row>
    <row r="467" spans="2:53" s="256" customFormat="1" ht="24.95" customHeight="1">
      <c r="B467" s="445"/>
      <c r="C467" s="204"/>
      <c r="D467" s="204"/>
      <c r="E467" s="204"/>
      <c r="F467" s="368"/>
      <c r="G467" s="1134"/>
      <c r="H467" s="401"/>
      <c r="I467" s="317"/>
      <c r="N467" s="317"/>
      <c r="O467" s="1135"/>
      <c r="P467" s="1136"/>
      <c r="Q467" s="1137"/>
      <c r="R467" s="1120"/>
      <c r="S467" s="1120"/>
      <c r="T467" s="1120"/>
      <c r="U467" s="1120"/>
      <c r="V467" s="1120"/>
      <c r="W467" s="1120"/>
      <c r="Z467" s="1145"/>
      <c r="AA467" s="1120"/>
      <c r="AB467" s="1120"/>
      <c r="AC467" s="1120"/>
      <c r="AD467" s="1212"/>
      <c r="AE467" s="1212"/>
      <c r="AF467" s="1186"/>
      <c r="AG467" s="1186"/>
      <c r="AH467" s="1222"/>
      <c r="AI467" s="1222"/>
      <c r="AJ467" s="1222"/>
      <c r="AK467" s="1222"/>
      <c r="AL467" s="1222"/>
      <c r="AM467" s="1222"/>
      <c r="AN467" s="1222"/>
      <c r="AO467" s="1222"/>
      <c r="AP467" s="1222"/>
      <c r="AQ467" s="1222"/>
      <c r="AR467" s="1222"/>
      <c r="AS467" s="1222"/>
      <c r="AT467" s="1222"/>
      <c r="AU467" s="1120"/>
      <c r="AV467" s="445"/>
      <c r="AW467" s="607"/>
      <c r="AX467" s="607"/>
      <c r="AY467" s="607"/>
      <c r="AZ467" s="1209"/>
      <c r="BA467" s="1209"/>
    </row>
    <row r="468" spans="2:53" s="256" customFormat="1" ht="24.95" customHeight="1">
      <c r="B468" s="445"/>
      <c r="C468" s="204"/>
      <c r="D468" s="204"/>
      <c r="E468" s="204"/>
      <c r="F468" s="368"/>
      <c r="G468" s="1134"/>
      <c r="H468" s="401"/>
      <c r="I468" s="317"/>
      <c r="N468" s="317"/>
      <c r="O468" s="1135"/>
      <c r="P468" s="1136"/>
      <c r="Q468" s="1137"/>
      <c r="R468" s="1120"/>
      <c r="S468" s="1120"/>
      <c r="T468" s="1120"/>
      <c r="U468" s="1120"/>
      <c r="V468" s="1120"/>
      <c r="W468" s="1120"/>
      <c r="Z468" s="1145"/>
      <c r="AA468" s="1120"/>
      <c r="AB468" s="1120"/>
      <c r="AC468" s="1120"/>
      <c r="AD468" s="1212"/>
      <c r="AE468" s="1212"/>
      <c r="AF468" s="1186"/>
      <c r="AG468" s="1186"/>
      <c r="AH468" s="1222"/>
      <c r="AI468" s="1222"/>
      <c r="AJ468" s="1222"/>
      <c r="AK468" s="1222"/>
      <c r="AL468" s="1222"/>
      <c r="AM468" s="1222"/>
      <c r="AN468" s="1222"/>
      <c r="AO468" s="1222"/>
      <c r="AP468" s="1222"/>
      <c r="AQ468" s="1222"/>
      <c r="AR468" s="1222"/>
      <c r="AS468" s="1222"/>
      <c r="AT468" s="1222"/>
      <c r="AU468" s="1120"/>
      <c r="AV468" s="445"/>
      <c r="AW468" s="607"/>
      <c r="AX468" s="607"/>
      <c r="AY468" s="607"/>
      <c r="AZ468" s="1209"/>
      <c r="BA468" s="1209"/>
    </row>
    <row r="469" spans="2:53" s="256" customFormat="1" ht="24.95" customHeight="1">
      <c r="B469" s="445"/>
      <c r="C469" s="204"/>
      <c r="D469" s="204"/>
      <c r="E469" s="204"/>
      <c r="F469" s="368"/>
      <c r="G469" s="1134"/>
      <c r="H469" s="401"/>
      <c r="I469" s="317"/>
      <c r="N469" s="317"/>
      <c r="O469" s="1135"/>
      <c r="P469" s="1136"/>
      <c r="Q469" s="1137"/>
      <c r="R469" s="1120"/>
      <c r="S469" s="1120"/>
      <c r="T469" s="1120"/>
      <c r="U469" s="1120"/>
      <c r="V469" s="1120"/>
      <c r="W469" s="1120"/>
      <c r="Z469" s="1145"/>
      <c r="AA469" s="1120"/>
      <c r="AB469" s="1120"/>
      <c r="AC469" s="1120"/>
      <c r="AD469" s="1212"/>
      <c r="AE469" s="1212"/>
      <c r="AF469" s="1186"/>
      <c r="AG469" s="1186"/>
      <c r="AH469" s="1222"/>
      <c r="AI469" s="1222"/>
      <c r="AJ469" s="1222"/>
      <c r="AK469" s="1222"/>
      <c r="AL469" s="1222"/>
      <c r="AM469" s="1222"/>
      <c r="AN469" s="1222"/>
      <c r="AO469" s="1222"/>
      <c r="AP469" s="1222"/>
      <c r="AQ469" s="1222"/>
      <c r="AR469" s="1222"/>
      <c r="AS469" s="1222"/>
      <c r="AT469" s="1222"/>
      <c r="AU469" s="1120"/>
      <c r="AV469" s="445"/>
      <c r="AW469" s="607"/>
      <c r="AX469" s="607"/>
      <c r="AY469" s="607"/>
      <c r="AZ469" s="1209"/>
      <c r="BA469" s="1209"/>
    </row>
    <row r="470" spans="2:53" s="256" customFormat="1" ht="24.95" customHeight="1">
      <c r="B470" s="445"/>
      <c r="C470" s="204"/>
      <c r="D470" s="204"/>
      <c r="E470" s="204"/>
      <c r="F470" s="368"/>
      <c r="G470" s="1134"/>
      <c r="H470" s="401"/>
      <c r="I470" s="317"/>
      <c r="N470" s="317"/>
      <c r="O470" s="1135"/>
      <c r="P470" s="1136"/>
      <c r="Q470" s="1137"/>
      <c r="R470" s="1120"/>
      <c r="S470" s="1120"/>
      <c r="T470" s="1120"/>
      <c r="U470" s="1120"/>
      <c r="V470" s="1120"/>
      <c r="W470" s="1120"/>
      <c r="Z470" s="1145"/>
      <c r="AA470" s="1120"/>
      <c r="AB470" s="1120"/>
      <c r="AC470" s="1120"/>
      <c r="AD470" s="1212"/>
      <c r="AE470" s="1212"/>
      <c r="AF470" s="1186"/>
      <c r="AG470" s="1186"/>
      <c r="AH470" s="1222"/>
      <c r="AI470" s="1222"/>
      <c r="AJ470" s="1222"/>
      <c r="AK470" s="1222"/>
      <c r="AL470" s="1222"/>
      <c r="AM470" s="1222"/>
      <c r="AN470" s="1222"/>
      <c r="AO470" s="1222"/>
      <c r="AP470" s="1222"/>
      <c r="AQ470" s="1222"/>
      <c r="AR470" s="1222"/>
      <c r="AS470" s="1222"/>
      <c r="AT470" s="1222"/>
      <c r="AU470" s="1120"/>
      <c r="AV470" s="445"/>
      <c r="AW470" s="607"/>
      <c r="AX470" s="607"/>
      <c r="AY470" s="607"/>
      <c r="AZ470" s="1209"/>
      <c r="BA470" s="1209"/>
    </row>
    <row r="471" spans="2:53" s="256" customFormat="1" ht="24.95" customHeight="1">
      <c r="B471" s="445"/>
      <c r="C471" s="204"/>
      <c r="D471" s="204"/>
      <c r="E471" s="204"/>
      <c r="F471" s="368"/>
      <c r="G471" s="1134"/>
      <c r="H471" s="401"/>
      <c r="I471" s="317"/>
      <c r="N471" s="317"/>
      <c r="O471" s="1135"/>
      <c r="P471" s="1136"/>
      <c r="Q471" s="1137"/>
      <c r="R471" s="1120"/>
      <c r="S471" s="1120"/>
      <c r="T471" s="1120"/>
      <c r="U471" s="1120"/>
      <c r="V471" s="1120"/>
      <c r="W471" s="1120"/>
      <c r="Z471" s="1145"/>
      <c r="AA471" s="1120"/>
      <c r="AB471" s="1120"/>
      <c r="AC471" s="1120"/>
      <c r="AD471" s="1212"/>
      <c r="AE471" s="1212"/>
      <c r="AF471" s="1186"/>
      <c r="AG471" s="1186"/>
      <c r="AH471" s="1222"/>
      <c r="AI471" s="1222"/>
      <c r="AJ471" s="1222"/>
      <c r="AK471" s="1222"/>
      <c r="AL471" s="1222"/>
      <c r="AM471" s="1222"/>
      <c r="AN471" s="1222"/>
      <c r="AO471" s="1222"/>
      <c r="AP471" s="1222"/>
      <c r="AQ471" s="1222"/>
      <c r="AR471" s="1222"/>
      <c r="AS471" s="1222"/>
      <c r="AT471" s="1222"/>
      <c r="AU471" s="1120"/>
      <c r="AV471" s="445"/>
      <c r="AW471" s="607"/>
      <c r="AX471" s="607"/>
      <c r="AY471" s="607"/>
      <c r="AZ471" s="1209"/>
      <c r="BA471" s="1209"/>
    </row>
    <row r="472" spans="2:53" s="256" customFormat="1" ht="24.95" customHeight="1">
      <c r="B472" s="445"/>
      <c r="C472" s="204"/>
      <c r="D472" s="204"/>
      <c r="E472" s="204"/>
      <c r="F472" s="368"/>
      <c r="G472" s="1134"/>
      <c r="H472" s="401"/>
      <c r="I472" s="317"/>
      <c r="N472" s="317"/>
      <c r="O472" s="1135"/>
      <c r="P472" s="1136"/>
      <c r="Q472" s="1137"/>
      <c r="R472" s="1120"/>
      <c r="S472" s="1120"/>
      <c r="T472" s="1120"/>
      <c r="U472" s="1120"/>
      <c r="V472" s="1120"/>
      <c r="W472" s="1120"/>
      <c r="Z472" s="1145"/>
      <c r="AA472" s="1120"/>
      <c r="AB472" s="1120"/>
      <c r="AC472" s="1120"/>
      <c r="AD472" s="1212"/>
      <c r="AE472" s="1212"/>
      <c r="AF472" s="1186"/>
      <c r="AG472" s="1186"/>
      <c r="AH472" s="1222"/>
      <c r="AI472" s="1222"/>
      <c r="AJ472" s="1222"/>
      <c r="AK472" s="1222"/>
      <c r="AL472" s="1222"/>
      <c r="AM472" s="1222"/>
      <c r="AN472" s="1222"/>
      <c r="AO472" s="1222"/>
      <c r="AP472" s="1222"/>
      <c r="AQ472" s="1222"/>
      <c r="AR472" s="1222"/>
      <c r="AS472" s="1222"/>
      <c r="AT472" s="1222"/>
      <c r="AU472" s="1120"/>
      <c r="AV472" s="445"/>
      <c r="AW472" s="607"/>
      <c r="AX472" s="607"/>
      <c r="AY472" s="607"/>
      <c r="AZ472" s="1209"/>
      <c r="BA472" s="1209"/>
    </row>
    <row r="473" spans="2:53" s="256" customFormat="1" ht="24.95" customHeight="1">
      <c r="B473" s="445"/>
      <c r="C473" s="204"/>
      <c r="D473" s="204"/>
      <c r="E473" s="204"/>
      <c r="F473" s="368"/>
      <c r="G473" s="1134"/>
      <c r="H473" s="401"/>
      <c r="I473" s="317"/>
      <c r="N473" s="317"/>
      <c r="O473" s="1135"/>
      <c r="P473" s="1136"/>
      <c r="Q473" s="1137"/>
      <c r="R473" s="1120"/>
      <c r="S473" s="1120"/>
      <c r="T473" s="1120"/>
      <c r="U473" s="1120"/>
      <c r="V473" s="1120"/>
      <c r="W473" s="1120"/>
      <c r="Z473" s="1145"/>
      <c r="AA473" s="1120"/>
      <c r="AB473" s="1120"/>
      <c r="AC473" s="1120"/>
      <c r="AD473" s="1212"/>
      <c r="AE473" s="1212"/>
      <c r="AF473" s="1186"/>
      <c r="AG473" s="1186"/>
      <c r="AH473" s="1222"/>
      <c r="AI473" s="1222"/>
      <c r="AJ473" s="1222"/>
      <c r="AK473" s="1222"/>
      <c r="AL473" s="1222"/>
      <c r="AM473" s="1222"/>
      <c r="AN473" s="1222"/>
      <c r="AO473" s="1222"/>
      <c r="AP473" s="1222"/>
      <c r="AQ473" s="1222"/>
      <c r="AR473" s="1222"/>
      <c r="AS473" s="1222"/>
      <c r="AT473" s="1222"/>
      <c r="AU473" s="1120"/>
      <c r="AV473" s="445"/>
      <c r="AW473" s="607"/>
      <c r="AX473" s="607"/>
      <c r="AY473" s="607"/>
      <c r="AZ473" s="1209"/>
      <c r="BA473" s="1209"/>
    </row>
    <row r="474" spans="2:53" s="256" customFormat="1" ht="24.95" customHeight="1">
      <c r="B474" s="445"/>
      <c r="C474" s="204"/>
      <c r="D474" s="204"/>
      <c r="E474" s="204"/>
      <c r="F474" s="368"/>
      <c r="G474" s="1134"/>
      <c r="H474" s="401"/>
      <c r="I474" s="317"/>
      <c r="N474" s="317"/>
      <c r="O474" s="1135"/>
      <c r="P474" s="1136"/>
      <c r="Q474" s="1137"/>
      <c r="R474" s="1120"/>
      <c r="S474" s="1120"/>
      <c r="T474" s="1120"/>
      <c r="U474" s="1120"/>
      <c r="V474" s="1120"/>
      <c r="W474" s="1120"/>
      <c r="Z474" s="1145"/>
      <c r="AA474" s="1120"/>
      <c r="AB474" s="1120"/>
      <c r="AC474" s="1120"/>
      <c r="AD474" s="1212"/>
      <c r="AE474" s="1212"/>
      <c r="AF474" s="1186"/>
      <c r="AG474" s="1186"/>
      <c r="AH474" s="1222"/>
      <c r="AI474" s="1222"/>
      <c r="AJ474" s="1222"/>
      <c r="AK474" s="1222"/>
      <c r="AL474" s="1222"/>
      <c r="AM474" s="1222"/>
      <c r="AN474" s="1222"/>
      <c r="AO474" s="1222"/>
      <c r="AP474" s="1222"/>
      <c r="AQ474" s="1222"/>
      <c r="AR474" s="1222"/>
      <c r="AS474" s="1222"/>
      <c r="AT474" s="1222"/>
      <c r="AU474" s="1120"/>
      <c r="AV474" s="445"/>
      <c r="AW474" s="607"/>
      <c r="AX474" s="607"/>
      <c r="AY474" s="607"/>
      <c r="AZ474" s="1209"/>
      <c r="BA474" s="1209"/>
    </row>
    <row r="475" spans="2:53" s="256" customFormat="1" ht="24.95" customHeight="1">
      <c r="B475" s="445"/>
      <c r="C475" s="204"/>
      <c r="D475" s="204"/>
      <c r="E475" s="204"/>
      <c r="F475" s="368"/>
      <c r="G475" s="1134"/>
      <c r="H475" s="401"/>
      <c r="I475" s="317"/>
      <c r="N475" s="317"/>
      <c r="O475" s="1135"/>
      <c r="P475" s="1136"/>
      <c r="Q475" s="1137"/>
      <c r="R475" s="1120"/>
      <c r="S475" s="1120"/>
      <c r="T475" s="1120"/>
      <c r="U475" s="1120"/>
      <c r="V475" s="1120"/>
      <c r="W475" s="1120"/>
      <c r="Z475" s="1145"/>
      <c r="AA475" s="1120"/>
      <c r="AB475" s="1120"/>
      <c r="AC475" s="1120"/>
      <c r="AD475" s="1212"/>
      <c r="AE475" s="1212"/>
      <c r="AF475" s="1186"/>
      <c r="AG475" s="1186"/>
      <c r="AH475" s="1222"/>
      <c r="AI475" s="1222"/>
      <c r="AJ475" s="1222"/>
      <c r="AK475" s="1222"/>
      <c r="AL475" s="1222"/>
      <c r="AM475" s="1222"/>
      <c r="AN475" s="1222"/>
      <c r="AO475" s="1222"/>
      <c r="AP475" s="1222"/>
      <c r="AQ475" s="1222"/>
      <c r="AR475" s="1222"/>
      <c r="AS475" s="1222"/>
      <c r="AT475" s="1222"/>
      <c r="AU475" s="1120"/>
      <c r="AV475" s="445"/>
      <c r="AW475" s="607"/>
      <c r="AX475" s="607"/>
      <c r="AY475" s="607"/>
      <c r="AZ475" s="1209"/>
      <c r="BA475" s="1209"/>
    </row>
    <row r="476" spans="2:53" s="256" customFormat="1" ht="24.95" customHeight="1">
      <c r="B476" s="445"/>
      <c r="C476" s="204"/>
      <c r="D476" s="204"/>
      <c r="E476" s="204"/>
      <c r="F476" s="368"/>
      <c r="G476" s="1134"/>
      <c r="H476" s="401"/>
      <c r="I476" s="317"/>
      <c r="N476" s="317"/>
      <c r="O476" s="1135"/>
      <c r="P476" s="1136"/>
      <c r="Q476" s="1137"/>
      <c r="R476" s="1120"/>
      <c r="S476" s="1120"/>
      <c r="T476" s="1120"/>
      <c r="U476" s="1120"/>
      <c r="V476" s="1120"/>
      <c r="W476" s="1120"/>
      <c r="Z476" s="1145"/>
      <c r="AA476" s="1120"/>
      <c r="AB476" s="1120"/>
      <c r="AC476" s="1120"/>
      <c r="AD476" s="1212"/>
      <c r="AE476" s="1212"/>
      <c r="AF476" s="1186"/>
      <c r="AG476" s="1186"/>
      <c r="AH476" s="1222"/>
      <c r="AI476" s="1222"/>
      <c r="AJ476" s="1222"/>
      <c r="AK476" s="1222"/>
      <c r="AL476" s="1222"/>
      <c r="AM476" s="1222"/>
      <c r="AN476" s="1222"/>
      <c r="AO476" s="1222"/>
      <c r="AP476" s="1222"/>
      <c r="AQ476" s="1222"/>
      <c r="AR476" s="1222"/>
      <c r="AS476" s="1222"/>
      <c r="AT476" s="1222"/>
      <c r="AU476" s="1120"/>
      <c r="AV476" s="445"/>
      <c r="AW476" s="607"/>
      <c r="AX476" s="607"/>
      <c r="AY476" s="607"/>
      <c r="AZ476" s="1209"/>
      <c r="BA476" s="1209"/>
    </row>
    <row r="477" spans="2:53" s="256" customFormat="1" ht="24.95" customHeight="1">
      <c r="B477" s="445"/>
      <c r="C477" s="204"/>
      <c r="D477" s="204"/>
      <c r="E477" s="204"/>
      <c r="F477" s="368"/>
      <c r="G477" s="1134"/>
      <c r="H477" s="401"/>
      <c r="I477" s="317"/>
      <c r="N477" s="317"/>
      <c r="O477" s="1135"/>
      <c r="P477" s="1136"/>
      <c r="Q477" s="1137"/>
      <c r="R477" s="1120"/>
      <c r="S477" s="1120"/>
      <c r="T477" s="1120"/>
      <c r="U477" s="1120"/>
      <c r="V477" s="1120"/>
      <c r="W477" s="1120"/>
      <c r="Z477" s="1145"/>
      <c r="AA477" s="1120"/>
      <c r="AB477" s="1120"/>
      <c r="AC477" s="1120"/>
      <c r="AD477" s="1212"/>
      <c r="AE477" s="1212"/>
      <c r="AF477" s="1186"/>
      <c r="AG477" s="1186"/>
      <c r="AH477" s="1222"/>
      <c r="AI477" s="1222"/>
      <c r="AJ477" s="1222"/>
      <c r="AK477" s="1222"/>
      <c r="AL477" s="1222"/>
      <c r="AM477" s="1222"/>
      <c r="AN477" s="1222"/>
      <c r="AO477" s="1222"/>
      <c r="AP477" s="1222"/>
      <c r="AQ477" s="1222"/>
      <c r="AR477" s="1222"/>
      <c r="AS477" s="1222"/>
      <c r="AT477" s="1222"/>
      <c r="AU477" s="1120"/>
      <c r="AV477" s="445"/>
      <c r="AW477" s="607"/>
      <c r="AX477" s="607"/>
      <c r="AY477" s="607"/>
      <c r="AZ477" s="1209"/>
      <c r="BA477" s="1209"/>
    </row>
    <row r="478" spans="2:53" s="256" customFormat="1" ht="24.95" customHeight="1">
      <c r="B478" s="445"/>
      <c r="C478" s="204"/>
      <c r="D478" s="204"/>
      <c r="E478" s="204"/>
      <c r="F478" s="368"/>
      <c r="G478" s="1134"/>
      <c r="H478" s="401"/>
      <c r="I478" s="317"/>
      <c r="N478" s="317"/>
      <c r="O478" s="1135"/>
      <c r="P478" s="1136"/>
      <c r="Q478" s="1137"/>
      <c r="R478" s="1120"/>
      <c r="S478" s="1120"/>
      <c r="T478" s="1120"/>
      <c r="U478" s="1120"/>
      <c r="V478" s="1120"/>
      <c r="W478" s="1120"/>
      <c r="Z478" s="1145"/>
      <c r="AA478" s="1120"/>
      <c r="AB478" s="1120"/>
      <c r="AC478" s="1120"/>
      <c r="AD478" s="1212"/>
      <c r="AE478" s="1212"/>
      <c r="AF478" s="1186"/>
      <c r="AG478" s="1186"/>
      <c r="AH478" s="1222"/>
      <c r="AI478" s="1222"/>
      <c r="AJ478" s="1222"/>
      <c r="AK478" s="1222"/>
      <c r="AL478" s="1222"/>
      <c r="AM478" s="1222"/>
      <c r="AN478" s="1222"/>
      <c r="AO478" s="1222"/>
      <c r="AP478" s="1222"/>
      <c r="AQ478" s="1222"/>
      <c r="AR478" s="1222"/>
      <c r="AS478" s="1222"/>
      <c r="AT478" s="1222"/>
      <c r="AU478" s="1120"/>
      <c r="AV478" s="445"/>
      <c r="AW478" s="607"/>
      <c r="AX478" s="607"/>
      <c r="AY478" s="607"/>
      <c r="AZ478" s="1209"/>
      <c r="BA478" s="1209"/>
    </row>
    <row r="479" spans="2:53" s="256" customFormat="1" ht="24.95" customHeight="1">
      <c r="B479" s="445"/>
      <c r="C479" s="204"/>
      <c r="D479" s="204"/>
      <c r="E479" s="204"/>
      <c r="F479" s="368"/>
      <c r="G479" s="1134"/>
      <c r="H479" s="401"/>
      <c r="I479" s="317"/>
      <c r="N479" s="317"/>
      <c r="O479" s="1135"/>
      <c r="P479" s="1136"/>
      <c r="Q479" s="1137"/>
      <c r="R479" s="1120"/>
      <c r="S479" s="1120"/>
      <c r="T479" s="1120"/>
      <c r="U479" s="1120"/>
      <c r="V479" s="1120"/>
      <c r="W479" s="1120"/>
      <c r="Z479" s="1145"/>
      <c r="AA479" s="1120"/>
      <c r="AB479" s="1120"/>
      <c r="AC479" s="1120"/>
      <c r="AD479" s="1212"/>
      <c r="AE479" s="1212"/>
      <c r="AF479" s="1186"/>
      <c r="AG479" s="1186"/>
      <c r="AH479" s="1222"/>
      <c r="AI479" s="1222"/>
      <c r="AJ479" s="1222"/>
      <c r="AK479" s="1222"/>
      <c r="AL479" s="1222"/>
      <c r="AM479" s="1222"/>
      <c r="AN479" s="1222"/>
      <c r="AO479" s="1222"/>
      <c r="AP479" s="1222"/>
      <c r="AQ479" s="1222"/>
      <c r="AR479" s="1222"/>
      <c r="AS479" s="1222"/>
      <c r="AT479" s="1222"/>
      <c r="AU479" s="1120"/>
      <c r="AV479" s="445"/>
      <c r="AW479" s="607"/>
      <c r="AX479" s="607"/>
      <c r="AY479" s="607"/>
      <c r="AZ479" s="1209"/>
      <c r="BA479" s="1209"/>
    </row>
    <row r="480" spans="2:53" s="256" customFormat="1" ht="24.95" customHeight="1">
      <c r="B480" s="445"/>
      <c r="C480" s="204"/>
      <c r="D480" s="204"/>
      <c r="E480" s="204"/>
      <c r="F480" s="368"/>
      <c r="G480" s="1134"/>
      <c r="H480" s="401"/>
      <c r="I480" s="317"/>
      <c r="N480" s="317"/>
      <c r="O480" s="1135"/>
      <c r="P480" s="1136"/>
      <c r="Q480" s="1137"/>
      <c r="R480" s="1120"/>
      <c r="S480" s="1120"/>
      <c r="T480" s="1120"/>
      <c r="U480" s="1120"/>
      <c r="V480" s="1120"/>
      <c r="W480" s="1120"/>
      <c r="Z480" s="1145"/>
      <c r="AA480" s="1120"/>
      <c r="AB480" s="1120"/>
      <c r="AC480" s="1120"/>
      <c r="AD480" s="1212"/>
      <c r="AE480" s="1212"/>
      <c r="AF480" s="1186"/>
      <c r="AG480" s="1186"/>
      <c r="AH480" s="1222"/>
      <c r="AI480" s="1222"/>
      <c r="AJ480" s="1222"/>
      <c r="AK480" s="1222"/>
      <c r="AL480" s="1222"/>
      <c r="AM480" s="1222"/>
      <c r="AN480" s="1222"/>
      <c r="AO480" s="1222"/>
      <c r="AP480" s="1222"/>
      <c r="AQ480" s="1222"/>
      <c r="AR480" s="1222"/>
      <c r="AS480" s="1222"/>
      <c r="AT480" s="1222"/>
      <c r="AU480" s="1120"/>
      <c r="AV480" s="445"/>
      <c r="AW480" s="607"/>
      <c r="AX480" s="607"/>
      <c r="AY480" s="607"/>
      <c r="AZ480" s="1209"/>
      <c r="BA480" s="1209"/>
    </row>
    <row r="481" spans="2:53" s="256" customFormat="1" ht="24.95" customHeight="1">
      <c r="B481" s="445"/>
      <c r="C481" s="204"/>
      <c r="D481" s="204"/>
      <c r="E481" s="204"/>
      <c r="F481" s="368"/>
      <c r="G481" s="1134"/>
      <c r="H481" s="401"/>
      <c r="I481" s="317"/>
      <c r="N481" s="317"/>
      <c r="O481" s="1135"/>
      <c r="P481" s="1136"/>
      <c r="Q481" s="1137"/>
      <c r="R481" s="1120"/>
      <c r="S481" s="1120"/>
      <c r="T481" s="1120"/>
      <c r="U481" s="1120"/>
      <c r="V481" s="1120"/>
      <c r="W481" s="1120"/>
      <c r="Z481" s="1145"/>
      <c r="AA481" s="1120"/>
      <c r="AB481" s="1120"/>
      <c r="AC481" s="1120"/>
      <c r="AD481" s="1212"/>
      <c r="AE481" s="1212"/>
      <c r="AF481" s="1186"/>
      <c r="AG481" s="1186"/>
      <c r="AH481" s="1222"/>
      <c r="AI481" s="1222"/>
      <c r="AJ481" s="1222"/>
      <c r="AK481" s="1222"/>
      <c r="AL481" s="1222"/>
      <c r="AM481" s="1222"/>
      <c r="AN481" s="1222"/>
      <c r="AO481" s="1222"/>
      <c r="AP481" s="1222"/>
      <c r="AQ481" s="1222"/>
      <c r="AR481" s="1222"/>
      <c r="AS481" s="1222"/>
      <c r="AT481" s="1222"/>
      <c r="AU481" s="1120"/>
      <c r="AV481" s="445"/>
      <c r="AW481" s="607"/>
      <c r="AX481" s="607"/>
      <c r="AY481" s="607"/>
      <c r="AZ481" s="1209"/>
      <c r="BA481" s="1209"/>
    </row>
    <row r="482" spans="2:53" s="256" customFormat="1" ht="24.95" customHeight="1">
      <c r="B482" s="445"/>
      <c r="C482" s="204"/>
      <c r="D482" s="204"/>
      <c r="E482" s="204"/>
      <c r="F482" s="368"/>
      <c r="G482" s="1134"/>
      <c r="H482" s="401"/>
      <c r="I482" s="317"/>
      <c r="N482" s="317"/>
      <c r="O482" s="1135"/>
      <c r="P482" s="1136"/>
      <c r="Q482" s="1137"/>
      <c r="R482" s="1120"/>
      <c r="S482" s="1120"/>
      <c r="T482" s="1120"/>
      <c r="U482" s="1120"/>
      <c r="V482" s="1120"/>
      <c r="W482" s="1120"/>
      <c r="Z482" s="1145"/>
      <c r="AA482" s="1120"/>
      <c r="AB482" s="1120"/>
      <c r="AC482" s="1120"/>
      <c r="AD482" s="1212"/>
      <c r="AE482" s="1212"/>
      <c r="AF482" s="1186"/>
      <c r="AG482" s="1186"/>
      <c r="AH482" s="1222"/>
      <c r="AI482" s="1222"/>
      <c r="AJ482" s="1222"/>
      <c r="AK482" s="1222"/>
      <c r="AL482" s="1222"/>
      <c r="AM482" s="1222"/>
      <c r="AN482" s="1222"/>
      <c r="AO482" s="1222"/>
      <c r="AP482" s="1222"/>
      <c r="AQ482" s="1222"/>
      <c r="AR482" s="1222"/>
      <c r="AS482" s="1222"/>
      <c r="AT482" s="1222"/>
      <c r="AU482" s="1120"/>
      <c r="AV482" s="445"/>
      <c r="AW482" s="607"/>
      <c r="AX482" s="607"/>
      <c r="AY482" s="607"/>
      <c r="AZ482" s="1209"/>
      <c r="BA482" s="1209"/>
    </row>
    <row r="483" spans="2:53" s="256" customFormat="1" ht="24.95" customHeight="1">
      <c r="B483" s="445"/>
      <c r="C483" s="204"/>
      <c r="D483" s="204"/>
      <c r="E483" s="204"/>
      <c r="F483" s="368"/>
      <c r="G483" s="1134"/>
      <c r="H483" s="401"/>
      <c r="I483" s="317"/>
      <c r="N483" s="317"/>
      <c r="O483" s="1135"/>
      <c r="P483" s="1136"/>
      <c r="Q483" s="1137"/>
      <c r="R483" s="1120"/>
      <c r="S483" s="1120"/>
      <c r="T483" s="1120"/>
      <c r="U483" s="1120"/>
      <c r="V483" s="1120"/>
      <c r="W483" s="1120"/>
      <c r="Z483" s="1145"/>
      <c r="AA483" s="1120"/>
      <c r="AB483" s="1120"/>
      <c r="AC483" s="1120"/>
      <c r="AD483" s="1212"/>
      <c r="AE483" s="1212"/>
      <c r="AF483" s="1186"/>
      <c r="AG483" s="1186"/>
      <c r="AH483" s="1222"/>
      <c r="AI483" s="1222"/>
      <c r="AJ483" s="1222"/>
      <c r="AK483" s="1222"/>
      <c r="AL483" s="1222"/>
      <c r="AM483" s="1222"/>
      <c r="AN483" s="1222"/>
      <c r="AO483" s="1222"/>
      <c r="AP483" s="1222"/>
      <c r="AQ483" s="1222"/>
      <c r="AR483" s="1222"/>
      <c r="AS483" s="1222"/>
      <c r="AT483" s="1222"/>
      <c r="AU483" s="1120"/>
      <c r="AV483" s="445"/>
      <c r="AW483" s="607"/>
      <c r="AX483" s="607"/>
      <c r="AY483" s="607"/>
      <c r="AZ483" s="1209"/>
      <c r="BA483" s="1209"/>
    </row>
    <row r="484" spans="2:53" s="256" customFormat="1" ht="24.95" customHeight="1">
      <c r="B484" s="445"/>
      <c r="C484" s="204"/>
      <c r="D484" s="204"/>
      <c r="E484" s="204"/>
      <c r="F484" s="368"/>
      <c r="G484" s="1134"/>
      <c r="H484" s="401"/>
      <c r="I484" s="317"/>
      <c r="N484" s="317"/>
      <c r="O484" s="1135"/>
      <c r="P484" s="1136"/>
      <c r="Q484" s="1137"/>
      <c r="R484" s="1120"/>
      <c r="S484" s="1120"/>
      <c r="T484" s="1120"/>
      <c r="U484" s="1120"/>
      <c r="V484" s="1120"/>
      <c r="W484" s="1120"/>
      <c r="Z484" s="1145"/>
      <c r="AA484" s="1120"/>
      <c r="AB484" s="1120"/>
      <c r="AC484" s="1120"/>
      <c r="AD484" s="1212"/>
      <c r="AE484" s="1212"/>
      <c r="AF484" s="1186"/>
      <c r="AG484" s="1186"/>
      <c r="AH484" s="1222"/>
      <c r="AI484" s="1222"/>
      <c r="AJ484" s="1222"/>
      <c r="AK484" s="1222"/>
      <c r="AL484" s="1222"/>
      <c r="AM484" s="1222"/>
      <c r="AN484" s="1222"/>
      <c r="AO484" s="1222"/>
      <c r="AP484" s="1222"/>
      <c r="AQ484" s="1222"/>
      <c r="AR484" s="1222"/>
      <c r="AS484" s="1222"/>
      <c r="AT484" s="1222"/>
      <c r="AU484" s="1120"/>
      <c r="AV484" s="445"/>
      <c r="AW484" s="607"/>
      <c r="AX484" s="607"/>
      <c r="AY484" s="607"/>
      <c r="AZ484" s="1209"/>
      <c r="BA484" s="1209"/>
    </row>
    <row r="485" spans="2:53" s="256" customFormat="1" ht="24.95" customHeight="1">
      <c r="B485" s="445"/>
      <c r="C485" s="204"/>
      <c r="D485" s="204"/>
      <c r="E485" s="204"/>
      <c r="F485" s="368"/>
      <c r="G485" s="1134"/>
      <c r="H485" s="401"/>
      <c r="I485" s="317"/>
      <c r="N485" s="317"/>
      <c r="O485" s="1135"/>
      <c r="P485" s="1136"/>
      <c r="Q485" s="1137"/>
      <c r="R485" s="1120"/>
      <c r="S485" s="1120"/>
      <c r="T485" s="1120"/>
      <c r="U485" s="1120"/>
      <c r="V485" s="1120"/>
      <c r="W485" s="1120"/>
      <c r="Z485" s="1145"/>
      <c r="AA485" s="1120"/>
      <c r="AB485" s="1120"/>
      <c r="AC485" s="1120"/>
      <c r="AD485" s="1212"/>
      <c r="AE485" s="1212"/>
      <c r="AF485" s="1186"/>
      <c r="AG485" s="1186"/>
      <c r="AH485" s="1222"/>
      <c r="AI485" s="1222"/>
      <c r="AJ485" s="1222"/>
      <c r="AK485" s="1222"/>
      <c r="AL485" s="1222"/>
      <c r="AM485" s="1222"/>
      <c r="AN485" s="1222"/>
      <c r="AO485" s="1222"/>
      <c r="AP485" s="1222"/>
      <c r="AQ485" s="1222"/>
      <c r="AR485" s="1222"/>
      <c r="AS485" s="1222"/>
      <c r="AT485" s="1222"/>
      <c r="AU485" s="1120"/>
      <c r="AV485" s="445"/>
      <c r="AW485" s="607"/>
      <c r="AX485" s="607"/>
      <c r="AY485" s="607"/>
      <c r="AZ485" s="1209"/>
      <c r="BA485" s="1209"/>
    </row>
    <row r="486" spans="2:53" s="256" customFormat="1" ht="24.95" customHeight="1">
      <c r="B486" s="445"/>
      <c r="C486" s="204"/>
      <c r="D486" s="204"/>
      <c r="E486" s="204"/>
      <c r="F486" s="368"/>
      <c r="G486" s="1134"/>
      <c r="H486" s="401"/>
      <c r="I486" s="317"/>
      <c r="N486" s="317"/>
      <c r="O486" s="1135"/>
      <c r="P486" s="1136"/>
      <c r="Q486" s="1137"/>
      <c r="R486" s="1120"/>
      <c r="S486" s="1120"/>
      <c r="T486" s="1120"/>
      <c r="U486" s="1120"/>
      <c r="V486" s="1120"/>
      <c r="W486" s="1120"/>
      <c r="Z486" s="1145"/>
      <c r="AA486" s="1120"/>
      <c r="AB486" s="1120"/>
      <c r="AC486" s="1120"/>
      <c r="AD486" s="1212"/>
      <c r="AE486" s="1212"/>
      <c r="AF486" s="1186"/>
      <c r="AG486" s="1186"/>
      <c r="AH486" s="1222"/>
      <c r="AI486" s="1222"/>
      <c r="AJ486" s="1222"/>
      <c r="AK486" s="1222"/>
      <c r="AL486" s="1222"/>
      <c r="AM486" s="1222"/>
      <c r="AN486" s="1222"/>
      <c r="AO486" s="1222"/>
      <c r="AP486" s="1222"/>
      <c r="AQ486" s="1222"/>
      <c r="AR486" s="1222"/>
      <c r="AS486" s="1222"/>
      <c r="AT486" s="1222"/>
      <c r="AU486" s="1120"/>
      <c r="AV486" s="445"/>
      <c r="AW486" s="607"/>
      <c r="AX486" s="607"/>
      <c r="AY486" s="607"/>
      <c r="AZ486" s="1209"/>
      <c r="BA486" s="1209"/>
    </row>
    <row r="487" spans="2:53" s="256" customFormat="1" ht="24.95" customHeight="1">
      <c r="B487" s="445"/>
      <c r="C487" s="204"/>
      <c r="D487" s="204"/>
      <c r="E487" s="204"/>
      <c r="F487" s="368"/>
      <c r="G487" s="1134"/>
      <c r="H487" s="401"/>
      <c r="I487" s="317"/>
      <c r="N487" s="317"/>
      <c r="O487" s="1135"/>
      <c r="P487" s="1136"/>
      <c r="Q487" s="1137"/>
      <c r="R487" s="1120"/>
      <c r="S487" s="1120"/>
      <c r="T487" s="1120"/>
      <c r="U487" s="1120"/>
      <c r="V487" s="1120"/>
      <c r="W487" s="1120"/>
      <c r="Z487" s="1145"/>
      <c r="AA487" s="1120"/>
      <c r="AB487" s="1120"/>
      <c r="AC487" s="1120"/>
      <c r="AD487" s="1212"/>
      <c r="AE487" s="1212"/>
      <c r="AF487" s="1186"/>
      <c r="AG487" s="1186"/>
      <c r="AH487" s="1222"/>
      <c r="AI487" s="1222"/>
      <c r="AJ487" s="1222"/>
      <c r="AK487" s="1222"/>
      <c r="AL487" s="1222"/>
      <c r="AM487" s="1222"/>
      <c r="AN487" s="1222"/>
      <c r="AO487" s="1222"/>
      <c r="AP487" s="1222"/>
      <c r="AQ487" s="1222"/>
      <c r="AR487" s="1222"/>
      <c r="AS487" s="1222"/>
      <c r="AT487" s="1222"/>
      <c r="AU487" s="1120"/>
      <c r="AV487" s="445"/>
      <c r="AW487" s="607"/>
      <c r="AX487" s="607"/>
      <c r="AY487" s="607"/>
      <c r="AZ487" s="1209"/>
      <c r="BA487" s="1209"/>
    </row>
    <row r="488" spans="2:53" s="256" customFormat="1" ht="24.95" customHeight="1">
      <c r="B488" s="445"/>
      <c r="C488" s="204"/>
      <c r="D488" s="204"/>
      <c r="E488" s="204"/>
      <c r="F488" s="368"/>
      <c r="G488" s="1134"/>
      <c r="H488" s="401"/>
      <c r="I488" s="317"/>
      <c r="N488" s="317"/>
      <c r="O488" s="1135"/>
      <c r="P488" s="1136"/>
      <c r="Q488" s="1137"/>
      <c r="R488" s="1120"/>
      <c r="S488" s="1120"/>
      <c r="T488" s="1120"/>
      <c r="U488" s="1120"/>
      <c r="V488" s="1120"/>
      <c r="W488" s="1120"/>
      <c r="Z488" s="1145"/>
      <c r="AA488" s="1120"/>
      <c r="AB488" s="1120"/>
      <c r="AC488" s="1120"/>
      <c r="AD488" s="1212"/>
      <c r="AE488" s="1212"/>
      <c r="AF488" s="1186"/>
      <c r="AG488" s="1186"/>
      <c r="AH488" s="1222"/>
      <c r="AI488" s="1222"/>
      <c r="AJ488" s="1222"/>
      <c r="AK488" s="1222"/>
      <c r="AL488" s="1222"/>
      <c r="AM488" s="1222"/>
      <c r="AN488" s="1222"/>
      <c r="AO488" s="1222"/>
      <c r="AP488" s="1222"/>
      <c r="AQ488" s="1222"/>
      <c r="AR488" s="1222"/>
      <c r="AS488" s="1222"/>
      <c r="AT488" s="1222"/>
      <c r="AU488" s="1120"/>
      <c r="AV488" s="445"/>
      <c r="AW488" s="607"/>
      <c r="AX488" s="607"/>
      <c r="AY488" s="607"/>
      <c r="AZ488" s="1209"/>
      <c r="BA488" s="1209"/>
    </row>
    <row r="489" spans="2:53" s="256" customFormat="1" ht="24.95" customHeight="1">
      <c r="B489" s="445"/>
      <c r="C489" s="204"/>
      <c r="D489" s="204"/>
      <c r="E489" s="204"/>
      <c r="F489" s="368"/>
      <c r="G489" s="1134"/>
      <c r="H489" s="401"/>
      <c r="I489" s="317"/>
      <c r="N489" s="317"/>
      <c r="O489" s="1135"/>
      <c r="P489" s="1136"/>
      <c r="Q489" s="1137"/>
      <c r="R489" s="1120"/>
      <c r="S489" s="1120"/>
      <c r="T489" s="1120"/>
      <c r="U489" s="1120"/>
      <c r="V489" s="1120"/>
      <c r="W489" s="1120"/>
      <c r="Z489" s="1145"/>
      <c r="AA489" s="1120"/>
      <c r="AB489" s="1120"/>
      <c r="AC489" s="1120"/>
      <c r="AD489" s="1212"/>
      <c r="AE489" s="1212"/>
      <c r="AF489" s="1186"/>
      <c r="AG489" s="1186"/>
      <c r="AH489" s="1222"/>
      <c r="AI489" s="1222"/>
      <c r="AJ489" s="1222"/>
      <c r="AK489" s="1222"/>
      <c r="AL489" s="1222"/>
      <c r="AM489" s="1222"/>
      <c r="AN489" s="1222"/>
      <c r="AO489" s="1222"/>
      <c r="AP489" s="1222"/>
      <c r="AQ489" s="1222"/>
      <c r="AR489" s="1222"/>
      <c r="AS489" s="1222"/>
      <c r="AT489" s="1222"/>
      <c r="AU489" s="1120"/>
      <c r="AV489" s="445"/>
      <c r="AW489" s="607"/>
      <c r="AX489" s="607"/>
      <c r="AY489" s="607"/>
      <c r="AZ489" s="1209"/>
      <c r="BA489" s="1209"/>
    </row>
    <row r="490" spans="2:53" s="256" customFormat="1" ht="24.95" customHeight="1">
      <c r="B490" s="445"/>
      <c r="C490" s="204"/>
      <c r="D490" s="204"/>
      <c r="E490" s="204"/>
      <c r="F490" s="368"/>
      <c r="G490" s="1134"/>
      <c r="H490" s="401"/>
      <c r="I490" s="317"/>
      <c r="N490" s="317"/>
      <c r="O490" s="1135"/>
      <c r="P490" s="1136"/>
      <c r="Q490" s="1137"/>
      <c r="R490" s="1120"/>
      <c r="S490" s="1120"/>
      <c r="T490" s="1120"/>
      <c r="U490" s="1120"/>
      <c r="V490" s="1120"/>
      <c r="W490" s="1120"/>
      <c r="Z490" s="1145"/>
      <c r="AA490" s="1120"/>
      <c r="AB490" s="1120"/>
      <c r="AC490" s="1120"/>
      <c r="AD490" s="1212"/>
      <c r="AE490" s="1212"/>
      <c r="AF490" s="1186"/>
      <c r="AG490" s="1186"/>
      <c r="AH490" s="1222"/>
      <c r="AI490" s="1222"/>
      <c r="AJ490" s="1222"/>
      <c r="AK490" s="1222"/>
      <c r="AL490" s="1222"/>
      <c r="AM490" s="1222"/>
      <c r="AN490" s="1222"/>
      <c r="AO490" s="1222"/>
      <c r="AP490" s="1222"/>
      <c r="AQ490" s="1222"/>
      <c r="AR490" s="1222"/>
      <c r="AS490" s="1222"/>
      <c r="AT490" s="1222"/>
      <c r="AU490" s="1120"/>
      <c r="AV490" s="445"/>
      <c r="AW490" s="607"/>
      <c r="AX490" s="607"/>
      <c r="AY490" s="607"/>
      <c r="AZ490" s="1209"/>
      <c r="BA490" s="1209"/>
    </row>
    <row r="491" spans="2:53" s="256" customFormat="1" ht="24.95" customHeight="1">
      <c r="B491" s="445"/>
      <c r="C491" s="204"/>
      <c r="D491" s="204"/>
      <c r="E491" s="204"/>
      <c r="F491" s="368"/>
      <c r="G491" s="1134"/>
      <c r="H491" s="401"/>
      <c r="I491" s="317"/>
      <c r="N491" s="317"/>
      <c r="O491" s="1135"/>
      <c r="P491" s="1136"/>
      <c r="Q491" s="1137"/>
      <c r="R491" s="1120"/>
      <c r="S491" s="1120"/>
      <c r="T491" s="1120"/>
      <c r="U491" s="1120"/>
      <c r="V491" s="1120"/>
      <c r="W491" s="1120"/>
      <c r="Z491" s="1145"/>
      <c r="AA491" s="1120"/>
      <c r="AB491" s="1120"/>
      <c r="AC491" s="1120"/>
      <c r="AD491" s="1212"/>
      <c r="AE491" s="1212"/>
      <c r="AF491" s="1186"/>
      <c r="AG491" s="1186"/>
      <c r="AH491" s="1222"/>
      <c r="AI491" s="1222"/>
      <c r="AJ491" s="1222"/>
      <c r="AK491" s="1222"/>
      <c r="AL491" s="1222"/>
      <c r="AM491" s="1222"/>
      <c r="AN491" s="1222"/>
      <c r="AO491" s="1222"/>
      <c r="AP491" s="1222"/>
      <c r="AQ491" s="1222"/>
      <c r="AR491" s="1222"/>
      <c r="AS491" s="1222"/>
      <c r="AT491" s="1222"/>
      <c r="AU491" s="1120"/>
      <c r="AV491" s="445"/>
      <c r="AW491" s="607"/>
      <c r="AX491" s="607"/>
      <c r="AY491" s="607"/>
      <c r="AZ491" s="1209"/>
      <c r="BA491" s="1209"/>
    </row>
    <row r="492" spans="2:53" s="256" customFormat="1" ht="24.95" customHeight="1">
      <c r="B492" s="445"/>
      <c r="C492" s="204"/>
      <c r="D492" s="204"/>
      <c r="E492" s="204"/>
      <c r="F492" s="368"/>
      <c r="G492" s="1134"/>
      <c r="H492" s="401"/>
      <c r="I492" s="317"/>
      <c r="N492" s="317"/>
      <c r="O492" s="1135"/>
      <c r="P492" s="1136"/>
      <c r="Q492" s="1137"/>
      <c r="R492" s="1120"/>
      <c r="S492" s="1120"/>
      <c r="T492" s="1120"/>
      <c r="U492" s="1120"/>
      <c r="V492" s="1120"/>
      <c r="W492" s="1120"/>
      <c r="Z492" s="1145"/>
      <c r="AA492" s="1120"/>
      <c r="AB492" s="1120"/>
      <c r="AC492" s="1120"/>
      <c r="AD492" s="1212"/>
      <c r="AE492" s="1212"/>
      <c r="AF492" s="1186"/>
      <c r="AG492" s="1186"/>
      <c r="AH492" s="1222"/>
      <c r="AI492" s="1222"/>
      <c r="AJ492" s="1222"/>
      <c r="AK492" s="1222"/>
      <c r="AL492" s="1222"/>
      <c r="AM492" s="1222"/>
      <c r="AN492" s="1222"/>
      <c r="AO492" s="1222"/>
      <c r="AP492" s="1222"/>
      <c r="AQ492" s="1222"/>
      <c r="AR492" s="1222"/>
      <c r="AS492" s="1222"/>
      <c r="AT492" s="1222"/>
      <c r="AU492" s="1120"/>
      <c r="AV492" s="445"/>
      <c r="AW492" s="607"/>
      <c r="AX492" s="607"/>
      <c r="AY492" s="607"/>
      <c r="AZ492" s="1209"/>
      <c r="BA492" s="1209"/>
    </row>
    <row r="493" spans="2:53" s="256" customFormat="1" ht="24.95" customHeight="1">
      <c r="B493" s="445"/>
      <c r="C493" s="204"/>
      <c r="D493" s="204"/>
      <c r="E493" s="204"/>
      <c r="F493" s="368"/>
      <c r="G493" s="1134"/>
      <c r="H493" s="401"/>
      <c r="I493" s="317"/>
      <c r="N493" s="317"/>
      <c r="O493" s="1135"/>
      <c r="P493" s="1136"/>
      <c r="Q493" s="1137"/>
      <c r="R493" s="1120"/>
      <c r="S493" s="1120"/>
      <c r="T493" s="1120"/>
      <c r="U493" s="1120"/>
      <c r="V493" s="1120"/>
      <c r="W493" s="1120"/>
      <c r="Z493" s="1145"/>
      <c r="AA493" s="1120"/>
      <c r="AB493" s="1120"/>
      <c r="AC493" s="1120"/>
      <c r="AD493" s="1212"/>
      <c r="AE493" s="1212"/>
      <c r="AF493" s="1186"/>
      <c r="AG493" s="1186"/>
      <c r="AH493" s="1222"/>
      <c r="AI493" s="1222"/>
      <c r="AJ493" s="1222"/>
      <c r="AK493" s="1222"/>
      <c r="AL493" s="1222"/>
      <c r="AM493" s="1222"/>
      <c r="AN493" s="1222"/>
      <c r="AO493" s="1222"/>
      <c r="AP493" s="1222"/>
      <c r="AQ493" s="1222"/>
      <c r="AR493" s="1222"/>
      <c r="AS493" s="1222"/>
      <c r="AT493" s="1222"/>
      <c r="AU493" s="1120"/>
      <c r="AV493" s="445"/>
      <c r="AW493" s="607"/>
      <c r="AX493" s="607"/>
      <c r="AY493" s="607"/>
      <c r="AZ493" s="1209"/>
      <c r="BA493" s="1209"/>
    </row>
    <row r="494" spans="2:53" s="256" customFormat="1" ht="24.95" customHeight="1">
      <c r="B494" s="445"/>
      <c r="C494" s="204"/>
      <c r="D494" s="204"/>
      <c r="E494" s="204"/>
      <c r="F494" s="368"/>
      <c r="G494" s="1134"/>
      <c r="H494" s="401"/>
      <c r="I494" s="317"/>
      <c r="N494" s="317"/>
      <c r="O494" s="1135"/>
      <c r="P494" s="1136"/>
      <c r="Q494" s="1137"/>
      <c r="R494" s="1120"/>
      <c r="S494" s="1120"/>
      <c r="T494" s="1120"/>
      <c r="U494" s="1120"/>
      <c r="V494" s="1120"/>
      <c r="W494" s="1120"/>
      <c r="Z494" s="1145"/>
      <c r="AA494" s="1120"/>
      <c r="AB494" s="1120"/>
      <c r="AC494" s="1120"/>
      <c r="AD494" s="1212"/>
      <c r="AE494" s="1212"/>
      <c r="AF494" s="1186"/>
      <c r="AG494" s="1186"/>
      <c r="AH494" s="1222"/>
      <c r="AI494" s="1222"/>
      <c r="AJ494" s="1222"/>
      <c r="AK494" s="1222"/>
      <c r="AL494" s="1222"/>
      <c r="AM494" s="1222"/>
      <c r="AN494" s="1222"/>
      <c r="AO494" s="1222"/>
      <c r="AP494" s="1222"/>
      <c r="AQ494" s="1222"/>
      <c r="AR494" s="1222"/>
      <c r="AS494" s="1222"/>
      <c r="AT494" s="1222"/>
      <c r="AU494" s="1120"/>
      <c r="AV494" s="445"/>
      <c r="AW494" s="607"/>
      <c r="AX494" s="607"/>
      <c r="AY494" s="607"/>
      <c r="AZ494" s="1209"/>
      <c r="BA494" s="1209"/>
    </row>
    <row r="495" spans="2:53" s="256" customFormat="1" ht="24.95" customHeight="1">
      <c r="B495" s="445"/>
      <c r="C495" s="204"/>
      <c r="D495" s="204"/>
      <c r="E495" s="204"/>
      <c r="F495" s="368"/>
      <c r="G495" s="1134"/>
      <c r="H495" s="401"/>
      <c r="I495" s="317"/>
      <c r="N495" s="317"/>
      <c r="O495" s="1135"/>
      <c r="P495" s="1136"/>
      <c r="Q495" s="1137"/>
      <c r="R495" s="1120"/>
      <c r="S495" s="1120"/>
      <c r="T495" s="1120"/>
      <c r="U495" s="1120"/>
      <c r="V495" s="1120"/>
      <c r="W495" s="1120"/>
      <c r="Z495" s="1145"/>
      <c r="AA495" s="1120"/>
      <c r="AB495" s="1120"/>
      <c r="AC495" s="1120"/>
      <c r="AD495" s="1212"/>
      <c r="AE495" s="1212"/>
      <c r="AF495" s="1186"/>
      <c r="AG495" s="1186"/>
      <c r="AH495" s="1222"/>
      <c r="AI495" s="1222"/>
      <c r="AJ495" s="1222"/>
      <c r="AK495" s="1222"/>
      <c r="AL495" s="1222"/>
      <c r="AM495" s="1222"/>
      <c r="AN495" s="1222"/>
      <c r="AO495" s="1222"/>
      <c r="AP495" s="1222"/>
      <c r="AQ495" s="1222"/>
      <c r="AR495" s="1222"/>
      <c r="AS495" s="1222"/>
      <c r="AT495" s="1222"/>
      <c r="AU495" s="1120"/>
      <c r="AV495" s="445"/>
      <c r="AW495" s="607"/>
      <c r="AX495" s="607"/>
      <c r="AY495" s="607"/>
      <c r="AZ495" s="1209"/>
      <c r="BA495" s="1209"/>
    </row>
    <row r="496" spans="2:53" s="256" customFormat="1" ht="24.95" customHeight="1">
      <c r="B496" s="445"/>
      <c r="C496" s="204"/>
      <c r="D496" s="204"/>
      <c r="E496" s="204"/>
      <c r="F496" s="368"/>
      <c r="G496" s="1134"/>
      <c r="H496" s="401"/>
      <c r="I496" s="317"/>
      <c r="N496" s="317"/>
      <c r="O496" s="1135"/>
      <c r="P496" s="1136"/>
      <c r="Q496" s="1137"/>
      <c r="R496" s="1120"/>
      <c r="S496" s="1120"/>
      <c r="T496" s="1120"/>
      <c r="U496" s="1120"/>
      <c r="V496" s="1120"/>
      <c r="W496" s="1120"/>
      <c r="Z496" s="1145"/>
      <c r="AA496" s="1120"/>
      <c r="AB496" s="1120"/>
      <c r="AC496" s="1120"/>
      <c r="AD496" s="1212"/>
      <c r="AE496" s="1212"/>
      <c r="AF496" s="1186"/>
      <c r="AG496" s="1186"/>
      <c r="AH496" s="1222"/>
      <c r="AI496" s="1222"/>
      <c r="AJ496" s="1222"/>
      <c r="AK496" s="1222"/>
      <c r="AL496" s="1222"/>
      <c r="AM496" s="1222"/>
      <c r="AN496" s="1222"/>
      <c r="AO496" s="1222"/>
      <c r="AP496" s="1222"/>
      <c r="AQ496" s="1222"/>
      <c r="AR496" s="1222"/>
      <c r="AS496" s="1222"/>
      <c r="AT496" s="1222"/>
      <c r="AU496" s="1120"/>
      <c r="AV496" s="445"/>
      <c r="AW496" s="607"/>
      <c r="AX496" s="607"/>
      <c r="AY496" s="607"/>
      <c r="AZ496" s="1209"/>
      <c r="BA496" s="1209"/>
    </row>
    <row r="497" spans="2:53" s="256" customFormat="1" ht="24.95" customHeight="1">
      <c r="B497" s="445"/>
      <c r="C497" s="204"/>
      <c r="D497" s="204"/>
      <c r="E497" s="204"/>
      <c r="F497" s="368"/>
      <c r="G497" s="1134"/>
      <c r="H497" s="401"/>
      <c r="I497" s="317"/>
      <c r="N497" s="317"/>
      <c r="O497" s="1135"/>
      <c r="P497" s="1136"/>
      <c r="Q497" s="1137"/>
      <c r="R497" s="1120"/>
      <c r="S497" s="1120"/>
      <c r="T497" s="1120"/>
      <c r="U497" s="1120"/>
      <c r="V497" s="1120"/>
      <c r="W497" s="1120"/>
      <c r="Z497" s="1145"/>
      <c r="AA497" s="1120"/>
      <c r="AB497" s="1120"/>
      <c r="AC497" s="1120"/>
      <c r="AD497" s="1212"/>
      <c r="AE497" s="1212"/>
      <c r="AF497" s="1186"/>
      <c r="AG497" s="1186"/>
      <c r="AH497" s="1222"/>
      <c r="AI497" s="1222"/>
      <c r="AJ497" s="1222"/>
      <c r="AK497" s="1222"/>
      <c r="AL497" s="1222"/>
      <c r="AM497" s="1222"/>
      <c r="AN497" s="1222"/>
      <c r="AO497" s="1222"/>
      <c r="AP497" s="1222"/>
      <c r="AQ497" s="1222"/>
      <c r="AR497" s="1222"/>
      <c r="AS497" s="1222"/>
      <c r="AT497" s="1222"/>
      <c r="AU497" s="1120"/>
      <c r="AV497" s="445"/>
      <c r="AW497" s="607"/>
      <c r="AX497" s="607"/>
      <c r="AY497" s="607"/>
      <c r="AZ497" s="1209"/>
      <c r="BA497" s="1209"/>
    </row>
    <row r="498" spans="2:53" s="256" customFormat="1" ht="24.95" customHeight="1">
      <c r="B498" s="445"/>
      <c r="C498" s="204"/>
      <c r="D498" s="204"/>
      <c r="E498" s="204"/>
      <c r="F498" s="368"/>
      <c r="G498" s="1134"/>
      <c r="H498" s="401"/>
      <c r="I498" s="317"/>
      <c r="N498" s="317"/>
      <c r="O498" s="1135"/>
      <c r="P498" s="1136"/>
      <c r="Q498" s="1137"/>
      <c r="R498" s="1120"/>
      <c r="S498" s="1120"/>
      <c r="T498" s="1120"/>
      <c r="U498" s="1120"/>
      <c r="V498" s="1120"/>
      <c r="W498" s="1120"/>
      <c r="Z498" s="1145"/>
      <c r="AA498" s="1120"/>
      <c r="AB498" s="1120"/>
      <c r="AC498" s="1120"/>
      <c r="AD498" s="1212"/>
      <c r="AE498" s="1212"/>
      <c r="AF498" s="1186"/>
      <c r="AG498" s="1186"/>
      <c r="AH498" s="1222"/>
      <c r="AI498" s="1222"/>
      <c r="AJ498" s="1222"/>
      <c r="AK498" s="1222"/>
      <c r="AL498" s="1222"/>
      <c r="AM498" s="1222"/>
      <c r="AN498" s="1222"/>
      <c r="AO498" s="1222"/>
      <c r="AP498" s="1222"/>
      <c r="AQ498" s="1222"/>
      <c r="AR498" s="1222"/>
      <c r="AS498" s="1222"/>
      <c r="AT498" s="1222"/>
      <c r="AU498" s="1120"/>
      <c r="AV498" s="445"/>
      <c r="AW498" s="607"/>
      <c r="AX498" s="607"/>
      <c r="AY498" s="607"/>
      <c r="AZ498" s="1209"/>
      <c r="BA498" s="1209"/>
    </row>
    <row r="499" spans="2:53" s="256" customFormat="1" ht="24.95" customHeight="1">
      <c r="B499" s="445"/>
      <c r="C499" s="204"/>
      <c r="D499" s="204"/>
      <c r="E499" s="204"/>
      <c r="F499" s="368"/>
      <c r="G499" s="1134"/>
      <c r="H499" s="401"/>
      <c r="I499" s="317"/>
      <c r="N499" s="317"/>
      <c r="O499" s="1135"/>
      <c r="P499" s="1136"/>
      <c r="Q499" s="1137"/>
      <c r="R499" s="1120"/>
      <c r="S499" s="1120"/>
      <c r="T499" s="1120"/>
      <c r="U499" s="1120"/>
      <c r="V499" s="1120"/>
      <c r="W499" s="1120"/>
      <c r="Z499" s="1145"/>
      <c r="AA499" s="1120"/>
      <c r="AB499" s="1120"/>
      <c r="AC499" s="1120"/>
      <c r="AD499" s="1212"/>
      <c r="AE499" s="1212"/>
      <c r="AF499" s="1186"/>
      <c r="AG499" s="1186"/>
      <c r="AH499" s="1222"/>
      <c r="AI499" s="1222"/>
      <c r="AJ499" s="1222"/>
      <c r="AK499" s="1222"/>
      <c r="AL499" s="1222"/>
      <c r="AM499" s="1222"/>
      <c r="AN499" s="1222"/>
      <c r="AO499" s="1222"/>
      <c r="AP499" s="1222"/>
      <c r="AQ499" s="1222"/>
      <c r="AR499" s="1222"/>
      <c r="AS499" s="1222"/>
      <c r="AT499" s="1222"/>
      <c r="AU499" s="1120"/>
      <c r="AV499" s="445"/>
      <c r="AW499" s="607"/>
      <c r="AX499" s="607"/>
      <c r="AY499" s="607"/>
      <c r="AZ499" s="1209"/>
      <c r="BA499" s="1209"/>
    </row>
    <row r="500" spans="2:53" s="256" customFormat="1" ht="24.95" customHeight="1">
      <c r="B500" s="445"/>
      <c r="C500" s="204"/>
      <c r="D500" s="204"/>
      <c r="E500" s="204"/>
      <c r="F500" s="368"/>
      <c r="G500" s="1134"/>
      <c r="H500" s="401"/>
      <c r="I500" s="317"/>
      <c r="N500" s="317"/>
      <c r="O500" s="1135"/>
      <c r="P500" s="1136"/>
      <c r="Q500" s="1137"/>
      <c r="R500" s="1120"/>
      <c r="S500" s="1120"/>
      <c r="T500" s="1120"/>
      <c r="U500" s="1120"/>
      <c r="V500" s="1120"/>
      <c r="W500" s="1120"/>
      <c r="Z500" s="1145"/>
      <c r="AA500" s="1120"/>
      <c r="AB500" s="1120"/>
      <c r="AC500" s="1120"/>
      <c r="AD500" s="1212"/>
      <c r="AE500" s="1212"/>
      <c r="AF500" s="1186"/>
      <c r="AG500" s="1186"/>
      <c r="AH500" s="1222"/>
      <c r="AI500" s="1222"/>
      <c r="AJ500" s="1222"/>
      <c r="AK500" s="1222"/>
      <c r="AL500" s="1222"/>
      <c r="AM500" s="1222"/>
      <c r="AN500" s="1222"/>
      <c r="AO500" s="1222"/>
      <c r="AP500" s="1222"/>
      <c r="AQ500" s="1222"/>
      <c r="AR500" s="1222"/>
      <c r="AS500" s="1222"/>
      <c r="AT500" s="1222"/>
      <c r="AU500" s="1120"/>
      <c r="AV500" s="445"/>
      <c r="AW500" s="607"/>
      <c r="AX500" s="607"/>
      <c r="AY500" s="607"/>
      <c r="AZ500" s="1209"/>
      <c r="BA500" s="1209"/>
    </row>
    <row r="501" spans="2:53" s="256" customFormat="1" ht="24.95" customHeight="1">
      <c r="B501" s="445"/>
      <c r="C501" s="204"/>
      <c r="D501" s="204"/>
      <c r="E501" s="204"/>
      <c r="F501" s="368"/>
      <c r="G501" s="1134"/>
      <c r="H501" s="401"/>
      <c r="I501" s="317"/>
      <c r="N501" s="317"/>
      <c r="O501" s="1135"/>
      <c r="P501" s="1136"/>
      <c r="Q501" s="1137"/>
      <c r="R501" s="1120"/>
      <c r="S501" s="1120"/>
      <c r="T501" s="1120"/>
      <c r="U501" s="1120"/>
      <c r="V501" s="1120"/>
      <c r="W501" s="1120"/>
      <c r="Z501" s="1145"/>
      <c r="AA501" s="1120"/>
      <c r="AB501" s="1120"/>
      <c r="AC501" s="1120"/>
      <c r="AD501" s="1212"/>
      <c r="AE501" s="1212"/>
      <c r="AF501" s="1186"/>
      <c r="AG501" s="1186"/>
      <c r="AH501" s="1222"/>
      <c r="AI501" s="1222"/>
      <c r="AJ501" s="1222"/>
      <c r="AK501" s="1222"/>
      <c r="AL501" s="1222"/>
      <c r="AM501" s="1222"/>
      <c r="AN501" s="1222"/>
      <c r="AO501" s="1222"/>
      <c r="AP501" s="1222"/>
      <c r="AQ501" s="1222"/>
      <c r="AR501" s="1222"/>
      <c r="AS501" s="1222"/>
      <c r="AT501" s="1222"/>
      <c r="AU501" s="1120"/>
      <c r="AV501" s="445"/>
      <c r="AW501" s="607"/>
      <c r="AX501" s="607"/>
      <c r="AY501" s="607"/>
      <c r="AZ501" s="1209"/>
      <c r="BA501" s="1209"/>
    </row>
    <row r="502" spans="2:53" s="256" customFormat="1" ht="24.95" customHeight="1">
      <c r="B502" s="445"/>
      <c r="C502" s="204"/>
      <c r="D502" s="204"/>
      <c r="E502" s="204"/>
      <c r="F502" s="368"/>
      <c r="G502" s="1134"/>
      <c r="H502" s="401"/>
      <c r="I502" s="317"/>
      <c r="N502" s="317"/>
      <c r="O502" s="1135"/>
      <c r="P502" s="1136"/>
      <c r="Q502" s="1137"/>
      <c r="R502" s="1120"/>
      <c r="S502" s="1120"/>
      <c r="T502" s="1120"/>
      <c r="U502" s="1120"/>
      <c r="V502" s="1120"/>
      <c r="W502" s="1120"/>
      <c r="Z502" s="1145"/>
      <c r="AA502" s="1120"/>
      <c r="AB502" s="1120"/>
      <c r="AC502" s="1120"/>
      <c r="AD502" s="1212"/>
      <c r="AE502" s="1212"/>
      <c r="AF502" s="1186"/>
      <c r="AG502" s="1186"/>
      <c r="AH502" s="1222"/>
      <c r="AI502" s="1222"/>
      <c r="AJ502" s="1222"/>
      <c r="AK502" s="1222"/>
      <c r="AL502" s="1222"/>
      <c r="AM502" s="1222"/>
      <c r="AN502" s="1222"/>
      <c r="AO502" s="1222"/>
      <c r="AP502" s="1222"/>
      <c r="AQ502" s="1222"/>
      <c r="AR502" s="1222"/>
      <c r="AS502" s="1222"/>
      <c r="AT502" s="1222"/>
      <c r="AU502" s="1120"/>
      <c r="AV502" s="445"/>
      <c r="AW502" s="607"/>
      <c r="AX502" s="607"/>
      <c r="AY502" s="607"/>
      <c r="AZ502" s="1209"/>
      <c r="BA502" s="1209"/>
    </row>
    <row r="503" spans="2:53" s="256" customFormat="1" ht="24.95" customHeight="1">
      <c r="B503" s="445"/>
      <c r="C503" s="204"/>
      <c r="D503" s="204"/>
      <c r="E503" s="204"/>
      <c r="F503" s="368"/>
      <c r="G503" s="1134"/>
      <c r="H503" s="401"/>
      <c r="I503" s="317"/>
      <c r="N503" s="317"/>
      <c r="O503" s="1135"/>
      <c r="P503" s="1136"/>
      <c r="Q503" s="1137"/>
      <c r="R503" s="1120"/>
      <c r="S503" s="1120"/>
      <c r="T503" s="1120"/>
      <c r="U503" s="1120"/>
      <c r="V503" s="1120"/>
      <c r="W503" s="1120"/>
      <c r="Z503" s="1145"/>
      <c r="AA503" s="1120"/>
      <c r="AB503" s="1120"/>
      <c r="AC503" s="1120"/>
      <c r="AD503" s="1212"/>
      <c r="AE503" s="1212"/>
      <c r="AF503" s="1186"/>
      <c r="AG503" s="1186"/>
      <c r="AH503" s="1222"/>
      <c r="AI503" s="1222"/>
      <c r="AJ503" s="1222"/>
      <c r="AK503" s="1222"/>
      <c r="AL503" s="1222"/>
      <c r="AM503" s="1222"/>
      <c r="AN503" s="1222"/>
      <c r="AO503" s="1222"/>
      <c r="AP503" s="1222"/>
      <c r="AQ503" s="1222"/>
      <c r="AR503" s="1222"/>
      <c r="AS503" s="1222"/>
      <c r="AT503" s="1222"/>
      <c r="AU503" s="1120"/>
      <c r="AV503" s="445"/>
      <c r="AW503" s="607"/>
      <c r="AX503" s="607"/>
      <c r="AY503" s="607"/>
      <c r="AZ503" s="1209"/>
      <c r="BA503" s="1209"/>
    </row>
    <row r="504" spans="2:53" s="256" customFormat="1" ht="24.95" customHeight="1">
      <c r="B504" s="445"/>
      <c r="C504" s="204"/>
      <c r="D504" s="204"/>
      <c r="E504" s="204"/>
      <c r="F504" s="368"/>
      <c r="G504" s="1134"/>
      <c r="H504" s="401"/>
      <c r="I504" s="317"/>
      <c r="N504" s="317"/>
      <c r="O504" s="1135"/>
      <c r="P504" s="1136"/>
      <c r="Q504" s="1137"/>
      <c r="R504" s="1120"/>
      <c r="S504" s="1120"/>
      <c r="T504" s="1120"/>
      <c r="U504" s="1120"/>
      <c r="V504" s="1120"/>
      <c r="W504" s="1120"/>
      <c r="Z504" s="1145"/>
      <c r="AA504" s="1120"/>
      <c r="AB504" s="1120"/>
      <c r="AC504" s="1120"/>
      <c r="AD504" s="1212"/>
      <c r="AE504" s="1212"/>
      <c r="AF504" s="1186"/>
      <c r="AG504" s="1186"/>
      <c r="AH504" s="1222"/>
      <c r="AI504" s="1222"/>
      <c r="AJ504" s="1222"/>
      <c r="AK504" s="1222"/>
      <c r="AL504" s="1222"/>
      <c r="AM504" s="1222"/>
      <c r="AN504" s="1222"/>
      <c r="AO504" s="1222"/>
      <c r="AP504" s="1222"/>
      <c r="AQ504" s="1222"/>
      <c r="AR504" s="1222"/>
      <c r="AS504" s="1222"/>
      <c r="AT504" s="1222"/>
      <c r="AU504" s="1120"/>
      <c r="AV504" s="445"/>
      <c r="AW504" s="607"/>
      <c r="AX504" s="607"/>
      <c r="AY504" s="607"/>
      <c r="AZ504" s="1209"/>
      <c r="BA504" s="1209"/>
    </row>
    <row r="505" spans="2:53" s="256" customFormat="1" ht="24.95" customHeight="1">
      <c r="B505" s="445"/>
      <c r="C505" s="204"/>
      <c r="D505" s="204"/>
      <c r="E505" s="204"/>
      <c r="F505" s="368"/>
      <c r="G505" s="1134"/>
      <c r="H505" s="401"/>
      <c r="I505" s="317"/>
      <c r="N505" s="317"/>
      <c r="O505" s="1135"/>
      <c r="P505" s="1136"/>
      <c r="Q505" s="1137"/>
      <c r="R505" s="1120"/>
      <c r="S505" s="1120"/>
      <c r="T505" s="1120"/>
      <c r="U505" s="1120"/>
      <c r="V505" s="1120"/>
      <c r="W505" s="1120"/>
      <c r="Z505" s="1145"/>
      <c r="AA505" s="1120"/>
      <c r="AB505" s="1120"/>
      <c r="AC505" s="1120"/>
      <c r="AD505" s="1212"/>
      <c r="AE505" s="1212"/>
      <c r="AF505" s="1186"/>
      <c r="AG505" s="1186"/>
      <c r="AH505" s="1222"/>
      <c r="AI505" s="1222"/>
      <c r="AJ505" s="1222"/>
      <c r="AK505" s="1222"/>
      <c r="AL505" s="1222"/>
      <c r="AM505" s="1222"/>
      <c r="AN505" s="1222"/>
      <c r="AO505" s="1222"/>
      <c r="AP505" s="1222"/>
      <c r="AQ505" s="1222"/>
      <c r="AR505" s="1222"/>
      <c r="AS505" s="1222"/>
      <c r="AT505" s="1222"/>
      <c r="AU505" s="1120"/>
      <c r="AV505" s="445"/>
      <c r="AW505" s="607"/>
      <c r="AX505" s="607"/>
      <c r="AY505" s="607"/>
      <c r="AZ505" s="1209"/>
      <c r="BA505" s="1209"/>
    </row>
    <row r="506" spans="2:53" s="256" customFormat="1" ht="24.95" customHeight="1">
      <c r="B506" s="445"/>
      <c r="C506" s="204"/>
      <c r="D506" s="204"/>
      <c r="E506" s="204"/>
      <c r="F506" s="368"/>
      <c r="G506" s="1134"/>
      <c r="H506" s="401"/>
      <c r="I506" s="317"/>
      <c r="N506" s="317"/>
      <c r="O506" s="1135"/>
      <c r="P506" s="1136"/>
      <c r="Q506" s="1137"/>
      <c r="R506" s="1120"/>
      <c r="S506" s="1120"/>
      <c r="T506" s="1120"/>
      <c r="U506" s="1120"/>
      <c r="V506" s="1120"/>
      <c r="W506" s="1120"/>
      <c r="Z506" s="1145"/>
      <c r="AA506" s="1120"/>
      <c r="AB506" s="1120"/>
      <c r="AC506" s="1120"/>
      <c r="AD506" s="1212"/>
      <c r="AE506" s="1212"/>
      <c r="AF506" s="1186"/>
      <c r="AG506" s="1186"/>
      <c r="AH506" s="1222"/>
      <c r="AI506" s="1222"/>
      <c r="AJ506" s="1222"/>
      <c r="AK506" s="1222"/>
      <c r="AL506" s="1222"/>
      <c r="AM506" s="1222"/>
      <c r="AN506" s="1222"/>
      <c r="AO506" s="1222"/>
      <c r="AP506" s="1222"/>
      <c r="AQ506" s="1222"/>
      <c r="AR506" s="1222"/>
      <c r="AS506" s="1222"/>
      <c r="AT506" s="1222"/>
      <c r="AU506" s="1120"/>
      <c r="AV506" s="445"/>
      <c r="AW506" s="607"/>
      <c r="AX506" s="607"/>
      <c r="AY506" s="607"/>
      <c r="AZ506" s="1209"/>
      <c r="BA506" s="1209"/>
    </row>
    <row r="507" spans="2:53" s="256" customFormat="1" ht="24.95" customHeight="1">
      <c r="B507" s="445"/>
      <c r="C507" s="204"/>
      <c r="D507" s="204"/>
      <c r="E507" s="204"/>
      <c r="F507" s="368"/>
      <c r="G507" s="1134"/>
      <c r="H507" s="401"/>
      <c r="I507" s="317"/>
      <c r="N507" s="317"/>
      <c r="O507" s="1135"/>
      <c r="P507" s="1136"/>
      <c r="Q507" s="1137"/>
      <c r="R507" s="1120"/>
      <c r="S507" s="1120"/>
      <c r="T507" s="1120"/>
      <c r="U507" s="1120"/>
      <c r="V507" s="1120"/>
      <c r="W507" s="1120"/>
      <c r="Z507" s="1145"/>
      <c r="AA507" s="1120"/>
      <c r="AB507" s="1120"/>
      <c r="AC507" s="1120"/>
      <c r="AD507" s="1212"/>
      <c r="AE507" s="1212"/>
      <c r="AF507" s="1186"/>
      <c r="AG507" s="1186"/>
      <c r="AH507" s="1222"/>
      <c r="AI507" s="1222"/>
      <c r="AJ507" s="1222"/>
      <c r="AK507" s="1222"/>
      <c r="AL507" s="1222"/>
      <c r="AM507" s="1222"/>
      <c r="AN507" s="1222"/>
      <c r="AO507" s="1222"/>
      <c r="AP507" s="1222"/>
      <c r="AQ507" s="1222"/>
      <c r="AR507" s="1222"/>
      <c r="AS507" s="1222"/>
      <c r="AT507" s="1222"/>
      <c r="AU507" s="1120"/>
      <c r="AV507" s="445"/>
      <c r="AW507" s="607"/>
      <c r="AX507" s="607"/>
      <c r="AY507" s="607"/>
      <c r="AZ507" s="1209"/>
      <c r="BA507" s="1209"/>
    </row>
    <row r="508" spans="2:53" s="256" customFormat="1" ht="24.95" customHeight="1">
      <c r="B508" s="445"/>
      <c r="C508" s="204"/>
      <c r="D508" s="204"/>
      <c r="E508" s="204"/>
      <c r="F508" s="368"/>
      <c r="G508" s="1134"/>
      <c r="H508" s="401"/>
      <c r="I508" s="317"/>
      <c r="N508" s="317"/>
      <c r="O508" s="1135"/>
      <c r="P508" s="1136"/>
      <c r="Q508" s="1137"/>
      <c r="R508" s="1120"/>
      <c r="S508" s="1120"/>
      <c r="T508" s="1120"/>
      <c r="U508" s="1120"/>
      <c r="V508" s="1120"/>
      <c r="W508" s="1120"/>
      <c r="Z508" s="1145"/>
      <c r="AA508" s="1120"/>
      <c r="AB508" s="1120"/>
      <c r="AC508" s="1120"/>
      <c r="AD508" s="1212"/>
      <c r="AE508" s="1212"/>
      <c r="AF508" s="1186"/>
      <c r="AG508" s="1186"/>
      <c r="AH508" s="1222"/>
      <c r="AI508" s="1222"/>
      <c r="AJ508" s="1222"/>
      <c r="AK508" s="1222"/>
      <c r="AL508" s="1222"/>
      <c r="AM508" s="1222"/>
      <c r="AN508" s="1222"/>
      <c r="AO508" s="1222"/>
      <c r="AP508" s="1222"/>
      <c r="AQ508" s="1222"/>
      <c r="AR508" s="1222"/>
      <c r="AS508" s="1222"/>
      <c r="AT508" s="1222"/>
      <c r="AU508" s="1120"/>
      <c r="AV508" s="445"/>
      <c r="AW508" s="607"/>
      <c r="AX508" s="607"/>
      <c r="AY508" s="607"/>
      <c r="AZ508" s="1209"/>
      <c r="BA508" s="1209"/>
    </row>
    <row r="509" spans="2:53" s="256" customFormat="1" ht="24.95" customHeight="1">
      <c r="B509" s="445"/>
      <c r="C509" s="204"/>
      <c r="D509" s="204"/>
      <c r="E509" s="204"/>
      <c r="F509" s="368"/>
      <c r="G509" s="1134"/>
      <c r="H509" s="401"/>
      <c r="I509" s="317"/>
      <c r="N509" s="317"/>
      <c r="O509" s="1135"/>
      <c r="P509" s="1136"/>
      <c r="Q509" s="1137"/>
      <c r="R509" s="1120"/>
      <c r="S509" s="1120"/>
      <c r="T509" s="1120"/>
      <c r="U509" s="1120"/>
      <c r="V509" s="1120"/>
      <c r="W509" s="1120"/>
      <c r="Z509" s="1145"/>
      <c r="AA509" s="1120"/>
      <c r="AB509" s="1120"/>
      <c r="AC509" s="1120"/>
      <c r="AD509" s="1212"/>
      <c r="AE509" s="1212"/>
      <c r="AF509" s="1186"/>
      <c r="AG509" s="1186"/>
      <c r="AH509" s="1222"/>
      <c r="AI509" s="1222"/>
      <c r="AJ509" s="1222"/>
      <c r="AK509" s="1222"/>
      <c r="AL509" s="1222"/>
      <c r="AM509" s="1222"/>
      <c r="AN509" s="1222"/>
      <c r="AO509" s="1222"/>
      <c r="AP509" s="1222"/>
      <c r="AQ509" s="1222"/>
      <c r="AR509" s="1222"/>
      <c r="AS509" s="1222"/>
      <c r="AT509" s="1222"/>
      <c r="AU509" s="1120"/>
      <c r="AV509" s="445"/>
      <c r="AW509" s="607"/>
      <c r="AX509" s="607"/>
      <c r="AY509" s="607"/>
      <c r="AZ509" s="1209"/>
      <c r="BA509" s="1209"/>
    </row>
    <row r="510" spans="2:53" s="256" customFormat="1" ht="24.95" customHeight="1">
      <c r="B510" s="445"/>
      <c r="C510" s="204"/>
      <c r="D510" s="204"/>
      <c r="E510" s="204"/>
      <c r="F510" s="368"/>
      <c r="G510" s="1134"/>
      <c r="H510" s="401"/>
      <c r="I510" s="317"/>
      <c r="N510" s="317"/>
      <c r="O510" s="1135"/>
      <c r="P510" s="1136"/>
      <c r="Q510" s="1137"/>
      <c r="R510" s="1120"/>
      <c r="S510" s="1120"/>
      <c r="T510" s="1120"/>
      <c r="U510" s="1120"/>
      <c r="V510" s="1120"/>
      <c r="W510" s="1120"/>
      <c r="Z510" s="1145"/>
      <c r="AA510" s="1120"/>
      <c r="AB510" s="1120"/>
      <c r="AC510" s="1120"/>
      <c r="AD510" s="1212"/>
      <c r="AE510" s="1212"/>
      <c r="AF510" s="1186"/>
      <c r="AG510" s="1186"/>
      <c r="AH510" s="1222"/>
      <c r="AI510" s="1222"/>
      <c r="AJ510" s="1222"/>
      <c r="AK510" s="1222"/>
      <c r="AL510" s="1222"/>
      <c r="AM510" s="1222"/>
      <c r="AN510" s="1222"/>
      <c r="AO510" s="1222"/>
      <c r="AP510" s="1222"/>
      <c r="AQ510" s="1222"/>
      <c r="AR510" s="1222"/>
      <c r="AS510" s="1222"/>
      <c r="AT510" s="1222"/>
      <c r="AU510" s="1120"/>
      <c r="AV510" s="445"/>
      <c r="AW510" s="607"/>
      <c r="AX510" s="607"/>
      <c r="AY510" s="607"/>
      <c r="AZ510" s="1209"/>
      <c r="BA510" s="1209"/>
    </row>
    <row r="511" spans="2:53" s="256" customFormat="1" ht="24.95" customHeight="1">
      <c r="B511" s="445"/>
      <c r="C511" s="204"/>
      <c r="D511" s="204"/>
      <c r="E511" s="204"/>
      <c r="F511" s="368"/>
      <c r="G511" s="1134"/>
      <c r="H511" s="401"/>
      <c r="I511" s="317"/>
      <c r="N511" s="317"/>
      <c r="O511" s="1135"/>
      <c r="P511" s="1136"/>
      <c r="Q511" s="1137"/>
      <c r="R511" s="1120"/>
      <c r="S511" s="1120"/>
      <c r="T511" s="1120"/>
      <c r="U511" s="1120"/>
      <c r="V511" s="1120"/>
      <c r="W511" s="1120"/>
      <c r="Z511" s="1145"/>
      <c r="AA511" s="1120"/>
      <c r="AB511" s="1120"/>
      <c r="AC511" s="1120"/>
      <c r="AD511" s="1212"/>
      <c r="AE511" s="1212"/>
      <c r="AF511" s="1186"/>
      <c r="AG511" s="1186"/>
      <c r="AH511" s="1222"/>
      <c r="AI511" s="1222"/>
      <c r="AJ511" s="1222"/>
      <c r="AK511" s="1222"/>
      <c r="AL511" s="1222"/>
      <c r="AM511" s="1222"/>
      <c r="AN511" s="1222"/>
      <c r="AO511" s="1222"/>
      <c r="AP511" s="1222"/>
      <c r="AQ511" s="1222"/>
      <c r="AR511" s="1222"/>
      <c r="AS511" s="1222"/>
      <c r="AT511" s="1222"/>
      <c r="AU511" s="1120"/>
      <c r="AV511" s="445"/>
      <c r="AW511" s="607"/>
      <c r="AX511" s="607"/>
      <c r="AY511" s="607"/>
      <c r="AZ511" s="1209"/>
      <c r="BA511" s="1209"/>
    </row>
    <row r="512" spans="2:53" s="256" customFormat="1" ht="24.95" customHeight="1">
      <c r="B512" s="445"/>
      <c r="C512" s="204"/>
      <c r="D512" s="204"/>
      <c r="E512" s="204"/>
      <c r="F512" s="368"/>
      <c r="G512" s="1134"/>
      <c r="H512" s="401"/>
      <c r="I512" s="317"/>
      <c r="N512" s="317"/>
      <c r="O512" s="1135"/>
      <c r="P512" s="1136"/>
      <c r="Q512" s="1137"/>
      <c r="R512" s="1120"/>
      <c r="S512" s="1120"/>
      <c r="T512" s="1120"/>
      <c r="U512" s="1120"/>
      <c r="V512" s="1120"/>
      <c r="W512" s="1120"/>
      <c r="Z512" s="1145"/>
      <c r="AA512" s="1120"/>
      <c r="AB512" s="1120"/>
      <c r="AC512" s="1120"/>
      <c r="AD512" s="1212"/>
      <c r="AE512" s="1212"/>
      <c r="AF512" s="1186"/>
      <c r="AG512" s="1186"/>
      <c r="AH512" s="1222"/>
      <c r="AI512" s="1222"/>
      <c r="AJ512" s="1222"/>
      <c r="AK512" s="1222"/>
      <c r="AL512" s="1222"/>
      <c r="AM512" s="1222"/>
      <c r="AN512" s="1222"/>
      <c r="AO512" s="1222"/>
      <c r="AP512" s="1222"/>
      <c r="AQ512" s="1222"/>
      <c r="AR512" s="1222"/>
      <c r="AS512" s="1222"/>
      <c r="AT512" s="1222"/>
      <c r="AU512" s="1120"/>
      <c r="AV512" s="445"/>
      <c r="AW512" s="607"/>
      <c r="AX512" s="607"/>
      <c r="AY512" s="607"/>
      <c r="AZ512" s="1209"/>
      <c r="BA512" s="1209"/>
    </row>
    <row r="513" spans="2:53" s="256" customFormat="1" ht="24.95" customHeight="1">
      <c r="B513" s="445"/>
      <c r="C513" s="204"/>
      <c r="D513" s="204"/>
      <c r="E513" s="204"/>
      <c r="F513" s="368"/>
      <c r="G513" s="1134"/>
      <c r="H513" s="401"/>
      <c r="I513" s="317"/>
      <c r="N513" s="317"/>
      <c r="O513" s="1135"/>
      <c r="P513" s="1136"/>
      <c r="Q513" s="1137"/>
      <c r="R513" s="1120"/>
      <c r="S513" s="1120"/>
      <c r="T513" s="1120"/>
      <c r="U513" s="1120"/>
      <c r="V513" s="1120"/>
      <c r="W513" s="1120"/>
      <c r="Z513" s="1145"/>
      <c r="AA513" s="1120"/>
      <c r="AB513" s="1120"/>
      <c r="AC513" s="1120"/>
      <c r="AD513" s="1212"/>
      <c r="AE513" s="1212"/>
      <c r="AF513" s="1186"/>
      <c r="AG513" s="1186"/>
      <c r="AH513" s="1222"/>
      <c r="AI513" s="1222"/>
      <c r="AJ513" s="1222"/>
      <c r="AK513" s="1222"/>
      <c r="AL513" s="1222"/>
      <c r="AM513" s="1222"/>
      <c r="AN513" s="1222"/>
      <c r="AO513" s="1222"/>
      <c r="AP513" s="1222"/>
      <c r="AQ513" s="1222"/>
      <c r="AR513" s="1222"/>
      <c r="AS513" s="1222"/>
      <c r="AT513" s="1222"/>
      <c r="AU513" s="1120"/>
      <c r="AV513" s="445"/>
      <c r="AW513" s="607"/>
      <c r="AX513" s="607"/>
      <c r="AY513" s="607"/>
      <c r="AZ513" s="1209"/>
      <c r="BA513" s="1209"/>
    </row>
    <row r="514" spans="2:53" s="256" customFormat="1" ht="24.95" customHeight="1">
      <c r="B514" s="445"/>
      <c r="C514" s="204"/>
      <c r="D514" s="204"/>
      <c r="E514" s="204"/>
      <c r="F514" s="368"/>
      <c r="G514" s="1134"/>
      <c r="H514" s="401"/>
      <c r="I514" s="317"/>
      <c r="N514" s="317"/>
      <c r="O514" s="1135"/>
      <c r="P514" s="1136"/>
      <c r="Q514" s="1137"/>
      <c r="R514" s="1120"/>
      <c r="S514" s="1120"/>
      <c r="T514" s="1120"/>
      <c r="U514" s="1120"/>
      <c r="V514" s="1120"/>
      <c r="W514" s="1120"/>
      <c r="Z514" s="1145"/>
      <c r="AA514" s="1120"/>
      <c r="AB514" s="1120"/>
      <c r="AC514" s="1120"/>
      <c r="AD514" s="1212"/>
      <c r="AE514" s="1212"/>
      <c r="AF514" s="1186"/>
      <c r="AG514" s="1186"/>
      <c r="AH514" s="1222"/>
      <c r="AI514" s="1222"/>
      <c r="AJ514" s="1222"/>
      <c r="AK514" s="1222"/>
      <c r="AL514" s="1222"/>
      <c r="AM514" s="1222"/>
      <c r="AN514" s="1222"/>
      <c r="AO514" s="1222"/>
      <c r="AP514" s="1222"/>
      <c r="AQ514" s="1222"/>
      <c r="AR514" s="1222"/>
      <c r="AS514" s="1222"/>
      <c r="AT514" s="1222"/>
      <c r="AU514" s="1120"/>
      <c r="AV514" s="445"/>
      <c r="AW514" s="607"/>
      <c r="AX514" s="607"/>
      <c r="AY514" s="607"/>
      <c r="AZ514" s="1209"/>
      <c r="BA514" s="1209"/>
    </row>
    <row r="515" spans="2:53" s="256" customFormat="1" ht="24.95" customHeight="1">
      <c r="B515" s="445"/>
      <c r="C515" s="204"/>
      <c r="D515" s="204"/>
      <c r="E515" s="204"/>
      <c r="F515" s="368"/>
      <c r="G515" s="1134"/>
      <c r="H515" s="401"/>
      <c r="I515" s="317"/>
      <c r="N515" s="317"/>
      <c r="O515" s="1135"/>
      <c r="P515" s="1136"/>
      <c r="Q515" s="1137"/>
      <c r="R515" s="1120"/>
      <c r="S515" s="1120"/>
      <c r="T515" s="1120"/>
      <c r="U515" s="1120"/>
      <c r="V515" s="1120"/>
      <c r="W515" s="1120"/>
      <c r="Z515" s="1145"/>
      <c r="AA515" s="1120"/>
      <c r="AB515" s="1120"/>
      <c r="AC515" s="1120"/>
      <c r="AD515" s="1212"/>
      <c r="AE515" s="1212"/>
      <c r="AF515" s="1186"/>
      <c r="AG515" s="1186"/>
      <c r="AH515" s="1222"/>
      <c r="AI515" s="1222"/>
      <c r="AJ515" s="1222"/>
      <c r="AK515" s="1222"/>
      <c r="AL515" s="1222"/>
      <c r="AM515" s="1222"/>
      <c r="AN515" s="1222"/>
      <c r="AO515" s="1222"/>
      <c r="AP515" s="1222"/>
      <c r="AQ515" s="1222"/>
      <c r="AR515" s="1222"/>
      <c r="AS515" s="1222"/>
      <c r="AT515" s="1222"/>
      <c r="AU515" s="1120"/>
      <c r="AV515" s="445"/>
      <c r="AW515" s="607"/>
      <c r="AX515" s="607"/>
      <c r="AY515" s="607"/>
      <c r="AZ515" s="1209"/>
      <c r="BA515" s="1209"/>
    </row>
    <row r="516" spans="2:53" s="256" customFormat="1" ht="24.95" customHeight="1">
      <c r="B516" s="445"/>
      <c r="C516" s="204"/>
      <c r="D516" s="204"/>
      <c r="E516" s="204"/>
      <c r="F516" s="368"/>
      <c r="G516" s="1134"/>
      <c r="H516" s="401"/>
      <c r="I516" s="317"/>
      <c r="N516" s="317"/>
      <c r="O516" s="1135"/>
      <c r="P516" s="1136"/>
      <c r="Q516" s="1137"/>
      <c r="R516" s="1120"/>
      <c r="S516" s="1120"/>
      <c r="T516" s="1120"/>
      <c r="U516" s="1120"/>
      <c r="V516" s="1120"/>
      <c r="W516" s="1120"/>
      <c r="Z516" s="1145"/>
      <c r="AA516" s="1120"/>
      <c r="AB516" s="1120"/>
      <c r="AC516" s="1120"/>
      <c r="AD516" s="1212"/>
      <c r="AE516" s="1212"/>
      <c r="AF516" s="1186"/>
      <c r="AG516" s="1186"/>
      <c r="AH516" s="1222"/>
      <c r="AI516" s="1222"/>
      <c r="AJ516" s="1222"/>
      <c r="AK516" s="1222"/>
      <c r="AL516" s="1222"/>
      <c r="AM516" s="1222"/>
      <c r="AN516" s="1222"/>
      <c r="AO516" s="1222"/>
      <c r="AP516" s="1222"/>
      <c r="AQ516" s="1222"/>
      <c r="AR516" s="1222"/>
      <c r="AS516" s="1222"/>
      <c r="AT516" s="1222"/>
      <c r="AU516" s="1120"/>
      <c r="AV516" s="445"/>
      <c r="AW516" s="607"/>
      <c r="AX516" s="607"/>
      <c r="AY516" s="607"/>
      <c r="AZ516" s="1209"/>
      <c r="BA516" s="1209"/>
    </row>
    <row r="517" spans="2:53" s="256" customFormat="1" ht="24.95" customHeight="1">
      <c r="B517" s="445"/>
      <c r="C517" s="204"/>
      <c r="D517" s="204"/>
      <c r="E517" s="204"/>
      <c r="F517" s="368"/>
      <c r="G517" s="1134"/>
      <c r="H517" s="401"/>
      <c r="I517" s="317"/>
      <c r="N517" s="317"/>
      <c r="O517" s="1135"/>
      <c r="P517" s="1136"/>
      <c r="Q517" s="1137"/>
      <c r="R517" s="1120"/>
      <c r="S517" s="1120"/>
      <c r="T517" s="1120"/>
      <c r="U517" s="1120"/>
      <c r="V517" s="1120"/>
      <c r="W517" s="1120"/>
      <c r="Z517" s="1145"/>
      <c r="AA517" s="1120"/>
      <c r="AB517" s="1120"/>
      <c r="AC517" s="1120"/>
      <c r="AD517" s="1212"/>
      <c r="AE517" s="1212"/>
      <c r="AF517" s="1186"/>
      <c r="AG517" s="1186"/>
      <c r="AH517" s="1222"/>
      <c r="AI517" s="1222"/>
      <c r="AJ517" s="1222"/>
      <c r="AK517" s="1222"/>
      <c r="AL517" s="1222"/>
      <c r="AM517" s="1222"/>
      <c r="AN517" s="1222"/>
      <c r="AO517" s="1222"/>
      <c r="AP517" s="1222"/>
      <c r="AQ517" s="1222"/>
      <c r="AR517" s="1222"/>
      <c r="AS517" s="1222"/>
      <c r="AT517" s="1222"/>
      <c r="AU517" s="1120"/>
      <c r="AV517" s="445"/>
      <c r="AW517" s="607"/>
      <c r="AX517" s="607"/>
      <c r="AY517" s="607"/>
      <c r="AZ517" s="1209"/>
      <c r="BA517" s="1209"/>
    </row>
    <row r="518" spans="2:53" s="256" customFormat="1" ht="24.95" customHeight="1">
      <c r="B518" s="445"/>
      <c r="C518" s="204"/>
      <c r="D518" s="204"/>
      <c r="E518" s="204"/>
      <c r="F518" s="368"/>
      <c r="G518" s="1134"/>
      <c r="H518" s="401"/>
      <c r="I518" s="317"/>
      <c r="N518" s="317"/>
      <c r="O518" s="1135"/>
      <c r="P518" s="1136"/>
      <c r="Q518" s="1137"/>
      <c r="R518" s="1120"/>
      <c r="S518" s="1120"/>
      <c r="T518" s="1120"/>
      <c r="U518" s="1120"/>
      <c r="V518" s="1120"/>
      <c r="W518" s="1120"/>
      <c r="Z518" s="1145"/>
      <c r="AA518" s="1120"/>
      <c r="AB518" s="1120"/>
      <c r="AC518" s="1120"/>
      <c r="AD518" s="1212"/>
      <c r="AE518" s="1212"/>
      <c r="AF518" s="1186"/>
      <c r="AG518" s="1186"/>
      <c r="AH518" s="1222"/>
      <c r="AI518" s="1222"/>
      <c r="AJ518" s="1222"/>
      <c r="AK518" s="1222"/>
      <c r="AL518" s="1222"/>
      <c r="AM518" s="1222"/>
      <c r="AN518" s="1222"/>
      <c r="AO518" s="1222"/>
      <c r="AP518" s="1222"/>
      <c r="AQ518" s="1222"/>
      <c r="AR518" s="1222"/>
      <c r="AS518" s="1222"/>
      <c r="AT518" s="1222"/>
      <c r="AU518" s="1120"/>
      <c r="AV518" s="445"/>
      <c r="AW518" s="607"/>
      <c r="AX518" s="607"/>
      <c r="AY518" s="607"/>
      <c r="AZ518" s="1209"/>
      <c r="BA518" s="1209"/>
    </row>
    <row r="519" spans="2:53" s="256" customFormat="1" ht="24.95" customHeight="1">
      <c r="B519" s="445"/>
      <c r="C519" s="204"/>
      <c r="D519" s="204"/>
      <c r="E519" s="204"/>
      <c r="F519" s="368"/>
      <c r="G519" s="1134"/>
      <c r="H519" s="401"/>
      <c r="I519" s="317"/>
      <c r="N519" s="317"/>
      <c r="O519" s="1135"/>
      <c r="P519" s="1136"/>
      <c r="Q519" s="1137"/>
      <c r="R519" s="1120"/>
      <c r="S519" s="1120"/>
      <c r="T519" s="1120"/>
      <c r="U519" s="1120"/>
      <c r="V519" s="1120"/>
      <c r="W519" s="1120"/>
      <c r="Z519" s="1145"/>
      <c r="AA519" s="1120"/>
      <c r="AB519" s="1120"/>
      <c r="AC519" s="1120"/>
      <c r="AD519" s="1212"/>
      <c r="AE519" s="1212"/>
      <c r="AF519" s="1186"/>
      <c r="AG519" s="1186"/>
      <c r="AH519" s="1222"/>
      <c r="AI519" s="1222"/>
      <c r="AJ519" s="1222"/>
      <c r="AK519" s="1222"/>
      <c r="AL519" s="1222"/>
      <c r="AM519" s="1222"/>
      <c r="AN519" s="1222"/>
      <c r="AO519" s="1222"/>
      <c r="AP519" s="1222"/>
      <c r="AQ519" s="1222"/>
      <c r="AR519" s="1222"/>
      <c r="AS519" s="1222"/>
      <c r="AT519" s="1222"/>
      <c r="AU519" s="1120"/>
      <c r="AV519" s="445"/>
      <c r="AW519" s="607"/>
      <c r="AX519" s="607"/>
      <c r="AY519" s="607"/>
      <c r="AZ519" s="1209"/>
      <c r="BA519" s="1209"/>
    </row>
    <row r="520" spans="2:53" s="256" customFormat="1" ht="24.95" customHeight="1">
      <c r="B520" s="445"/>
      <c r="C520" s="204"/>
      <c r="D520" s="204"/>
      <c r="E520" s="204"/>
      <c r="F520" s="368"/>
      <c r="G520" s="1134"/>
      <c r="H520" s="401"/>
      <c r="I520" s="317"/>
      <c r="N520" s="317"/>
      <c r="O520" s="1135"/>
      <c r="P520" s="1136"/>
      <c r="Q520" s="1137"/>
      <c r="R520" s="1120"/>
      <c r="S520" s="1120"/>
      <c r="T520" s="1120"/>
      <c r="U520" s="1120"/>
      <c r="V520" s="1120"/>
      <c r="W520" s="1120"/>
      <c r="Z520" s="1145"/>
      <c r="AA520" s="1120"/>
      <c r="AB520" s="1120"/>
      <c r="AC520" s="1120"/>
      <c r="AD520" s="1212"/>
      <c r="AE520" s="1212"/>
      <c r="AF520" s="1186"/>
      <c r="AG520" s="1186"/>
      <c r="AH520" s="1222"/>
      <c r="AI520" s="1222"/>
      <c r="AJ520" s="1222"/>
      <c r="AK520" s="1222"/>
      <c r="AL520" s="1222"/>
      <c r="AM520" s="1222"/>
      <c r="AN520" s="1222"/>
      <c r="AO520" s="1222"/>
      <c r="AP520" s="1222"/>
      <c r="AQ520" s="1222"/>
      <c r="AR520" s="1222"/>
      <c r="AS520" s="1222"/>
      <c r="AT520" s="1222"/>
      <c r="AU520" s="1120"/>
      <c r="AV520" s="445"/>
      <c r="AW520" s="607"/>
      <c r="AX520" s="607"/>
      <c r="AY520" s="607"/>
      <c r="AZ520" s="1209"/>
      <c r="BA520" s="1209"/>
    </row>
    <row r="521" spans="2:53" s="256" customFormat="1" ht="24.95" customHeight="1">
      <c r="B521" s="445"/>
      <c r="C521" s="204"/>
      <c r="D521" s="204"/>
      <c r="E521" s="204"/>
      <c r="F521" s="368"/>
      <c r="G521" s="1134"/>
      <c r="H521" s="401"/>
      <c r="I521" s="317"/>
      <c r="N521" s="317"/>
      <c r="O521" s="1135"/>
      <c r="P521" s="1136"/>
      <c r="Q521" s="1137"/>
      <c r="R521" s="1120"/>
      <c r="S521" s="1120"/>
      <c r="T521" s="1120"/>
      <c r="U521" s="1120"/>
      <c r="V521" s="1120"/>
      <c r="W521" s="1120"/>
      <c r="Z521" s="1145"/>
      <c r="AA521" s="1120"/>
      <c r="AB521" s="1120"/>
      <c r="AC521" s="1120"/>
      <c r="AD521" s="1212"/>
      <c r="AE521" s="1212"/>
      <c r="AF521" s="1186"/>
      <c r="AG521" s="1186"/>
      <c r="AH521" s="1222"/>
      <c r="AI521" s="1222"/>
      <c r="AJ521" s="1222"/>
      <c r="AK521" s="1222"/>
      <c r="AL521" s="1222"/>
      <c r="AM521" s="1222"/>
      <c r="AN521" s="1222"/>
      <c r="AO521" s="1222"/>
      <c r="AP521" s="1222"/>
      <c r="AQ521" s="1222"/>
      <c r="AR521" s="1222"/>
      <c r="AS521" s="1222"/>
      <c r="AT521" s="1222"/>
      <c r="AU521" s="1120"/>
      <c r="AV521" s="445"/>
      <c r="AW521" s="607"/>
      <c r="AX521" s="607"/>
      <c r="AY521" s="607"/>
      <c r="AZ521" s="1209"/>
      <c r="BA521" s="1209"/>
    </row>
    <row r="522" spans="2:53" s="256" customFormat="1" ht="24.95" customHeight="1">
      <c r="B522" s="445"/>
      <c r="C522" s="204"/>
      <c r="D522" s="204"/>
      <c r="E522" s="204"/>
      <c r="F522" s="368"/>
      <c r="G522" s="1134"/>
      <c r="H522" s="401"/>
      <c r="I522" s="317"/>
      <c r="N522" s="317"/>
      <c r="O522" s="1135"/>
      <c r="P522" s="1136"/>
      <c r="Q522" s="1137"/>
      <c r="R522" s="1120"/>
      <c r="S522" s="1120"/>
      <c r="T522" s="1120"/>
      <c r="U522" s="1120"/>
      <c r="V522" s="1120"/>
      <c r="W522" s="1120"/>
      <c r="Z522" s="1145"/>
      <c r="AA522" s="1120"/>
      <c r="AB522" s="1120"/>
      <c r="AC522" s="1120"/>
      <c r="AD522" s="1212"/>
      <c r="AE522" s="1212"/>
      <c r="AF522" s="1186"/>
      <c r="AG522" s="1186"/>
      <c r="AH522" s="1222"/>
      <c r="AI522" s="1222"/>
      <c r="AJ522" s="1222"/>
      <c r="AK522" s="1222"/>
      <c r="AL522" s="1222"/>
      <c r="AM522" s="1222"/>
      <c r="AN522" s="1222"/>
      <c r="AO522" s="1222"/>
      <c r="AP522" s="1222"/>
      <c r="AQ522" s="1222"/>
      <c r="AR522" s="1222"/>
      <c r="AS522" s="1222"/>
      <c r="AT522" s="1222"/>
      <c r="AU522" s="1120"/>
      <c r="AV522" s="445"/>
      <c r="AW522" s="607"/>
      <c r="AX522" s="607"/>
      <c r="AY522" s="607"/>
      <c r="AZ522" s="1209"/>
      <c r="BA522" s="1209"/>
    </row>
    <row r="523" spans="2:53" s="256" customFormat="1" ht="24.95" customHeight="1">
      <c r="B523" s="445"/>
      <c r="C523" s="204"/>
      <c r="D523" s="204"/>
      <c r="E523" s="204"/>
      <c r="F523" s="368"/>
      <c r="G523" s="1134"/>
      <c r="H523" s="401"/>
      <c r="I523" s="317"/>
      <c r="N523" s="317"/>
      <c r="O523" s="1135"/>
      <c r="P523" s="1136"/>
      <c r="Q523" s="1137"/>
      <c r="R523" s="1120"/>
      <c r="S523" s="1120"/>
      <c r="T523" s="1120"/>
      <c r="U523" s="1120"/>
      <c r="V523" s="1120"/>
      <c r="W523" s="1120"/>
      <c r="Z523" s="1145"/>
      <c r="AA523" s="1120"/>
      <c r="AB523" s="1120"/>
      <c r="AC523" s="1120"/>
      <c r="AD523" s="1212"/>
      <c r="AE523" s="1212"/>
      <c r="AF523" s="1186"/>
      <c r="AG523" s="1186"/>
      <c r="AH523" s="1222"/>
      <c r="AI523" s="1222"/>
      <c r="AJ523" s="1222"/>
      <c r="AK523" s="1222"/>
      <c r="AL523" s="1222"/>
      <c r="AM523" s="1222"/>
      <c r="AN523" s="1222"/>
      <c r="AO523" s="1222"/>
      <c r="AP523" s="1222"/>
      <c r="AQ523" s="1222"/>
      <c r="AR523" s="1222"/>
      <c r="AS523" s="1222"/>
      <c r="AT523" s="1222"/>
      <c r="AU523" s="1120"/>
      <c r="AV523" s="445"/>
      <c r="AW523" s="607"/>
      <c r="AX523" s="607"/>
      <c r="AY523" s="607"/>
      <c r="AZ523" s="1209"/>
      <c r="BA523" s="1209"/>
    </row>
    <row r="524" spans="2:53" s="256" customFormat="1" ht="24.95" customHeight="1">
      <c r="B524" s="445"/>
      <c r="C524" s="204"/>
      <c r="D524" s="204"/>
      <c r="E524" s="204"/>
      <c r="F524" s="368"/>
      <c r="G524" s="1134"/>
      <c r="H524" s="401"/>
      <c r="I524" s="317"/>
      <c r="N524" s="317"/>
      <c r="O524" s="1135"/>
      <c r="P524" s="1136"/>
      <c r="Q524" s="1137"/>
      <c r="R524" s="1120"/>
      <c r="S524" s="1120"/>
      <c r="T524" s="1120"/>
      <c r="U524" s="1120"/>
      <c r="V524" s="1120"/>
      <c r="W524" s="1120"/>
      <c r="Z524" s="1145"/>
      <c r="AA524" s="1120"/>
      <c r="AB524" s="1120"/>
      <c r="AC524" s="1120"/>
      <c r="AD524" s="1212"/>
      <c r="AE524" s="1212"/>
      <c r="AF524" s="1186"/>
      <c r="AG524" s="1186"/>
      <c r="AH524" s="1222"/>
      <c r="AI524" s="1222"/>
      <c r="AJ524" s="1222"/>
      <c r="AK524" s="1222"/>
      <c r="AL524" s="1222"/>
      <c r="AM524" s="1222"/>
      <c r="AN524" s="1222"/>
      <c r="AO524" s="1222"/>
      <c r="AP524" s="1222"/>
      <c r="AQ524" s="1222"/>
      <c r="AR524" s="1222"/>
      <c r="AS524" s="1222"/>
      <c r="AT524" s="1222"/>
      <c r="AU524" s="1120"/>
      <c r="AV524" s="445"/>
      <c r="AW524" s="607"/>
      <c r="AX524" s="607"/>
      <c r="AY524" s="607"/>
      <c r="AZ524" s="1209"/>
      <c r="BA524" s="1209"/>
    </row>
    <row r="525" spans="2:53" s="256" customFormat="1" ht="24.95" customHeight="1">
      <c r="B525" s="445"/>
      <c r="C525" s="204"/>
      <c r="D525" s="204"/>
      <c r="E525" s="204"/>
      <c r="F525" s="368"/>
      <c r="G525" s="1134"/>
      <c r="H525" s="401"/>
      <c r="I525" s="317"/>
      <c r="N525" s="317"/>
      <c r="O525" s="1135"/>
      <c r="P525" s="1136"/>
      <c r="Q525" s="1137"/>
      <c r="R525" s="1120"/>
      <c r="S525" s="1120"/>
      <c r="T525" s="1120"/>
      <c r="U525" s="1120"/>
      <c r="V525" s="1120"/>
      <c r="W525" s="1120"/>
      <c r="Z525" s="1145"/>
      <c r="AA525" s="1120"/>
      <c r="AB525" s="1120"/>
      <c r="AC525" s="1120"/>
      <c r="AD525" s="1212"/>
      <c r="AE525" s="1212"/>
      <c r="AF525" s="1186"/>
      <c r="AG525" s="1186"/>
      <c r="AH525" s="1222"/>
      <c r="AI525" s="1222"/>
      <c r="AJ525" s="1222"/>
      <c r="AK525" s="1222"/>
      <c r="AL525" s="1222"/>
      <c r="AM525" s="1222"/>
      <c r="AN525" s="1222"/>
      <c r="AO525" s="1222"/>
      <c r="AP525" s="1222"/>
      <c r="AQ525" s="1222"/>
      <c r="AR525" s="1222"/>
      <c r="AS525" s="1222"/>
      <c r="AT525" s="1222"/>
      <c r="AU525" s="1120"/>
      <c r="AV525" s="445"/>
      <c r="AW525" s="607"/>
      <c r="AX525" s="607"/>
      <c r="AY525" s="607"/>
      <c r="AZ525" s="1209"/>
      <c r="BA525" s="1209"/>
    </row>
    <row r="526" spans="2:53" s="256" customFormat="1" ht="24.95" customHeight="1">
      <c r="B526" s="445"/>
      <c r="C526" s="204"/>
      <c r="D526" s="204"/>
      <c r="E526" s="204"/>
      <c r="F526" s="368"/>
      <c r="G526" s="1134"/>
      <c r="H526" s="401"/>
      <c r="I526" s="317"/>
      <c r="N526" s="317"/>
      <c r="O526" s="1135"/>
      <c r="P526" s="1136"/>
      <c r="Q526" s="1137"/>
      <c r="R526" s="1120"/>
      <c r="S526" s="1120"/>
      <c r="T526" s="1120"/>
      <c r="U526" s="1120"/>
      <c r="V526" s="1120"/>
      <c r="W526" s="1120"/>
      <c r="Z526" s="1145"/>
      <c r="AA526" s="1120"/>
      <c r="AB526" s="1120"/>
      <c r="AC526" s="1120"/>
      <c r="AD526" s="1212"/>
      <c r="AE526" s="1212"/>
      <c r="AF526" s="1186"/>
      <c r="AG526" s="1186"/>
      <c r="AH526" s="1222"/>
      <c r="AI526" s="1222"/>
      <c r="AJ526" s="1222"/>
      <c r="AK526" s="1222"/>
      <c r="AL526" s="1222"/>
      <c r="AM526" s="1222"/>
      <c r="AN526" s="1222"/>
      <c r="AO526" s="1222"/>
      <c r="AP526" s="1222"/>
      <c r="AQ526" s="1222"/>
      <c r="AR526" s="1222"/>
      <c r="AS526" s="1222"/>
      <c r="AT526" s="1222"/>
      <c r="AU526" s="1120"/>
      <c r="AV526" s="445"/>
      <c r="AW526" s="607"/>
      <c r="AX526" s="607"/>
      <c r="AY526" s="607"/>
      <c r="AZ526" s="1209"/>
      <c r="BA526" s="1209"/>
    </row>
    <row r="527" spans="2:53" s="256" customFormat="1" ht="24.95" customHeight="1">
      <c r="B527" s="445"/>
      <c r="C527" s="204"/>
      <c r="D527" s="204"/>
      <c r="E527" s="204"/>
      <c r="F527" s="368"/>
      <c r="G527" s="1134"/>
      <c r="H527" s="401"/>
      <c r="I527" s="317"/>
      <c r="N527" s="317"/>
      <c r="O527" s="1135"/>
      <c r="P527" s="1136"/>
      <c r="Q527" s="1137"/>
      <c r="R527" s="1120"/>
      <c r="S527" s="1120"/>
      <c r="T527" s="1120"/>
      <c r="U527" s="1120"/>
      <c r="V527" s="1120"/>
      <c r="W527" s="1120"/>
      <c r="Z527" s="1145"/>
      <c r="AA527" s="1120"/>
      <c r="AB527" s="1120"/>
      <c r="AC527" s="1120"/>
      <c r="AD527" s="1212"/>
      <c r="AE527" s="1212"/>
      <c r="AF527" s="1186"/>
      <c r="AG527" s="1186"/>
      <c r="AH527" s="1222"/>
      <c r="AI527" s="1222"/>
      <c r="AJ527" s="1222"/>
      <c r="AK527" s="1222"/>
      <c r="AL527" s="1222"/>
      <c r="AM527" s="1222"/>
      <c r="AN527" s="1222"/>
      <c r="AO527" s="1222"/>
      <c r="AP527" s="1222"/>
      <c r="AQ527" s="1222"/>
      <c r="AR527" s="1222"/>
      <c r="AS527" s="1222"/>
      <c r="AT527" s="1222"/>
      <c r="AU527" s="1120"/>
      <c r="AV527" s="445"/>
      <c r="AW527" s="607"/>
      <c r="AX527" s="607"/>
      <c r="AY527" s="607"/>
      <c r="AZ527" s="1209"/>
      <c r="BA527" s="1209"/>
    </row>
    <row r="528" spans="2:53" s="256" customFormat="1" ht="24.95" customHeight="1">
      <c r="B528" s="445"/>
      <c r="C528" s="204"/>
      <c r="D528" s="204"/>
      <c r="E528" s="204"/>
      <c r="F528" s="368"/>
      <c r="G528" s="1134"/>
      <c r="H528" s="401"/>
      <c r="I528" s="317"/>
      <c r="N528" s="317"/>
      <c r="O528" s="1135"/>
      <c r="P528" s="1136"/>
      <c r="Q528" s="1137"/>
      <c r="R528" s="1120"/>
      <c r="S528" s="1120"/>
      <c r="T528" s="1120"/>
      <c r="U528" s="1120"/>
      <c r="V528" s="1120"/>
      <c r="W528" s="1120"/>
      <c r="Z528" s="1145"/>
      <c r="AA528" s="1120"/>
      <c r="AB528" s="1120"/>
      <c r="AC528" s="1120"/>
      <c r="AD528" s="1212"/>
      <c r="AE528" s="1212"/>
      <c r="AF528" s="1186"/>
      <c r="AG528" s="1186"/>
      <c r="AH528" s="1222"/>
      <c r="AI528" s="1222"/>
      <c r="AJ528" s="1222"/>
      <c r="AK528" s="1222"/>
      <c r="AL528" s="1222"/>
      <c r="AM528" s="1222"/>
      <c r="AN528" s="1222"/>
      <c r="AO528" s="1222"/>
      <c r="AP528" s="1222"/>
      <c r="AQ528" s="1222"/>
      <c r="AR528" s="1222"/>
      <c r="AS528" s="1222"/>
      <c r="AT528" s="1222"/>
      <c r="AU528" s="1120"/>
      <c r="AV528" s="445"/>
      <c r="AW528" s="607"/>
      <c r="AX528" s="607"/>
      <c r="AY528" s="607"/>
      <c r="AZ528" s="1209"/>
      <c r="BA528" s="1209"/>
    </row>
    <row r="529" spans="2:53" s="256" customFormat="1" ht="24.95" customHeight="1">
      <c r="B529" s="445"/>
      <c r="C529" s="204"/>
      <c r="D529" s="204"/>
      <c r="E529" s="204"/>
      <c r="F529" s="368"/>
      <c r="G529" s="1134"/>
      <c r="H529" s="401"/>
      <c r="I529" s="317"/>
      <c r="N529" s="317"/>
      <c r="O529" s="1135"/>
      <c r="P529" s="1136"/>
      <c r="Q529" s="1137"/>
      <c r="R529" s="1120"/>
      <c r="S529" s="1120"/>
      <c r="T529" s="1120"/>
      <c r="U529" s="1120"/>
      <c r="V529" s="1120"/>
      <c r="W529" s="1120"/>
      <c r="Z529" s="1145"/>
      <c r="AA529" s="1120"/>
      <c r="AB529" s="1120"/>
      <c r="AC529" s="1120"/>
      <c r="AD529" s="1212"/>
      <c r="AE529" s="1212"/>
      <c r="AF529" s="1186"/>
      <c r="AG529" s="1186"/>
      <c r="AH529" s="1222"/>
      <c r="AI529" s="1222"/>
      <c r="AJ529" s="1222"/>
      <c r="AK529" s="1222"/>
      <c r="AL529" s="1222"/>
      <c r="AM529" s="1222"/>
      <c r="AN529" s="1222"/>
      <c r="AO529" s="1222"/>
      <c r="AP529" s="1222"/>
      <c r="AQ529" s="1222"/>
      <c r="AR529" s="1222"/>
      <c r="AS529" s="1222"/>
      <c r="AT529" s="1222"/>
      <c r="AU529" s="1120"/>
      <c r="AV529" s="445"/>
      <c r="AW529" s="607"/>
      <c r="AX529" s="607"/>
      <c r="AY529" s="607"/>
      <c r="AZ529" s="1209"/>
      <c r="BA529" s="1209"/>
    </row>
    <row r="530" spans="2:53" s="256" customFormat="1" ht="24.95" customHeight="1">
      <c r="B530" s="445"/>
      <c r="C530" s="204"/>
      <c r="D530" s="204"/>
      <c r="E530" s="204"/>
      <c r="F530" s="368"/>
      <c r="G530" s="1134"/>
      <c r="H530" s="401"/>
      <c r="I530" s="317"/>
      <c r="N530" s="317"/>
      <c r="O530" s="1135"/>
      <c r="P530" s="1136"/>
      <c r="Q530" s="1137"/>
      <c r="R530" s="1120"/>
      <c r="S530" s="1120"/>
      <c r="T530" s="1120"/>
      <c r="U530" s="1120"/>
      <c r="V530" s="1120"/>
      <c r="W530" s="1120"/>
      <c r="Z530" s="1145"/>
      <c r="AA530" s="1120"/>
      <c r="AB530" s="1120"/>
      <c r="AC530" s="1120"/>
      <c r="AD530" s="1212"/>
      <c r="AE530" s="1212"/>
      <c r="AF530" s="1186"/>
      <c r="AG530" s="1186"/>
      <c r="AH530" s="1222"/>
      <c r="AI530" s="1222"/>
      <c r="AJ530" s="1222"/>
      <c r="AK530" s="1222"/>
      <c r="AL530" s="1222"/>
      <c r="AM530" s="1222"/>
      <c r="AN530" s="1222"/>
      <c r="AO530" s="1222"/>
      <c r="AP530" s="1222"/>
      <c r="AQ530" s="1222"/>
      <c r="AR530" s="1222"/>
      <c r="AS530" s="1222"/>
      <c r="AT530" s="1222"/>
      <c r="AU530" s="1120"/>
      <c r="AV530" s="445"/>
      <c r="AW530" s="607"/>
      <c r="AX530" s="607"/>
      <c r="AY530" s="607"/>
      <c r="AZ530" s="1209"/>
      <c r="BA530" s="1209"/>
    </row>
    <row r="531" spans="2:53" s="256" customFormat="1" ht="24.95" customHeight="1">
      <c r="B531" s="445"/>
      <c r="C531" s="204"/>
      <c r="D531" s="204"/>
      <c r="E531" s="204"/>
      <c r="F531" s="368"/>
      <c r="G531" s="1134"/>
      <c r="H531" s="401"/>
      <c r="I531" s="317"/>
      <c r="N531" s="317"/>
      <c r="O531" s="1135"/>
      <c r="P531" s="1136"/>
      <c r="Q531" s="1137"/>
      <c r="R531" s="1120"/>
      <c r="S531" s="1120"/>
      <c r="T531" s="1120"/>
      <c r="U531" s="1120"/>
      <c r="V531" s="1120"/>
      <c r="W531" s="1120"/>
      <c r="Z531" s="1145"/>
      <c r="AA531" s="1120"/>
      <c r="AB531" s="1120"/>
      <c r="AC531" s="1120"/>
      <c r="AD531" s="1212"/>
      <c r="AE531" s="1212"/>
      <c r="AF531" s="1186"/>
      <c r="AG531" s="1186"/>
      <c r="AH531" s="1222"/>
      <c r="AI531" s="1222"/>
      <c r="AJ531" s="1222"/>
      <c r="AK531" s="1222"/>
      <c r="AL531" s="1222"/>
      <c r="AM531" s="1222"/>
      <c r="AN531" s="1222"/>
      <c r="AO531" s="1222"/>
      <c r="AP531" s="1222"/>
      <c r="AQ531" s="1222"/>
      <c r="AR531" s="1222"/>
      <c r="AS531" s="1222"/>
      <c r="AT531" s="1222"/>
      <c r="AU531" s="1120"/>
      <c r="AV531" s="445"/>
      <c r="AW531" s="607"/>
      <c r="AX531" s="607"/>
      <c r="AY531" s="607"/>
      <c r="AZ531" s="1209"/>
      <c r="BA531" s="1209"/>
    </row>
    <row r="532" spans="2:53" s="256" customFormat="1" ht="24.95" customHeight="1">
      <c r="B532" s="445"/>
      <c r="C532" s="204"/>
      <c r="D532" s="204"/>
      <c r="E532" s="204"/>
      <c r="F532" s="368"/>
      <c r="G532" s="1134"/>
      <c r="H532" s="401"/>
      <c r="I532" s="317"/>
      <c r="N532" s="317"/>
      <c r="O532" s="1135"/>
      <c r="P532" s="1136"/>
      <c r="Q532" s="1137"/>
      <c r="R532" s="1120"/>
      <c r="S532" s="1120"/>
      <c r="T532" s="1120"/>
      <c r="U532" s="1120"/>
      <c r="V532" s="1120"/>
      <c r="W532" s="1120"/>
      <c r="Z532" s="1145"/>
      <c r="AA532" s="1120"/>
      <c r="AB532" s="1120"/>
      <c r="AC532" s="1120"/>
      <c r="AD532" s="1212"/>
      <c r="AE532" s="1212"/>
      <c r="AF532" s="1186"/>
      <c r="AG532" s="1186"/>
      <c r="AH532" s="1222"/>
      <c r="AI532" s="1222"/>
      <c r="AJ532" s="1222"/>
      <c r="AK532" s="1222"/>
      <c r="AL532" s="1222"/>
      <c r="AM532" s="1222"/>
      <c r="AN532" s="1222"/>
      <c r="AO532" s="1222"/>
      <c r="AP532" s="1222"/>
      <c r="AQ532" s="1222"/>
      <c r="AR532" s="1222"/>
      <c r="AS532" s="1222"/>
      <c r="AT532" s="1222"/>
      <c r="AU532" s="1120"/>
      <c r="AV532" s="445"/>
      <c r="AW532" s="607"/>
      <c r="AX532" s="607"/>
      <c r="AY532" s="607"/>
      <c r="AZ532" s="1209"/>
      <c r="BA532" s="1209"/>
    </row>
    <row r="533" spans="2:53" s="256" customFormat="1" ht="24.95" customHeight="1">
      <c r="B533" s="445"/>
      <c r="C533" s="204"/>
      <c r="D533" s="204"/>
      <c r="E533" s="204"/>
      <c r="F533" s="368"/>
      <c r="G533" s="1134"/>
      <c r="H533" s="401"/>
      <c r="I533" s="317"/>
      <c r="N533" s="317"/>
      <c r="O533" s="1135"/>
      <c r="P533" s="1136"/>
      <c r="Q533" s="1137"/>
      <c r="R533" s="1120"/>
      <c r="S533" s="1120"/>
      <c r="T533" s="1120"/>
      <c r="U533" s="1120"/>
      <c r="V533" s="1120"/>
      <c r="W533" s="1120"/>
      <c r="Z533" s="1145"/>
      <c r="AA533" s="1120"/>
      <c r="AB533" s="1120"/>
      <c r="AC533" s="1120"/>
      <c r="AD533" s="1212"/>
      <c r="AE533" s="1212"/>
      <c r="AF533" s="1186"/>
      <c r="AG533" s="1186"/>
      <c r="AH533" s="1222"/>
      <c r="AI533" s="1222"/>
      <c r="AJ533" s="1222"/>
      <c r="AK533" s="1222"/>
      <c r="AL533" s="1222"/>
      <c r="AM533" s="1222"/>
      <c r="AN533" s="1222"/>
      <c r="AO533" s="1222"/>
      <c r="AP533" s="1222"/>
      <c r="AQ533" s="1222"/>
      <c r="AR533" s="1222"/>
      <c r="AS533" s="1222"/>
      <c r="AT533" s="1222"/>
      <c r="AU533" s="1120"/>
      <c r="AV533" s="445"/>
      <c r="AW533" s="607"/>
      <c r="AX533" s="607"/>
      <c r="AY533" s="607"/>
      <c r="AZ533" s="1209"/>
      <c r="BA533" s="1209"/>
    </row>
    <row r="534" spans="2:53" s="256" customFormat="1" ht="24.95" customHeight="1">
      <c r="B534" s="445"/>
      <c r="C534" s="204"/>
      <c r="D534" s="204"/>
      <c r="E534" s="204"/>
      <c r="F534" s="368"/>
      <c r="G534" s="1134"/>
      <c r="H534" s="401"/>
      <c r="I534" s="317"/>
      <c r="N534" s="317"/>
      <c r="O534" s="1135"/>
      <c r="P534" s="1136"/>
      <c r="Q534" s="1137"/>
      <c r="R534" s="1120"/>
      <c r="S534" s="1120"/>
      <c r="T534" s="1120"/>
      <c r="U534" s="1120"/>
      <c r="V534" s="1120"/>
      <c r="W534" s="1120"/>
      <c r="Z534" s="1145"/>
      <c r="AA534" s="1120"/>
      <c r="AB534" s="1120"/>
      <c r="AC534" s="1120"/>
      <c r="AD534" s="1212"/>
      <c r="AE534" s="1212"/>
      <c r="AF534" s="1186"/>
      <c r="AG534" s="1186"/>
      <c r="AH534" s="1222"/>
      <c r="AI534" s="1222"/>
      <c r="AJ534" s="1222"/>
      <c r="AK534" s="1222"/>
      <c r="AL534" s="1222"/>
      <c r="AM534" s="1222"/>
      <c r="AN534" s="1222"/>
      <c r="AO534" s="1222"/>
      <c r="AP534" s="1222"/>
      <c r="AQ534" s="1222"/>
      <c r="AR534" s="1222"/>
      <c r="AS534" s="1222"/>
      <c r="AT534" s="1222"/>
      <c r="AU534" s="1120"/>
      <c r="AV534" s="445"/>
      <c r="AW534" s="607"/>
      <c r="AX534" s="607"/>
      <c r="AY534" s="607"/>
      <c r="AZ534" s="1209"/>
      <c r="BA534" s="1209"/>
    </row>
    <row r="535" spans="2:53" s="256" customFormat="1" ht="24.95" customHeight="1">
      <c r="B535" s="445"/>
      <c r="C535" s="204"/>
      <c r="D535" s="204"/>
      <c r="E535" s="204"/>
      <c r="F535" s="368"/>
      <c r="G535" s="1134"/>
      <c r="H535" s="401"/>
      <c r="I535" s="317"/>
      <c r="N535" s="317"/>
      <c r="O535" s="1135"/>
      <c r="P535" s="1136"/>
      <c r="Q535" s="1137"/>
      <c r="R535" s="1120"/>
      <c r="S535" s="1120"/>
      <c r="T535" s="1120"/>
      <c r="U535" s="1120"/>
      <c r="V535" s="1120"/>
      <c r="W535" s="1120"/>
      <c r="Z535" s="1145"/>
      <c r="AA535" s="1120"/>
      <c r="AB535" s="1120"/>
      <c r="AC535" s="1120"/>
      <c r="AD535" s="1212"/>
      <c r="AE535" s="1212"/>
      <c r="AF535" s="1186"/>
      <c r="AG535" s="1186"/>
      <c r="AH535" s="1222"/>
      <c r="AI535" s="1222"/>
      <c r="AJ535" s="1222"/>
      <c r="AK535" s="1222"/>
      <c r="AL535" s="1222"/>
      <c r="AM535" s="1222"/>
      <c r="AN535" s="1222"/>
      <c r="AO535" s="1222"/>
      <c r="AP535" s="1222"/>
      <c r="AQ535" s="1222"/>
      <c r="AR535" s="1222"/>
      <c r="AS535" s="1222"/>
      <c r="AT535" s="1222"/>
      <c r="AU535" s="1120"/>
      <c r="AV535" s="445"/>
      <c r="AW535" s="607"/>
      <c r="AX535" s="607"/>
      <c r="AY535" s="607"/>
      <c r="AZ535" s="1209"/>
      <c r="BA535" s="1209"/>
    </row>
    <row r="536" spans="2:53" s="256" customFormat="1" ht="24.95" customHeight="1">
      <c r="B536" s="445"/>
      <c r="C536" s="204"/>
      <c r="D536" s="204"/>
      <c r="E536" s="204"/>
      <c r="F536" s="368"/>
      <c r="G536" s="1134"/>
      <c r="H536" s="401"/>
      <c r="I536" s="317"/>
      <c r="N536" s="317"/>
      <c r="O536" s="1135"/>
      <c r="P536" s="1136"/>
      <c r="Q536" s="1137"/>
      <c r="R536" s="1120"/>
      <c r="S536" s="1120"/>
      <c r="T536" s="1120"/>
      <c r="U536" s="1120"/>
      <c r="V536" s="1120"/>
      <c r="W536" s="1120"/>
      <c r="Z536" s="1145"/>
      <c r="AA536" s="1120"/>
      <c r="AB536" s="1120"/>
      <c r="AC536" s="1120"/>
      <c r="AD536" s="1212"/>
      <c r="AE536" s="1212"/>
      <c r="AF536" s="1186"/>
      <c r="AG536" s="1186"/>
      <c r="AH536" s="1222"/>
      <c r="AI536" s="1222"/>
      <c r="AJ536" s="1222"/>
      <c r="AK536" s="1222"/>
      <c r="AL536" s="1222"/>
      <c r="AM536" s="1222"/>
      <c r="AN536" s="1222"/>
      <c r="AO536" s="1222"/>
      <c r="AP536" s="1222"/>
      <c r="AQ536" s="1222"/>
      <c r="AR536" s="1222"/>
      <c r="AS536" s="1222"/>
      <c r="AT536" s="1222"/>
      <c r="AU536" s="1120"/>
      <c r="AV536" s="445"/>
      <c r="AW536" s="607"/>
      <c r="AX536" s="607"/>
      <c r="AY536" s="607"/>
      <c r="AZ536" s="1209"/>
      <c r="BA536" s="1209"/>
    </row>
    <row r="537" spans="2:53" s="256" customFormat="1" ht="24.95" customHeight="1">
      <c r="B537" s="445"/>
      <c r="C537" s="204"/>
      <c r="D537" s="204"/>
      <c r="E537" s="204"/>
      <c r="F537" s="368"/>
      <c r="G537" s="1134"/>
      <c r="H537" s="401"/>
      <c r="I537" s="317"/>
      <c r="N537" s="317"/>
      <c r="O537" s="1135"/>
      <c r="P537" s="1136"/>
      <c r="Q537" s="1137"/>
      <c r="R537" s="1120"/>
      <c r="S537" s="1120"/>
      <c r="T537" s="1120"/>
      <c r="U537" s="1120"/>
      <c r="V537" s="1120"/>
      <c r="W537" s="1120"/>
      <c r="Z537" s="1145"/>
      <c r="AA537" s="1120"/>
      <c r="AB537" s="1120"/>
      <c r="AC537" s="1120"/>
      <c r="AD537" s="1212"/>
      <c r="AE537" s="1212"/>
      <c r="AF537" s="1186"/>
      <c r="AG537" s="1186"/>
      <c r="AH537" s="1222"/>
      <c r="AI537" s="1222"/>
      <c r="AJ537" s="1222"/>
      <c r="AK537" s="1222"/>
      <c r="AL537" s="1222"/>
      <c r="AM537" s="1222"/>
      <c r="AN537" s="1222"/>
      <c r="AO537" s="1222"/>
      <c r="AP537" s="1222"/>
      <c r="AQ537" s="1222"/>
      <c r="AR537" s="1222"/>
      <c r="AS537" s="1222"/>
      <c r="AT537" s="1222"/>
      <c r="AU537" s="1120"/>
      <c r="AV537" s="445"/>
      <c r="AW537" s="607"/>
      <c r="AX537" s="607"/>
      <c r="AY537" s="607"/>
      <c r="AZ537" s="1209"/>
      <c r="BA537" s="1209"/>
    </row>
    <row r="538" spans="2:53" s="256" customFormat="1" ht="24.95" customHeight="1">
      <c r="B538" s="445"/>
      <c r="C538" s="204"/>
      <c r="D538" s="204"/>
      <c r="E538" s="204"/>
      <c r="F538" s="368"/>
      <c r="G538" s="1134"/>
      <c r="H538" s="401"/>
      <c r="I538" s="317"/>
      <c r="N538" s="317"/>
      <c r="O538" s="1135"/>
      <c r="P538" s="1136"/>
      <c r="Q538" s="1137"/>
      <c r="R538" s="1120"/>
      <c r="S538" s="1120"/>
      <c r="T538" s="1120"/>
      <c r="U538" s="1120"/>
      <c r="V538" s="1120"/>
      <c r="W538" s="1120"/>
      <c r="Z538" s="1145"/>
      <c r="AA538" s="1120"/>
      <c r="AB538" s="1120"/>
      <c r="AC538" s="1120"/>
      <c r="AD538" s="1212"/>
      <c r="AE538" s="1212"/>
      <c r="AF538" s="1186"/>
      <c r="AG538" s="1186"/>
      <c r="AH538" s="1222"/>
      <c r="AI538" s="1222"/>
      <c r="AJ538" s="1222"/>
      <c r="AK538" s="1222"/>
      <c r="AL538" s="1222"/>
      <c r="AM538" s="1222"/>
      <c r="AN538" s="1222"/>
      <c r="AO538" s="1222"/>
      <c r="AP538" s="1222"/>
      <c r="AQ538" s="1222"/>
      <c r="AR538" s="1222"/>
      <c r="AS538" s="1222"/>
      <c r="AT538" s="1222"/>
      <c r="AU538" s="1120"/>
      <c r="AV538" s="445"/>
      <c r="AW538" s="607"/>
      <c r="AX538" s="607"/>
      <c r="AY538" s="607"/>
      <c r="AZ538" s="1209"/>
      <c r="BA538" s="1209"/>
    </row>
    <row r="539" spans="2:53" s="256" customFormat="1" ht="24.95" customHeight="1">
      <c r="B539" s="445"/>
      <c r="C539" s="204"/>
      <c r="D539" s="204"/>
      <c r="E539" s="204"/>
      <c r="F539" s="368"/>
      <c r="G539" s="1134"/>
      <c r="H539" s="401"/>
      <c r="I539" s="317"/>
      <c r="N539" s="317"/>
      <c r="O539" s="1135"/>
      <c r="P539" s="1136"/>
      <c r="Q539" s="1137"/>
      <c r="R539" s="1120"/>
      <c r="S539" s="1120"/>
      <c r="T539" s="1120"/>
      <c r="U539" s="1120"/>
      <c r="V539" s="1120"/>
      <c r="W539" s="1120"/>
      <c r="Z539" s="1145"/>
      <c r="AA539" s="1120"/>
      <c r="AB539" s="1120"/>
      <c r="AC539" s="1120"/>
      <c r="AD539" s="1212"/>
      <c r="AE539" s="1212"/>
      <c r="AF539" s="1186"/>
      <c r="AG539" s="1186"/>
      <c r="AH539" s="1222"/>
      <c r="AI539" s="1222"/>
      <c r="AJ539" s="1222"/>
      <c r="AK539" s="1222"/>
      <c r="AL539" s="1222"/>
      <c r="AM539" s="1222"/>
      <c r="AN539" s="1222"/>
      <c r="AO539" s="1222"/>
      <c r="AP539" s="1222"/>
      <c r="AQ539" s="1222"/>
      <c r="AR539" s="1222"/>
      <c r="AS539" s="1222"/>
      <c r="AT539" s="1222"/>
      <c r="AU539" s="1120"/>
      <c r="AV539" s="445"/>
      <c r="AW539" s="607"/>
      <c r="AX539" s="607"/>
      <c r="AY539" s="607"/>
      <c r="AZ539" s="1209"/>
      <c r="BA539" s="1209"/>
    </row>
    <row r="540" spans="2:53" s="256" customFormat="1" ht="24.95" customHeight="1">
      <c r="B540" s="445"/>
      <c r="C540" s="204"/>
      <c r="D540" s="204"/>
      <c r="E540" s="204"/>
      <c r="F540" s="368"/>
      <c r="G540" s="1134"/>
      <c r="H540" s="401"/>
      <c r="I540" s="317"/>
      <c r="N540" s="317"/>
      <c r="O540" s="1135"/>
      <c r="P540" s="1136"/>
      <c r="Q540" s="1137"/>
      <c r="R540" s="1120"/>
      <c r="S540" s="1120"/>
      <c r="T540" s="1120"/>
      <c r="U540" s="1120"/>
      <c r="V540" s="1120"/>
      <c r="W540" s="1120"/>
      <c r="Z540" s="1145"/>
      <c r="AA540" s="1120"/>
      <c r="AB540" s="1120"/>
      <c r="AC540" s="1120"/>
      <c r="AD540" s="1212"/>
      <c r="AE540" s="1212"/>
      <c r="AF540" s="1186"/>
      <c r="AG540" s="1186"/>
      <c r="AH540" s="1222"/>
      <c r="AI540" s="1222"/>
      <c r="AJ540" s="1222"/>
      <c r="AK540" s="1222"/>
      <c r="AL540" s="1222"/>
      <c r="AM540" s="1222"/>
      <c r="AN540" s="1222"/>
      <c r="AO540" s="1222"/>
      <c r="AP540" s="1222"/>
      <c r="AQ540" s="1222"/>
      <c r="AR540" s="1222"/>
      <c r="AS540" s="1222"/>
      <c r="AT540" s="1222"/>
      <c r="AU540" s="1120"/>
      <c r="AV540" s="445"/>
      <c r="AW540" s="607"/>
      <c r="AX540" s="607"/>
      <c r="AY540" s="607"/>
      <c r="AZ540" s="1209"/>
      <c r="BA540" s="1209"/>
    </row>
    <row r="541" spans="2:53" s="256" customFormat="1" ht="24.95" customHeight="1">
      <c r="B541" s="445"/>
      <c r="C541" s="204"/>
      <c r="D541" s="204"/>
      <c r="E541" s="204"/>
      <c r="F541" s="368"/>
      <c r="G541" s="1134"/>
      <c r="H541" s="401"/>
      <c r="I541" s="317"/>
      <c r="N541" s="317"/>
      <c r="O541" s="1135"/>
      <c r="P541" s="1136"/>
      <c r="Q541" s="1137"/>
      <c r="R541" s="1120"/>
      <c r="S541" s="1120"/>
      <c r="T541" s="1120"/>
      <c r="U541" s="1120"/>
      <c r="V541" s="1120"/>
      <c r="W541" s="1120"/>
      <c r="Z541" s="1145"/>
      <c r="AA541" s="1120"/>
      <c r="AB541" s="1120"/>
      <c r="AC541" s="1120"/>
      <c r="AD541" s="1212"/>
      <c r="AE541" s="1212"/>
      <c r="AF541" s="1186"/>
      <c r="AG541" s="1186"/>
      <c r="AH541" s="1222"/>
      <c r="AI541" s="1222"/>
      <c r="AJ541" s="1222"/>
      <c r="AK541" s="1222"/>
      <c r="AL541" s="1222"/>
      <c r="AM541" s="1222"/>
      <c r="AN541" s="1222"/>
      <c r="AO541" s="1222"/>
      <c r="AP541" s="1222"/>
      <c r="AQ541" s="1222"/>
      <c r="AR541" s="1222"/>
      <c r="AS541" s="1222"/>
      <c r="AT541" s="1222"/>
      <c r="AU541" s="1120"/>
      <c r="AV541" s="445"/>
      <c r="AW541" s="607"/>
      <c r="AX541" s="607"/>
      <c r="AY541" s="607"/>
      <c r="AZ541" s="1209"/>
      <c r="BA541" s="1209"/>
    </row>
    <row r="542" spans="2:53" s="256" customFormat="1" ht="24.95" customHeight="1">
      <c r="B542" s="445"/>
      <c r="C542" s="204"/>
      <c r="D542" s="204"/>
      <c r="E542" s="204"/>
      <c r="F542" s="368"/>
      <c r="G542" s="1134"/>
      <c r="H542" s="401"/>
      <c r="I542" s="317"/>
      <c r="N542" s="317"/>
      <c r="O542" s="1135"/>
      <c r="P542" s="1136"/>
      <c r="Q542" s="1137"/>
      <c r="R542" s="1120"/>
      <c r="S542" s="1120"/>
      <c r="T542" s="1120"/>
      <c r="U542" s="1120"/>
      <c r="V542" s="1120"/>
      <c r="W542" s="1120"/>
      <c r="Z542" s="1145"/>
      <c r="AA542" s="1120"/>
      <c r="AB542" s="1120"/>
      <c r="AC542" s="1120"/>
      <c r="AD542" s="1212"/>
      <c r="AE542" s="1212"/>
      <c r="AF542" s="1186"/>
      <c r="AG542" s="1186"/>
      <c r="AH542" s="1222"/>
      <c r="AI542" s="1222"/>
      <c r="AJ542" s="1222"/>
      <c r="AK542" s="1222"/>
      <c r="AL542" s="1222"/>
      <c r="AM542" s="1222"/>
      <c r="AN542" s="1222"/>
      <c r="AO542" s="1222"/>
      <c r="AP542" s="1222"/>
      <c r="AQ542" s="1222"/>
      <c r="AR542" s="1222"/>
      <c r="AS542" s="1222"/>
      <c r="AT542" s="1222"/>
      <c r="AU542" s="1120"/>
      <c r="AV542" s="445"/>
      <c r="AW542" s="607"/>
      <c r="AX542" s="607"/>
      <c r="AY542" s="607"/>
      <c r="AZ542" s="1209"/>
      <c r="BA542" s="1209"/>
    </row>
    <row r="543" spans="2:53" s="256" customFormat="1" ht="24.95" customHeight="1">
      <c r="B543" s="445"/>
      <c r="C543" s="204"/>
      <c r="D543" s="204"/>
      <c r="E543" s="204"/>
      <c r="F543" s="368"/>
      <c r="G543" s="1134"/>
      <c r="H543" s="401"/>
      <c r="I543" s="317"/>
      <c r="N543" s="317"/>
      <c r="O543" s="1135"/>
      <c r="P543" s="1136"/>
      <c r="Q543" s="1137"/>
      <c r="R543" s="1120"/>
      <c r="S543" s="1120"/>
      <c r="T543" s="1120"/>
      <c r="U543" s="1120"/>
      <c r="V543" s="1120"/>
      <c r="W543" s="1120"/>
      <c r="Z543" s="1145"/>
      <c r="AA543" s="1120"/>
      <c r="AB543" s="1120"/>
      <c r="AC543" s="1120"/>
      <c r="AD543" s="1212"/>
      <c r="AE543" s="1212"/>
      <c r="AF543" s="1186"/>
      <c r="AG543" s="1186"/>
      <c r="AH543" s="1222"/>
      <c r="AI543" s="1222"/>
      <c r="AJ543" s="1222"/>
      <c r="AK543" s="1222"/>
      <c r="AL543" s="1222"/>
      <c r="AM543" s="1222"/>
      <c r="AN543" s="1222"/>
      <c r="AO543" s="1222"/>
      <c r="AP543" s="1222"/>
      <c r="AQ543" s="1222"/>
      <c r="AR543" s="1222"/>
      <c r="AS543" s="1222"/>
      <c r="AT543" s="1222"/>
      <c r="AU543" s="1120"/>
      <c r="AV543" s="445"/>
      <c r="AW543" s="607"/>
      <c r="AX543" s="607"/>
      <c r="AY543" s="607"/>
      <c r="AZ543" s="1209"/>
      <c r="BA543" s="1209"/>
    </row>
    <row r="544" spans="2:53" s="256" customFormat="1" ht="24.95" customHeight="1">
      <c r="B544" s="445"/>
      <c r="C544" s="204"/>
      <c r="D544" s="204"/>
      <c r="E544" s="204"/>
      <c r="F544" s="368"/>
      <c r="G544" s="1134"/>
      <c r="H544" s="401"/>
      <c r="I544" s="317"/>
      <c r="N544" s="317"/>
      <c r="O544" s="1135"/>
      <c r="P544" s="1136"/>
      <c r="Q544" s="1137"/>
      <c r="R544" s="1120"/>
      <c r="S544" s="1120"/>
      <c r="T544" s="1120"/>
      <c r="U544" s="1120"/>
      <c r="V544" s="1120"/>
      <c r="W544" s="1120"/>
      <c r="Z544" s="1145"/>
      <c r="AA544" s="1120"/>
      <c r="AB544" s="1120"/>
      <c r="AC544" s="1120"/>
      <c r="AD544" s="1212"/>
      <c r="AE544" s="1212"/>
      <c r="AF544" s="1186"/>
      <c r="AG544" s="1186"/>
      <c r="AH544" s="1222"/>
      <c r="AI544" s="1222"/>
      <c r="AJ544" s="1222"/>
      <c r="AK544" s="1222"/>
      <c r="AL544" s="1222"/>
      <c r="AM544" s="1222"/>
      <c r="AN544" s="1222"/>
      <c r="AO544" s="1222"/>
      <c r="AP544" s="1222"/>
      <c r="AQ544" s="1222"/>
      <c r="AR544" s="1222"/>
      <c r="AS544" s="1222"/>
      <c r="AT544" s="1222"/>
      <c r="AU544" s="1120"/>
      <c r="AV544" s="445"/>
      <c r="AW544" s="607"/>
      <c r="AX544" s="607"/>
      <c r="AY544" s="607"/>
      <c r="AZ544" s="1209"/>
      <c r="BA544" s="1209"/>
    </row>
    <row r="545" spans="2:53" s="256" customFormat="1" ht="24.95" customHeight="1">
      <c r="B545" s="445"/>
      <c r="C545" s="204"/>
      <c r="D545" s="204"/>
      <c r="E545" s="204"/>
      <c r="F545" s="368"/>
      <c r="G545" s="1134"/>
      <c r="H545" s="401"/>
      <c r="I545" s="317"/>
      <c r="N545" s="317"/>
      <c r="O545" s="1135"/>
      <c r="P545" s="1136"/>
      <c r="Q545" s="1137"/>
      <c r="R545" s="1120"/>
      <c r="S545" s="1120"/>
      <c r="T545" s="1120"/>
      <c r="U545" s="1120"/>
      <c r="V545" s="1120"/>
      <c r="W545" s="1120"/>
      <c r="Z545" s="1145"/>
      <c r="AA545" s="1120"/>
      <c r="AB545" s="1120"/>
      <c r="AC545" s="1120"/>
      <c r="AD545" s="1212"/>
      <c r="AE545" s="1212"/>
      <c r="AF545" s="1186"/>
      <c r="AG545" s="1186"/>
      <c r="AH545" s="1222"/>
      <c r="AI545" s="1222"/>
      <c r="AJ545" s="1222"/>
      <c r="AK545" s="1222"/>
      <c r="AL545" s="1222"/>
      <c r="AM545" s="1222"/>
      <c r="AN545" s="1222"/>
      <c r="AO545" s="1222"/>
      <c r="AP545" s="1222"/>
      <c r="AQ545" s="1222"/>
      <c r="AR545" s="1222"/>
      <c r="AS545" s="1222"/>
      <c r="AT545" s="1222"/>
      <c r="AU545" s="1120"/>
      <c r="AV545" s="445"/>
      <c r="AW545" s="607"/>
      <c r="AX545" s="607"/>
      <c r="AY545" s="607"/>
      <c r="AZ545" s="1209"/>
      <c r="BA545" s="1209"/>
    </row>
    <row r="546" spans="2:53" s="256" customFormat="1" ht="24.95" customHeight="1">
      <c r="B546" s="445"/>
      <c r="C546" s="204"/>
      <c r="D546" s="204"/>
      <c r="E546" s="204"/>
      <c r="F546" s="368"/>
      <c r="G546" s="1134"/>
      <c r="H546" s="401"/>
      <c r="I546" s="317"/>
      <c r="N546" s="317"/>
      <c r="O546" s="1135"/>
      <c r="P546" s="1136"/>
      <c r="Q546" s="1137"/>
      <c r="R546" s="1120"/>
      <c r="S546" s="1120"/>
      <c r="T546" s="1120"/>
      <c r="U546" s="1120"/>
      <c r="V546" s="1120"/>
      <c r="W546" s="1120"/>
      <c r="Z546" s="1145"/>
      <c r="AA546" s="1120"/>
      <c r="AB546" s="1120"/>
      <c r="AC546" s="1120"/>
      <c r="AD546" s="1212"/>
      <c r="AE546" s="1212"/>
      <c r="AF546" s="1186"/>
      <c r="AG546" s="1186"/>
      <c r="AH546" s="1222"/>
      <c r="AI546" s="1222"/>
      <c r="AJ546" s="1222"/>
      <c r="AK546" s="1222"/>
      <c r="AL546" s="1222"/>
      <c r="AM546" s="1222"/>
      <c r="AN546" s="1222"/>
      <c r="AO546" s="1222"/>
      <c r="AP546" s="1222"/>
      <c r="AQ546" s="1222"/>
      <c r="AR546" s="1222"/>
      <c r="AS546" s="1222"/>
      <c r="AT546" s="1222"/>
      <c r="AU546" s="1120"/>
      <c r="AV546" s="445"/>
      <c r="AW546" s="607"/>
      <c r="AX546" s="607"/>
      <c r="AY546" s="607"/>
      <c r="AZ546" s="1209"/>
      <c r="BA546" s="1209"/>
    </row>
    <row r="547" spans="2:53" s="256" customFormat="1" ht="24.95" customHeight="1">
      <c r="B547" s="445"/>
      <c r="C547" s="204"/>
      <c r="D547" s="204"/>
      <c r="E547" s="204"/>
      <c r="F547" s="368"/>
      <c r="G547" s="1134"/>
      <c r="H547" s="401"/>
      <c r="I547" s="317"/>
      <c r="N547" s="317"/>
      <c r="O547" s="1135"/>
      <c r="P547" s="1136"/>
      <c r="Q547" s="1137"/>
      <c r="R547" s="1120"/>
      <c r="S547" s="1120"/>
      <c r="T547" s="1120"/>
      <c r="U547" s="1120"/>
      <c r="V547" s="1120"/>
      <c r="W547" s="1120"/>
      <c r="Z547" s="1145"/>
      <c r="AA547" s="1120"/>
      <c r="AB547" s="1120"/>
      <c r="AC547" s="1120"/>
      <c r="AD547" s="1212"/>
      <c r="AE547" s="1212"/>
      <c r="AF547" s="1186"/>
      <c r="AG547" s="1186"/>
      <c r="AH547" s="1222"/>
      <c r="AI547" s="1222"/>
      <c r="AJ547" s="1222"/>
      <c r="AK547" s="1222"/>
      <c r="AL547" s="1222"/>
      <c r="AM547" s="1222"/>
      <c r="AN547" s="1222"/>
      <c r="AO547" s="1222"/>
      <c r="AP547" s="1222"/>
      <c r="AQ547" s="1222"/>
      <c r="AR547" s="1222"/>
      <c r="AS547" s="1222"/>
      <c r="AT547" s="1222"/>
      <c r="AU547" s="1120"/>
      <c r="AV547" s="445"/>
      <c r="AW547" s="607"/>
      <c r="AX547" s="607"/>
      <c r="AY547" s="607"/>
      <c r="AZ547" s="1209"/>
      <c r="BA547" s="1209"/>
    </row>
    <row r="548" spans="2:53" s="256" customFormat="1" ht="24.95" customHeight="1">
      <c r="B548" s="445"/>
      <c r="C548" s="204"/>
      <c r="D548" s="204"/>
      <c r="E548" s="204"/>
      <c r="F548" s="368"/>
      <c r="G548" s="1134"/>
      <c r="H548" s="401"/>
      <c r="I548" s="317"/>
      <c r="N548" s="317"/>
      <c r="O548" s="1135"/>
      <c r="P548" s="1136"/>
      <c r="Q548" s="1137"/>
      <c r="R548" s="1120"/>
      <c r="S548" s="1120"/>
      <c r="T548" s="1120"/>
      <c r="U548" s="1120"/>
      <c r="V548" s="1120"/>
      <c r="W548" s="1120"/>
      <c r="Z548" s="1145"/>
      <c r="AA548" s="1120"/>
      <c r="AB548" s="1120"/>
      <c r="AC548" s="1120"/>
      <c r="AD548" s="1212"/>
      <c r="AE548" s="1212"/>
      <c r="AF548" s="1186"/>
      <c r="AG548" s="1186"/>
      <c r="AH548" s="1222"/>
      <c r="AI548" s="1222"/>
      <c r="AJ548" s="1222"/>
      <c r="AK548" s="1222"/>
      <c r="AL548" s="1222"/>
      <c r="AM548" s="1222"/>
      <c r="AN548" s="1222"/>
      <c r="AO548" s="1222"/>
      <c r="AP548" s="1222"/>
      <c r="AQ548" s="1222"/>
      <c r="AR548" s="1222"/>
      <c r="AS548" s="1222"/>
      <c r="AT548" s="1222"/>
      <c r="AU548" s="1120"/>
      <c r="AV548" s="445"/>
      <c r="AW548" s="607"/>
      <c r="AX548" s="607"/>
      <c r="AY548" s="607"/>
      <c r="AZ548" s="1209"/>
      <c r="BA548" s="1209"/>
    </row>
    <row r="549" spans="2:53" s="256" customFormat="1" ht="24.95" customHeight="1">
      <c r="B549" s="445"/>
      <c r="C549" s="204"/>
      <c r="D549" s="204"/>
      <c r="E549" s="204"/>
      <c r="F549" s="368"/>
      <c r="G549" s="1134"/>
      <c r="H549" s="401"/>
      <c r="I549" s="317"/>
      <c r="N549" s="317"/>
      <c r="O549" s="1135"/>
      <c r="P549" s="1136"/>
      <c r="Q549" s="1137"/>
      <c r="R549" s="1120"/>
      <c r="S549" s="1120"/>
      <c r="T549" s="1120"/>
      <c r="U549" s="1120"/>
      <c r="V549" s="1120"/>
      <c r="W549" s="1120"/>
      <c r="Z549" s="1145"/>
      <c r="AA549" s="1120"/>
      <c r="AB549" s="1120"/>
      <c r="AC549" s="1120"/>
      <c r="AD549" s="1212"/>
      <c r="AE549" s="1212"/>
      <c r="AF549" s="1186"/>
      <c r="AG549" s="1186"/>
      <c r="AH549" s="1222"/>
      <c r="AI549" s="1222"/>
      <c r="AJ549" s="1222"/>
      <c r="AK549" s="1222"/>
      <c r="AL549" s="1222"/>
      <c r="AM549" s="1222"/>
      <c r="AN549" s="1222"/>
      <c r="AO549" s="1222"/>
      <c r="AP549" s="1222"/>
      <c r="AQ549" s="1222"/>
      <c r="AR549" s="1222"/>
      <c r="AS549" s="1222"/>
      <c r="AT549" s="1222"/>
      <c r="AU549" s="1120"/>
      <c r="AV549" s="445"/>
      <c r="AW549" s="607"/>
      <c r="AX549" s="607"/>
      <c r="AY549" s="607"/>
      <c r="AZ549" s="1209"/>
      <c r="BA549" s="1209"/>
    </row>
    <row r="550" spans="2:53" s="256" customFormat="1" ht="24.95" customHeight="1">
      <c r="B550" s="445"/>
      <c r="C550" s="204"/>
      <c r="D550" s="204"/>
      <c r="E550" s="204"/>
      <c r="F550" s="368"/>
      <c r="G550" s="1134"/>
      <c r="H550" s="401"/>
      <c r="I550" s="317"/>
      <c r="N550" s="317"/>
      <c r="O550" s="1135"/>
      <c r="P550" s="1136"/>
      <c r="Q550" s="1137"/>
      <c r="R550" s="1120"/>
      <c r="S550" s="1120"/>
      <c r="T550" s="1120"/>
      <c r="U550" s="1120"/>
      <c r="V550" s="1120"/>
      <c r="W550" s="1120"/>
      <c r="Z550" s="1145"/>
      <c r="AA550" s="1120"/>
      <c r="AB550" s="1120"/>
      <c r="AC550" s="1120"/>
      <c r="AD550" s="1212"/>
      <c r="AE550" s="1212"/>
      <c r="AF550" s="1186"/>
      <c r="AG550" s="1186"/>
      <c r="AH550" s="1222"/>
      <c r="AI550" s="1222"/>
      <c r="AJ550" s="1222"/>
      <c r="AK550" s="1222"/>
      <c r="AL550" s="1222"/>
      <c r="AM550" s="1222"/>
      <c r="AN550" s="1222"/>
      <c r="AO550" s="1222"/>
      <c r="AP550" s="1222"/>
      <c r="AQ550" s="1222"/>
      <c r="AR550" s="1222"/>
      <c r="AS550" s="1222"/>
      <c r="AT550" s="1222"/>
      <c r="AU550" s="1120"/>
      <c r="AV550" s="445"/>
      <c r="AW550" s="607"/>
      <c r="AX550" s="607"/>
      <c r="AY550" s="607"/>
      <c r="AZ550" s="1209"/>
      <c r="BA550" s="1209"/>
    </row>
    <row r="551" spans="2:53" s="256" customFormat="1" ht="24.95" customHeight="1">
      <c r="B551" s="445"/>
      <c r="C551" s="204"/>
      <c r="D551" s="204"/>
      <c r="E551" s="204"/>
      <c r="F551" s="368"/>
      <c r="G551" s="1134"/>
      <c r="H551" s="401"/>
      <c r="I551" s="317"/>
      <c r="N551" s="317"/>
      <c r="O551" s="1135"/>
      <c r="P551" s="1136"/>
      <c r="Q551" s="1137"/>
      <c r="R551" s="1120"/>
      <c r="S551" s="1120"/>
      <c r="T551" s="1120"/>
      <c r="U551" s="1120"/>
      <c r="V551" s="1120"/>
      <c r="W551" s="1120"/>
      <c r="Z551" s="1145"/>
      <c r="AA551" s="1120"/>
      <c r="AB551" s="1120"/>
      <c r="AC551" s="1120"/>
      <c r="AD551" s="1212"/>
      <c r="AE551" s="1212"/>
      <c r="AF551" s="1186"/>
      <c r="AG551" s="1186"/>
      <c r="AH551" s="1222"/>
      <c r="AI551" s="1222"/>
      <c r="AJ551" s="1222"/>
      <c r="AK551" s="1222"/>
      <c r="AL551" s="1222"/>
      <c r="AM551" s="1222"/>
      <c r="AN551" s="1222"/>
      <c r="AO551" s="1222"/>
      <c r="AP551" s="1222"/>
      <c r="AQ551" s="1222"/>
      <c r="AR551" s="1222"/>
      <c r="AS551" s="1222"/>
      <c r="AT551" s="1222"/>
      <c r="AU551" s="1120"/>
      <c r="AV551" s="445"/>
      <c r="AW551" s="607"/>
      <c r="AX551" s="607"/>
      <c r="AY551" s="607"/>
      <c r="AZ551" s="1209"/>
      <c r="BA551" s="1209"/>
    </row>
    <row r="552" spans="2:53" s="256" customFormat="1" ht="24.95" customHeight="1">
      <c r="B552" s="445"/>
      <c r="C552" s="204"/>
      <c r="D552" s="204"/>
      <c r="E552" s="204"/>
      <c r="F552" s="368"/>
      <c r="G552" s="1134"/>
      <c r="H552" s="401"/>
      <c r="I552" s="317"/>
      <c r="N552" s="317"/>
      <c r="O552" s="1135"/>
      <c r="P552" s="1136"/>
      <c r="Q552" s="1137"/>
      <c r="R552" s="1120"/>
      <c r="S552" s="1120"/>
      <c r="T552" s="1120"/>
      <c r="U552" s="1120"/>
      <c r="V552" s="1120"/>
      <c r="W552" s="1120"/>
      <c r="Z552" s="1145"/>
      <c r="AA552" s="1120"/>
      <c r="AB552" s="1120"/>
      <c r="AC552" s="1120"/>
      <c r="AD552" s="1212"/>
      <c r="AE552" s="1212"/>
      <c r="AF552" s="1186"/>
      <c r="AG552" s="1186"/>
      <c r="AH552" s="1222"/>
      <c r="AI552" s="1222"/>
      <c r="AJ552" s="1222"/>
      <c r="AK552" s="1222"/>
      <c r="AL552" s="1222"/>
      <c r="AM552" s="1222"/>
      <c r="AN552" s="1222"/>
      <c r="AO552" s="1222"/>
      <c r="AP552" s="1222"/>
      <c r="AQ552" s="1222"/>
      <c r="AR552" s="1222"/>
      <c r="AS552" s="1222"/>
      <c r="AT552" s="1222"/>
      <c r="AU552" s="1120"/>
      <c r="AV552" s="445"/>
      <c r="AW552" s="607"/>
      <c r="AX552" s="607"/>
      <c r="AY552" s="607"/>
      <c r="AZ552" s="1209"/>
      <c r="BA552" s="1209"/>
    </row>
    <row r="553" spans="2:53" s="256" customFormat="1" ht="24.95" customHeight="1">
      <c r="B553" s="445"/>
      <c r="C553" s="204"/>
      <c r="D553" s="204"/>
      <c r="E553" s="204"/>
      <c r="F553" s="368"/>
      <c r="G553" s="1134"/>
      <c r="H553" s="401"/>
      <c r="I553" s="317"/>
      <c r="N553" s="317"/>
      <c r="O553" s="1135"/>
      <c r="P553" s="1136"/>
      <c r="Q553" s="1137"/>
      <c r="R553" s="1120"/>
      <c r="S553" s="1120"/>
      <c r="T553" s="1120"/>
      <c r="U553" s="1120"/>
      <c r="V553" s="1120"/>
      <c r="W553" s="1120"/>
      <c r="Z553" s="1145"/>
      <c r="AA553" s="1120"/>
      <c r="AB553" s="1120"/>
      <c r="AC553" s="1120"/>
      <c r="AD553" s="1212"/>
      <c r="AE553" s="1212"/>
      <c r="AF553" s="1186"/>
      <c r="AG553" s="1186"/>
      <c r="AH553" s="1222"/>
      <c r="AI553" s="1222"/>
      <c r="AJ553" s="1222"/>
      <c r="AK553" s="1222"/>
      <c r="AL553" s="1222"/>
      <c r="AM553" s="1222"/>
      <c r="AN553" s="1222"/>
      <c r="AO553" s="1222"/>
      <c r="AP553" s="1222"/>
      <c r="AQ553" s="1222"/>
      <c r="AR553" s="1222"/>
      <c r="AS553" s="1222"/>
      <c r="AT553" s="1222"/>
      <c r="AU553" s="1120"/>
      <c r="AV553" s="445"/>
      <c r="AW553" s="607"/>
      <c r="AX553" s="607"/>
      <c r="AY553" s="607"/>
      <c r="AZ553" s="1209"/>
      <c r="BA553" s="1209"/>
    </row>
    <row r="554" spans="2:53" s="256" customFormat="1" ht="24.95" customHeight="1">
      <c r="B554" s="445"/>
      <c r="C554" s="204"/>
      <c r="D554" s="204"/>
      <c r="E554" s="204"/>
      <c r="F554" s="368"/>
      <c r="G554" s="1134"/>
      <c r="H554" s="401"/>
      <c r="I554" s="317"/>
      <c r="N554" s="317"/>
      <c r="O554" s="1135"/>
      <c r="P554" s="1136"/>
      <c r="Q554" s="1137"/>
      <c r="R554" s="1120"/>
      <c r="S554" s="1120"/>
      <c r="T554" s="1120"/>
      <c r="U554" s="1120"/>
      <c r="V554" s="1120"/>
      <c r="W554" s="1120"/>
      <c r="Z554" s="1145"/>
      <c r="AA554" s="1120"/>
      <c r="AB554" s="1120"/>
      <c r="AC554" s="1120"/>
      <c r="AD554" s="1212"/>
      <c r="AE554" s="1212"/>
      <c r="AF554" s="1186"/>
      <c r="AG554" s="1186"/>
      <c r="AH554" s="1222"/>
      <c r="AI554" s="1222"/>
      <c r="AJ554" s="1222"/>
      <c r="AK554" s="1222"/>
      <c r="AL554" s="1222"/>
      <c r="AM554" s="1222"/>
      <c r="AN554" s="1222"/>
      <c r="AO554" s="1222"/>
      <c r="AP554" s="1222"/>
      <c r="AQ554" s="1222"/>
      <c r="AR554" s="1222"/>
      <c r="AS554" s="1222"/>
      <c r="AT554" s="1222"/>
      <c r="AU554" s="1120"/>
      <c r="AV554" s="445"/>
      <c r="AW554" s="607"/>
      <c r="AX554" s="607"/>
      <c r="AY554" s="607"/>
      <c r="AZ554" s="1209"/>
      <c r="BA554" s="1209"/>
    </row>
    <row r="555" spans="2:53" s="256" customFormat="1" ht="24.95" customHeight="1">
      <c r="B555" s="445"/>
      <c r="C555" s="204"/>
      <c r="D555" s="204"/>
      <c r="E555" s="204"/>
      <c r="F555" s="368"/>
      <c r="G555" s="1134"/>
      <c r="H555" s="401"/>
      <c r="I555" s="317"/>
      <c r="N555" s="317"/>
      <c r="O555" s="1135"/>
      <c r="P555" s="1136"/>
      <c r="Q555" s="1137"/>
      <c r="R555" s="1120"/>
      <c r="S555" s="1120"/>
      <c r="T555" s="1120"/>
      <c r="U555" s="1120"/>
      <c r="V555" s="1120"/>
      <c r="W555" s="1120"/>
      <c r="Z555" s="1145"/>
      <c r="AA555" s="1120"/>
      <c r="AB555" s="1120"/>
      <c r="AC555" s="1120"/>
      <c r="AD555" s="1212"/>
      <c r="AE555" s="1212"/>
      <c r="AF555" s="1186"/>
      <c r="AG555" s="1186"/>
      <c r="AH555" s="1222"/>
      <c r="AI555" s="1222"/>
      <c r="AJ555" s="1222"/>
      <c r="AK555" s="1222"/>
      <c r="AL555" s="1222"/>
      <c r="AM555" s="1222"/>
      <c r="AN555" s="1222"/>
      <c r="AO555" s="1222"/>
      <c r="AP555" s="1222"/>
      <c r="AQ555" s="1222"/>
      <c r="AR555" s="1222"/>
      <c r="AS555" s="1222"/>
      <c r="AT555" s="1222"/>
      <c r="AU555" s="1120"/>
      <c r="AV555" s="445"/>
      <c r="AW555" s="607"/>
      <c r="AX555" s="607"/>
      <c r="AY555" s="607"/>
      <c r="AZ555" s="1209"/>
      <c r="BA555" s="1209"/>
    </row>
    <row r="556" spans="2:53" s="256" customFormat="1" ht="24.95" customHeight="1">
      <c r="B556" s="445"/>
      <c r="C556" s="204"/>
      <c r="D556" s="204"/>
      <c r="E556" s="204"/>
      <c r="F556" s="368"/>
      <c r="G556" s="1134"/>
      <c r="H556" s="401"/>
      <c r="I556" s="317"/>
      <c r="N556" s="317"/>
      <c r="O556" s="1135"/>
      <c r="P556" s="1136"/>
      <c r="Q556" s="1137"/>
      <c r="R556" s="1120"/>
      <c r="S556" s="1120"/>
      <c r="T556" s="1120"/>
      <c r="U556" s="1120"/>
      <c r="V556" s="1120"/>
      <c r="W556" s="1120"/>
      <c r="Z556" s="1145"/>
      <c r="AA556" s="1120"/>
      <c r="AB556" s="1120"/>
      <c r="AC556" s="1120"/>
      <c r="AD556" s="1212"/>
      <c r="AE556" s="1212"/>
      <c r="AF556" s="1186"/>
      <c r="AG556" s="1186"/>
      <c r="AH556" s="1222"/>
      <c r="AI556" s="1222"/>
      <c r="AJ556" s="1222"/>
      <c r="AK556" s="1222"/>
      <c r="AL556" s="1222"/>
      <c r="AM556" s="1222"/>
      <c r="AN556" s="1222"/>
      <c r="AO556" s="1222"/>
      <c r="AP556" s="1222"/>
      <c r="AQ556" s="1222"/>
      <c r="AR556" s="1222"/>
      <c r="AS556" s="1222"/>
      <c r="AT556" s="1222"/>
      <c r="AU556" s="1120"/>
      <c r="AV556" s="445"/>
      <c r="AW556" s="607"/>
      <c r="AX556" s="607"/>
      <c r="AY556" s="607"/>
      <c r="AZ556" s="1209"/>
      <c r="BA556" s="1209"/>
    </row>
    <row r="557" spans="2:53" s="256" customFormat="1" ht="24.95" customHeight="1">
      <c r="B557" s="445"/>
      <c r="C557" s="204"/>
      <c r="D557" s="204"/>
      <c r="E557" s="204"/>
      <c r="F557" s="368"/>
      <c r="G557" s="1134"/>
      <c r="H557" s="401"/>
      <c r="I557" s="317"/>
      <c r="N557" s="317"/>
      <c r="O557" s="1135"/>
      <c r="P557" s="1136"/>
      <c r="Q557" s="1137"/>
      <c r="R557" s="1120"/>
      <c r="S557" s="1120"/>
      <c r="T557" s="1120"/>
      <c r="U557" s="1120"/>
      <c r="V557" s="1120"/>
      <c r="W557" s="1120"/>
      <c r="Z557" s="1145"/>
      <c r="AA557" s="1120"/>
      <c r="AB557" s="1120"/>
      <c r="AC557" s="1120"/>
      <c r="AD557" s="1212"/>
      <c r="AE557" s="1212"/>
      <c r="AF557" s="1186"/>
      <c r="AG557" s="1186"/>
      <c r="AH557" s="1222"/>
      <c r="AI557" s="1222"/>
      <c r="AJ557" s="1222"/>
      <c r="AK557" s="1222"/>
      <c r="AL557" s="1222"/>
      <c r="AM557" s="1222"/>
      <c r="AN557" s="1222"/>
      <c r="AO557" s="1222"/>
      <c r="AP557" s="1222"/>
      <c r="AQ557" s="1222"/>
      <c r="AR557" s="1222"/>
      <c r="AS557" s="1222"/>
      <c r="AT557" s="1222"/>
      <c r="AU557" s="1120"/>
      <c r="AV557" s="445"/>
      <c r="AW557" s="607"/>
      <c r="AX557" s="607"/>
      <c r="AY557" s="607"/>
      <c r="AZ557" s="1209"/>
      <c r="BA557" s="1209"/>
    </row>
    <row r="558" spans="2:53" s="256" customFormat="1" ht="24.95" customHeight="1">
      <c r="B558" s="445"/>
      <c r="C558" s="204"/>
      <c r="D558" s="204"/>
      <c r="E558" s="204"/>
      <c r="F558" s="368"/>
      <c r="G558" s="1134"/>
      <c r="H558" s="401"/>
      <c r="I558" s="317"/>
      <c r="N558" s="317"/>
      <c r="O558" s="1135"/>
      <c r="P558" s="1136"/>
      <c r="Q558" s="1137"/>
      <c r="R558" s="1120"/>
      <c r="S558" s="1120"/>
      <c r="T558" s="1120"/>
      <c r="U558" s="1120"/>
      <c r="V558" s="1120"/>
      <c r="W558" s="1120"/>
      <c r="Z558" s="1145"/>
      <c r="AA558" s="1120"/>
      <c r="AB558" s="1120"/>
      <c r="AC558" s="1120"/>
      <c r="AD558" s="1212"/>
      <c r="AE558" s="1212"/>
      <c r="AF558" s="1186"/>
      <c r="AG558" s="1186"/>
      <c r="AH558" s="1222"/>
      <c r="AI558" s="1222"/>
      <c r="AJ558" s="1222"/>
      <c r="AK558" s="1222"/>
      <c r="AL558" s="1222"/>
      <c r="AM558" s="1222"/>
      <c r="AN558" s="1222"/>
      <c r="AO558" s="1222"/>
      <c r="AP558" s="1222"/>
      <c r="AQ558" s="1222"/>
      <c r="AR558" s="1222"/>
      <c r="AS558" s="1222"/>
      <c r="AT558" s="1222"/>
      <c r="AU558" s="1120"/>
      <c r="AV558" s="445"/>
      <c r="AW558" s="607"/>
      <c r="AX558" s="607"/>
      <c r="AY558" s="607"/>
      <c r="AZ558" s="1209"/>
      <c r="BA558" s="1209"/>
    </row>
    <row r="559" spans="2:53" s="256" customFormat="1" ht="24.95" customHeight="1">
      <c r="B559" s="445"/>
      <c r="C559" s="204"/>
      <c r="D559" s="204"/>
      <c r="E559" s="204"/>
      <c r="F559" s="368"/>
      <c r="G559" s="1134"/>
      <c r="H559" s="401"/>
      <c r="I559" s="317"/>
      <c r="N559" s="317"/>
      <c r="O559" s="1135"/>
      <c r="P559" s="1136"/>
      <c r="Q559" s="1137"/>
      <c r="R559" s="1120"/>
      <c r="S559" s="1120"/>
      <c r="T559" s="1120"/>
      <c r="U559" s="1120"/>
      <c r="V559" s="1120"/>
      <c r="W559" s="1120"/>
      <c r="Z559" s="1145"/>
      <c r="AA559" s="1120"/>
      <c r="AB559" s="1120"/>
      <c r="AC559" s="1120"/>
      <c r="AD559" s="1212"/>
      <c r="AE559" s="1212"/>
      <c r="AF559" s="1186"/>
      <c r="AG559" s="1186"/>
      <c r="AH559" s="1222"/>
      <c r="AI559" s="1222"/>
      <c r="AJ559" s="1222"/>
      <c r="AK559" s="1222"/>
      <c r="AL559" s="1222"/>
      <c r="AM559" s="1222"/>
      <c r="AN559" s="1222"/>
      <c r="AO559" s="1222"/>
      <c r="AP559" s="1222"/>
      <c r="AQ559" s="1222"/>
      <c r="AR559" s="1222"/>
      <c r="AS559" s="1222"/>
      <c r="AT559" s="1222"/>
      <c r="AU559" s="1120"/>
      <c r="AV559" s="445"/>
      <c r="AW559" s="607"/>
      <c r="AX559" s="607"/>
      <c r="AY559" s="607"/>
      <c r="AZ559" s="1209"/>
      <c r="BA559" s="1209"/>
    </row>
    <row r="560" spans="2:53" s="256" customFormat="1" ht="24.95" customHeight="1">
      <c r="B560" s="445"/>
      <c r="C560" s="204"/>
      <c r="D560" s="204"/>
      <c r="E560" s="204"/>
      <c r="F560" s="368"/>
      <c r="G560" s="1134"/>
      <c r="H560" s="401"/>
      <c r="I560" s="317"/>
      <c r="N560" s="317"/>
      <c r="O560" s="1135"/>
      <c r="P560" s="1136"/>
      <c r="Q560" s="1137"/>
      <c r="R560" s="1120"/>
      <c r="S560" s="1120"/>
      <c r="T560" s="1120"/>
      <c r="U560" s="1120"/>
      <c r="V560" s="1120"/>
      <c r="W560" s="1120"/>
      <c r="Z560" s="1145"/>
      <c r="AA560" s="1120"/>
      <c r="AB560" s="1120"/>
      <c r="AC560" s="1120"/>
      <c r="AD560" s="1212"/>
      <c r="AE560" s="1212"/>
      <c r="AF560" s="1186"/>
      <c r="AG560" s="1186"/>
      <c r="AH560" s="1222"/>
      <c r="AI560" s="1222"/>
      <c r="AJ560" s="1222"/>
      <c r="AK560" s="1222"/>
      <c r="AL560" s="1222"/>
      <c r="AM560" s="1222"/>
      <c r="AN560" s="1222"/>
      <c r="AO560" s="1222"/>
      <c r="AP560" s="1222"/>
      <c r="AQ560" s="1222"/>
      <c r="AR560" s="1222"/>
      <c r="AS560" s="1222"/>
      <c r="AT560" s="1222"/>
      <c r="AU560" s="1120"/>
      <c r="AV560" s="445"/>
      <c r="AW560" s="607"/>
      <c r="AX560" s="607"/>
      <c r="AY560" s="607"/>
      <c r="AZ560" s="1209"/>
      <c r="BA560" s="1209"/>
    </row>
    <row r="561" spans="2:53" s="256" customFormat="1" ht="24.95" customHeight="1">
      <c r="B561" s="445"/>
      <c r="C561" s="204"/>
      <c r="D561" s="204"/>
      <c r="E561" s="204"/>
      <c r="F561" s="368"/>
      <c r="G561" s="1134"/>
      <c r="H561" s="401"/>
      <c r="I561" s="317"/>
      <c r="N561" s="317"/>
      <c r="O561" s="1135"/>
      <c r="P561" s="1136"/>
      <c r="Q561" s="1137"/>
      <c r="R561" s="1120"/>
      <c r="S561" s="1120"/>
      <c r="T561" s="1120"/>
      <c r="U561" s="1120"/>
      <c r="V561" s="1120"/>
      <c r="W561" s="1120"/>
      <c r="Z561" s="1145"/>
      <c r="AA561" s="1120"/>
      <c r="AB561" s="1120"/>
      <c r="AC561" s="1120"/>
      <c r="AD561" s="1212"/>
      <c r="AE561" s="1212"/>
      <c r="AF561" s="1186"/>
      <c r="AG561" s="1186"/>
      <c r="AH561" s="1222"/>
      <c r="AI561" s="1222"/>
      <c r="AJ561" s="1222"/>
      <c r="AK561" s="1222"/>
      <c r="AL561" s="1222"/>
      <c r="AM561" s="1222"/>
      <c r="AN561" s="1222"/>
      <c r="AO561" s="1222"/>
      <c r="AP561" s="1222"/>
      <c r="AQ561" s="1222"/>
      <c r="AR561" s="1222"/>
      <c r="AS561" s="1222"/>
      <c r="AT561" s="1222"/>
      <c r="AU561" s="1120"/>
      <c r="AV561" s="445"/>
      <c r="AW561" s="607"/>
      <c r="AX561" s="607"/>
      <c r="AY561" s="607"/>
      <c r="AZ561" s="1209"/>
      <c r="BA561" s="1209"/>
    </row>
    <row r="562" spans="2:53" s="256" customFormat="1" ht="24.95" customHeight="1">
      <c r="B562" s="445"/>
      <c r="C562" s="204"/>
      <c r="D562" s="204"/>
      <c r="E562" s="204"/>
      <c r="F562" s="368"/>
      <c r="G562" s="1134"/>
      <c r="H562" s="401"/>
      <c r="I562" s="317"/>
      <c r="N562" s="317"/>
      <c r="O562" s="1135"/>
      <c r="P562" s="1136"/>
      <c r="Q562" s="1137"/>
      <c r="R562" s="1120"/>
      <c r="S562" s="1120"/>
      <c r="T562" s="1120"/>
      <c r="U562" s="1120"/>
      <c r="V562" s="1120"/>
      <c r="W562" s="1120"/>
      <c r="Z562" s="1145"/>
      <c r="AA562" s="1120"/>
      <c r="AB562" s="1120"/>
      <c r="AC562" s="1120"/>
      <c r="AD562" s="1212"/>
      <c r="AE562" s="1212"/>
      <c r="AF562" s="1186"/>
      <c r="AG562" s="1186"/>
      <c r="AH562" s="1222"/>
      <c r="AI562" s="1222"/>
      <c r="AJ562" s="1222"/>
      <c r="AK562" s="1222"/>
      <c r="AL562" s="1222"/>
      <c r="AM562" s="1222"/>
      <c r="AN562" s="1222"/>
      <c r="AO562" s="1222"/>
      <c r="AP562" s="1222"/>
      <c r="AQ562" s="1222"/>
      <c r="AR562" s="1222"/>
      <c r="AS562" s="1222"/>
      <c r="AT562" s="1222"/>
      <c r="AU562" s="1120"/>
      <c r="AV562" s="445"/>
      <c r="AW562" s="607"/>
      <c r="AX562" s="607"/>
      <c r="AY562" s="607"/>
      <c r="AZ562" s="1209"/>
      <c r="BA562" s="1209"/>
    </row>
    <row r="563" spans="2:53" s="256" customFormat="1" ht="24.95" customHeight="1">
      <c r="B563" s="445"/>
      <c r="C563" s="204"/>
      <c r="D563" s="204"/>
      <c r="E563" s="204"/>
      <c r="F563" s="368"/>
      <c r="G563" s="1134"/>
      <c r="H563" s="401"/>
      <c r="I563" s="317"/>
      <c r="N563" s="317"/>
      <c r="O563" s="1135"/>
      <c r="P563" s="1136"/>
      <c r="Q563" s="1137"/>
      <c r="R563" s="1120"/>
      <c r="S563" s="1120"/>
      <c r="T563" s="1120"/>
      <c r="U563" s="1120"/>
      <c r="V563" s="1120"/>
      <c r="W563" s="1120"/>
      <c r="Z563" s="1145"/>
      <c r="AA563" s="1120"/>
      <c r="AB563" s="1120"/>
      <c r="AC563" s="1120"/>
      <c r="AD563" s="1212"/>
      <c r="AE563" s="1212"/>
      <c r="AF563" s="1186"/>
      <c r="AG563" s="1186"/>
      <c r="AH563" s="1222"/>
      <c r="AI563" s="1222"/>
      <c r="AJ563" s="1222"/>
      <c r="AK563" s="1222"/>
      <c r="AL563" s="1222"/>
      <c r="AM563" s="1222"/>
      <c r="AN563" s="1222"/>
      <c r="AO563" s="1222"/>
      <c r="AP563" s="1222"/>
      <c r="AQ563" s="1222"/>
      <c r="AR563" s="1222"/>
      <c r="AS563" s="1222"/>
      <c r="AT563" s="1222"/>
      <c r="AU563" s="1120"/>
      <c r="AV563" s="445"/>
      <c r="AW563" s="607"/>
      <c r="AX563" s="607"/>
      <c r="AY563" s="607"/>
      <c r="AZ563" s="1209"/>
      <c r="BA563" s="1209"/>
    </row>
    <row r="564" spans="2:53" s="256" customFormat="1" ht="24.95" customHeight="1">
      <c r="B564" s="445"/>
      <c r="C564" s="204"/>
      <c r="D564" s="204"/>
      <c r="E564" s="204"/>
      <c r="F564" s="368"/>
      <c r="G564" s="1134"/>
      <c r="H564" s="401"/>
      <c r="I564" s="317"/>
      <c r="N564" s="317"/>
      <c r="O564" s="1135"/>
      <c r="P564" s="1136"/>
      <c r="Q564" s="1137"/>
      <c r="R564" s="1120"/>
      <c r="S564" s="1120"/>
      <c r="T564" s="1120"/>
      <c r="U564" s="1120"/>
      <c r="V564" s="1120"/>
      <c r="W564" s="1120"/>
      <c r="Z564" s="1145"/>
      <c r="AA564" s="1120"/>
      <c r="AB564" s="1120"/>
      <c r="AC564" s="1120"/>
      <c r="AD564" s="1212"/>
      <c r="AE564" s="1212"/>
      <c r="AF564" s="1186"/>
      <c r="AG564" s="1186"/>
      <c r="AH564" s="1222"/>
      <c r="AI564" s="1222"/>
      <c r="AJ564" s="1222"/>
      <c r="AK564" s="1222"/>
      <c r="AL564" s="1222"/>
      <c r="AM564" s="1222"/>
      <c r="AN564" s="1222"/>
      <c r="AO564" s="1222"/>
      <c r="AP564" s="1222"/>
      <c r="AQ564" s="1222"/>
      <c r="AR564" s="1222"/>
      <c r="AS564" s="1222"/>
      <c r="AT564" s="1222"/>
      <c r="AU564" s="1120"/>
      <c r="AV564" s="445"/>
      <c r="AW564" s="607"/>
      <c r="AX564" s="607"/>
      <c r="AY564" s="607"/>
      <c r="AZ564" s="1209"/>
      <c r="BA564" s="1209"/>
    </row>
    <row r="565" spans="2:53" s="256" customFormat="1" ht="24.95" customHeight="1">
      <c r="B565" s="445"/>
      <c r="C565" s="204"/>
      <c r="D565" s="204"/>
      <c r="E565" s="204"/>
      <c r="F565" s="368"/>
      <c r="G565" s="1134"/>
      <c r="H565" s="401"/>
      <c r="I565" s="317"/>
      <c r="N565" s="317"/>
      <c r="O565" s="1135"/>
      <c r="P565" s="1136"/>
      <c r="Q565" s="1137"/>
      <c r="R565" s="1120"/>
      <c r="S565" s="1120"/>
      <c r="T565" s="1120"/>
      <c r="U565" s="1120"/>
      <c r="V565" s="1120"/>
      <c r="W565" s="1120"/>
      <c r="Z565" s="1145"/>
      <c r="AA565" s="1120"/>
      <c r="AB565" s="1120"/>
      <c r="AC565" s="1120"/>
      <c r="AD565" s="1212"/>
      <c r="AE565" s="1212"/>
      <c r="AF565" s="1186"/>
      <c r="AG565" s="1186"/>
      <c r="AH565" s="1222"/>
      <c r="AI565" s="1222"/>
      <c r="AJ565" s="1222"/>
      <c r="AK565" s="1222"/>
      <c r="AL565" s="1222"/>
      <c r="AM565" s="1222"/>
      <c r="AN565" s="1222"/>
      <c r="AO565" s="1222"/>
      <c r="AP565" s="1222"/>
      <c r="AQ565" s="1222"/>
      <c r="AR565" s="1222"/>
      <c r="AS565" s="1222"/>
      <c r="AT565" s="1222"/>
      <c r="AU565" s="1120"/>
      <c r="AV565" s="445"/>
      <c r="AW565" s="607"/>
      <c r="AX565" s="607"/>
      <c r="AY565" s="607"/>
      <c r="AZ565" s="1209"/>
      <c r="BA565" s="1209"/>
    </row>
    <row r="566" spans="2:53" s="256" customFormat="1" ht="24.95" customHeight="1">
      <c r="B566" s="445"/>
      <c r="C566" s="204"/>
      <c r="D566" s="204"/>
      <c r="E566" s="204"/>
      <c r="F566" s="368"/>
      <c r="G566" s="1134"/>
      <c r="H566" s="401"/>
      <c r="I566" s="317"/>
      <c r="N566" s="317"/>
      <c r="O566" s="1135"/>
      <c r="P566" s="1136"/>
      <c r="Q566" s="1137"/>
      <c r="R566" s="1120"/>
      <c r="S566" s="1120"/>
      <c r="T566" s="1120"/>
      <c r="U566" s="1120"/>
      <c r="V566" s="1120"/>
      <c r="W566" s="1120"/>
      <c r="Z566" s="1145"/>
      <c r="AA566" s="1120"/>
      <c r="AB566" s="1120"/>
      <c r="AC566" s="1120"/>
      <c r="AD566" s="1212"/>
      <c r="AE566" s="1212"/>
      <c r="AF566" s="1186"/>
      <c r="AG566" s="1186"/>
      <c r="AH566" s="1222"/>
      <c r="AI566" s="1222"/>
      <c r="AJ566" s="1222"/>
      <c r="AK566" s="1222"/>
      <c r="AL566" s="1222"/>
      <c r="AM566" s="1222"/>
      <c r="AN566" s="1222"/>
      <c r="AO566" s="1222"/>
      <c r="AP566" s="1222"/>
      <c r="AQ566" s="1222"/>
      <c r="AR566" s="1222"/>
      <c r="AS566" s="1222"/>
      <c r="AT566" s="1222"/>
      <c r="AU566" s="1120"/>
      <c r="AV566" s="445"/>
      <c r="AW566" s="607"/>
      <c r="AX566" s="607"/>
      <c r="AY566" s="607"/>
      <c r="AZ566" s="1209"/>
      <c r="BA566" s="1209"/>
    </row>
    <row r="567" spans="2:53" s="256" customFormat="1" ht="24.95" customHeight="1">
      <c r="B567" s="445"/>
      <c r="C567" s="204"/>
      <c r="D567" s="204"/>
      <c r="E567" s="204"/>
      <c r="F567" s="368"/>
      <c r="G567" s="1134"/>
      <c r="H567" s="401"/>
      <c r="I567" s="317"/>
      <c r="N567" s="317"/>
      <c r="O567" s="1135"/>
      <c r="P567" s="1136"/>
      <c r="Q567" s="1137"/>
      <c r="R567" s="1120"/>
      <c r="S567" s="1120"/>
      <c r="T567" s="1120"/>
      <c r="U567" s="1120"/>
      <c r="V567" s="1120"/>
      <c r="W567" s="1120"/>
      <c r="Z567" s="1145"/>
      <c r="AA567" s="1120"/>
      <c r="AB567" s="1120"/>
      <c r="AC567" s="1120"/>
      <c r="AD567" s="1212"/>
      <c r="AE567" s="1212"/>
      <c r="AF567" s="1186"/>
      <c r="AG567" s="1186"/>
      <c r="AH567" s="1222"/>
      <c r="AI567" s="1222"/>
      <c r="AJ567" s="1222"/>
      <c r="AK567" s="1222"/>
      <c r="AL567" s="1222"/>
      <c r="AM567" s="1222"/>
      <c r="AN567" s="1222"/>
      <c r="AO567" s="1222"/>
      <c r="AP567" s="1222"/>
      <c r="AQ567" s="1222"/>
      <c r="AR567" s="1222"/>
      <c r="AS567" s="1222"/>
      <c r="AT567" s="1222"/>
      <c r="AU567" s="1120"/>
      <c r="AV567" s="445"/>
      <c r="AW567" s="607"/>
      <c r="AX567" s="607"/>
      <c r="AY567" s="607"/>
      <c r="AZ567" s="1209"/>
      <c r="BA567" s="1209"/>
    </row>
    <row r="568" spans="2:53" s="256" customFormat="1" ht="24.95" customHeight="1">
      <c r="B568" s="445"/>
      <c r="C568" s="204"/>
      <c r="D568" s="204"/>
      <c r="E568" s="204"/>
      <c r="F568" s="368"/>
      <c r="G568" s="1134"/>
      <c r="H568" s="401"/>
      <c r="I568" s="317"/>
      <c r="N568" s="317"/>
      <c r="O568" s="1135"/>
      <c r="P568" s="1136"/>
      <c r="Q568" s="1137"/>
      <c r="R568" s="1120"/>
      <c r="S568" s="1120"/>
      <c r="T568" s="1120"/>
      <c r="U568" s="1120"/>
      <c r="V568" s="1120"/>
      <c r="W568" s="1120"/>
      <c r="Z568" s="1145"/>
      <c r="AA568" s="1120"/>
      <c r="AB568" s="1120"/>
      <c r="AC568" s="1120"/>
      <c r="AD568" s="1212"/>
      <c r="AE568" s="1212"/>
      <c r="AF568" s="1186"/>
      <c r="AG568" s="1186"/>
      <c r="AH568" s="1222"/>
      <c r="AI568" s="1222"/>
      <c r="AJ568" s="1222"/>
      <c r="AK568" s="1222"/>
      <c r="AL568" s="1222"/>
      <c r="AM568" s="1222"/>
      <c r="AN568" s="1222"/>
      <c r="AO568" s="1222"/>
      <c r="AP568" s="1222"/>
      <c r="AQ568" s="1222"/>
      <c r="AR568" s="1222"/>
      <c r="AS568" s="1222"/>
      <c r="AT568" s="1222"/>
      <c r="AU568" s="1120"/>
      <c r="AV568" s="445"/>
      <c r="AW568" s="607"/>
      <c r="AX568" s="607"/>
      <c r="AY568" s="607"/>
      <c r="AZ568" s="1209"/>
      <c r="BA568" s="1209"/>
    </row>
    <row r="569" spans="2:53" s="256" customFormat="1" ht="24.95" customHeight="1">
      <c r="B569" s="445"/>
      <c r="C569" s="204"/>
      <c r="D569" s="204"/>
      <c r="E569" s="204"/>
      <c r="F569" s="368"/>
      <c r="G569" s="1134"/>
      <c r="H569" s="401"/>
      <c r="I569" s="317"/>
      <c r="N569" s="317"/>
      <c r="O569" s="1135"/>
      <c r="P569" s="1136"/>
      <c r="Q569" s="1137"/>
      <c r="R569" s="1120"/>
      <c r="S569" s="1120"/>
      <c r="T569" s="1120"/>
      <c r="U569" s="1120"/>
      <c r="V569" s="1120"/>
      <c r="W569" s="1120"/>
      <c r="Z569" s="1145"/>
      <c r="AA569" s="1120"/>
      <c r="AB569" s="1120"/>
      <c r="AC569" s="1120"/>
      <c r="AD569" s="1212"/>
      <c r="AE569" s="1212"/>
      <c r="AF569" s="1186"/>
      <c r="AG569" s="1186"/>
      <c r="AH569" s="1222"/>
      <c r="AI569" s="1222"/>
      <c r="AJ569" s="1222"/>
      <c r="AK569" s="1222"/>
      <c r="AL569" s="1222"/>
      <c r="AM569" s="1222"/>
      <c r="AN569" s="1222"/>
      <c r="AO569" s="1222"/>
      <c r="AP569" s="1222"/>
      <c r="AQ569" s="1222"/>
      <c r="AR569" s="1222"/>
      <c r="AS569" s="1222"/>
      <c r="AT569" s="1222"/>
      <c r="AU569" s="1120"/>
      <c r="AV569" s="445"/>
      <c r="AW569" s="607"/>
      <c r="AX569" s="607"/>
      <c r="AY569" s="607"/>
      <c r="AZ569" s="1209"/>
      <c r="BA569" s="1209"/>
    </row>
    <row r="570" spans="2:53" s="256" customFormat="1" ht="24.95" customHeight="1">
      <c r="B570" s="445"/>
      <c r="C570" s="204"/>
      <c r="D570" s="204"/>
      <c r="E570" s="204"/>
      <c r="F570" s="368"/>
      <c r="G570" s="1134"/>
      <c r="H570" s="401"/>
      <c r="I570" s="317"/>
      <c r="N570" s="317"/>
      <c r="O570" s="1135"/>
      <c r="P570" s="1136"/>
      <c r="Q570" s="1137"/>
      <c r="R570" s="1120"/>
      <c r="S570" s="1120"/>
      <c r="T570" s="1120"/>
      <c r="U570" s="1120"/>
      <c r="V570" s="1120"/>
      <c r="W570" s="1120"/>
      <c r="Z570" s="1145"/>
      <c r="AA570" s="1120"/>
      <c r="AB570" s="1120"/>
      <c r="AC570" s="1120"/>
      <c r="AD570" s="1212"/>
      <c r="AE570" s="1212"/>
      <c r="AF570" s="1186"/>
      <c r="AG570" s="1186"/>
      <c r="AH570" s="1222"/>
      <c r="AI570" s="1222"/>
      <c r="AJ570" s="1222"/>
      <c r="AK570" s="1222"/>
      <c r="AL570" s="1222"/>
      <c r="AM570" s="1222"/>
      <c r="AN570" s="1222"/>
      <c r="AO570" s="1222"/>
      <c r="AP570" s="1222"/>
      <c r="AQ570" s="1222"/>
      <c r="AR570" s="1222"/>
      <c r="AS570" s="1222"/>
      <c r="AT570" s="1222"/>
      <c r="AU570" s="1120"/>
      <c r="AV570" s="445"/>
      <c r="AW570" s="607"/>
      <c r="AX570" s="607"/>
      <c r="AY570" s="607"/>
      <c r="AZ570" s="1209"/>
      <c r="BA570" s="1209"/>
    </row>
    <row r="571" spans="2:53" s="256" customFormat="1" ht="24.95" customHeight="1">
      <c r="B571" s="445"/>
      <c r="C571" s="204"/>
      <c r="D571" s="204"/>
      <c r="E571" s="204"/>
      <c r="F571" s="368"/>
      <c r="G571" s="1134"/>
      <c r="H571" s="401"/>
      <c r="I571" s="317"/>
      <c r="N571" s="317"/>
      <c r="O571" s="1135"/>
      <c r="P571" s="1136"/>
      <c r="Q571" s="1137"/>
      <c r="R571" s="1120"/>
      <c r="S571" s="1120"/>
      <c r="T571" s="1120"/>
      <c r="U571" s="1120"/>
      <c r="V571" s="1120"/>
      <c r="W571" s="1120"/>
      <c r="Z571" s="1145"/>
      <c r="AA571" s="1120"/>
      <c r="AB571" s="1120"/>
      <c r="AC571" s="1120"/>
      <c r="AD571" s="1212"/>
      <c r="AE571" s="1212"/>
      <c r="AF571" s="1186"/>
      <c r="AG571" s="1186"/>
      <c r="AH571" s="1222"/>
      <c r="AI571" s="1222"/>
      <c r="AJ571" s="1222"/>
      <c r="AK571" s="1222"/>
      <c r="AL571" s="1222"/>
      <c r="AM571" s="1222"/>
      <c r="AN571" s="1222"/>
      <c r="AO571" s="1222"/>
      <c r="AP571" s="1222"/>
      <c r="AQ571" s="1222"/>
      <c r="AR571" s="1222"/>
      <c r="AS571" s="1222"/>
      <c r="AT571" s="1222"/>
      <c r="AU571" s="1120"/>
      <c r="AV571" s="445"/>
      <c r="AW571" s="607"/>
      <c r="AX571" s="607"/>
      <c r="AY571" s="607"/>
      <c r="AZ571" s="1209"/>
      <c r="BA571" s="1209"/>
    </row>
    <row r="572" spans="2:53" s="256" customFormat="1" ht="24.95" customHeight="1">
      <c r="B572" s="445"/>
      <c r="C572" s="204"/>
      <c r="D572" s="204"/>
      <c r="E572" s="204"/>
      <c r="F572" s="368"/>
      <c r="G572" s="1134"/>
      <c r="H572" s="401"/>
      <c r="I572" s="317"/>
      <c r="N572" s="317"/>
      <c r="O572" s="1135"/>
      <c r="P572" s="1136"/>
      <c r="Q572" s="1137"/>
      <c r="R572" s="1120"/>
      <c r="S572" s="1120"/>
      <c r="T572" s="1120"/>
      <c r="U572" s="1120"/>
      <c r="V572" s="1120"/>
      <c r="W572" s="1120"/>
      <c r="Z572" s="1145"/>
      <c r="AA572" s="1120"/>
      <c r="AB572" s="1120"/>
      <c r="AC572" s="1120"/>
      <c r="AD572" s="1212"/>
      <c r="AE572" s="1212"/>
      <c r="AF572" s="1186"/>
      <c r="AG572" s="1186"/>
      <c r="AH572" s="1222"/>
      <c r="AI572" s="1222"/>
      <c r="AJ572" s="1222"/>
      <c r="AK572" s="1222"/>
      <c r="AL572" s="1222"/>
      <c r="AM572" s="1222"/>
      <c r="AN572" s="1222"/>
      <c r="AO572" s="1222"/>
      <c r="AP572" s="1222"/>
      <c r="AQ572" s="1222"/>
      <c r="AR572" s="1222"/>
      <c r="AS572" s="1222"/>
      <c r="AT572" s="1222"/>
      <c r="AU572" s="1120"/>
      <c r="AV572" s="445"/>
      <c r="AW572" s="607"/>
      <c r="AX572" s="607"/>
      <c r="AY572" s="607"/>
      <c r="AZ572" s="1209"/>
      <c r="BA572" s="1209"/>
    </row>
    <row r="573" spans="2:53" s="256" customFormat="1" ht="24.95" customHeight="1">
      <c r="B573" s="445"/>
      <c r="C573" s="204"/>
      <c r="D573" s="204"/>
      <c r="E573" s="204"/>
      <c r="F573" s="368"/>
      <c r="G573" s="1134"/>
      <c r="H573" s="401"/>
      <c r="I573" s="317"/>
      <c r="N573" s="317"/>
      <c r="O573" s="1135"/>
      <c r="P573" s="1136"/>
      <c r="Q573" s="1137"/>
      <c r="R573" s="1120"/>
      <c r="S573" s="1120"/>
      <c r="T573" s="1120"/>
      <c r="U573" s="1120"/>
      <c r="V573" s="1120"/>
      <c r="W573" s="1120"/>
      <c r="Z573" s="1145"/>
      <c r="AA573" s="1120"/>
      <c r="AB573" s="1120"/>
      <c r="AC573" s="1120"/>
      <c r="AD573" s="1212"/>
      <c r="AE573" s="1212"/>
      <c r="AF573" s="1186"/>
      <c r="AG573" s="1186"/>
      <c r="AH573" s="1222"/>
      <c r="AI573" s="1222"/>
      <c r="AJ573" s="1222"/>
      <c r="AK573" s="1222"/>
      <c r="AL573" s="1222"/>
      <c r="AM573" s="1222"/>
      <c r="AN573" s="1222"/>
      <c r="AO573" s="1222"/>
      <c r="AP573" s="1222"/>
      <c r="AQ573" s="1222"/>
      <c r="AR573" s="1222"/>
      <c r="AS573" s="1222"/>
      <c r="AT573" s="1222"/>
      <c r="AU573" s="1120"/>
      <c r="AV573" s="445"/>
      <c r="AW573" s="607"/>
      <c r="AX573" s="607"/>
      <c r="AY573" s="607"/>
      <c r="AZ573" s="1209"/>
      <c r="BA573" s="1209"/>
    </row>
    <row r="574" spans="2:53" s="256" customFormat="1" ht="24.95" customHeight="1">
      <c r="B574" s="445"/>
      <c r="C574" s="204"/>
      <c r="D574" s="204"/>
      <c r="E574" s="204"/>
      <c r="F574" s="368"/>
      <c r="G574" s="1134"/>
      <c r="H574" s="401"/>
      <c r="I574" s="317"/>
      <c r="N574" s="317"/>
      <c r="O574" s="1135"/>
      <c r="P574" s="1136"/>
      <c r="Q574" s="1137"/>
      <c r="R574" s="1120"/>
      <c r="S574" s="1120"/>
      <c r="T574" s="1120"/>
      <c r="U574" s="1120"/>
      <c r="V574" s="1120"/>
      <c r="W574" s="1120"/>
      <c r="Z574" s="1145"/>
      <c r="AA574" s="1120"/>
      <c r="AB574" s="1120"/>
      <c r="AC574" s="1120"/>
      <c r="AD574" s="1212"/>
      <c r="AE574" s="1212"/>
      <c r="AF574" s="1186"/>
      <c r="AG574" s="1186"/>
      <c r="AH574" s="1222"/>
      <c r="AI574" s="1222"/>
      <c r="AJ574" s="1222"/>
      <c r="AK574" s="1222"/>
      <c r="AL574" s="1222"/>
      <c r="AM574" s="1222"/>
      <c r="AN574" s="1222"/>
      <c r="AO574" s="1222"/>
      <c r="AP574" s="1222"/>
      <c r="AQ574" s="1222"/>
      <c r="AR574" s="1222"/>
      <c r="AS574" s="1222"/>
      <c r="AT574" s="1222"/>
      <c r="AU574" s="1120"/>
      <c r="AV574" s="445"/>
      <c r="AW574" s="607"/>
      <c r="AX574" s="607"/>
      <c r="AY574" s="607"/>
      <c r="AZ574" s="1209"/>
      <c r="BA574" s="1209"/>
    </row>
    <row r="575" spans="2:53" s="256" customFormat="1" ht="24.95" customHeight="1">
      <c r="B575" s="445"/>
      <c r="C575" s="204"/>
      <c r="D575" s="204"/>
      <c r="E575" s="204"/>
      <c r="F575" s="368"/>
      <c r="G575" s="1134"/>
      <c r="H575" s="401"/>
      <c r="I575" s="317"/>
      <c r="N575" s="317"/>
      <c r="O575" s="1135"/>
      <c r="P575" s="1136"/>
      <c r="Q575" s="1137"/>
      <c r="R575" s="1120"/>
      <c r="S575" s="1120"/>
      <c r="T575" s="1120"/>
      <c r="U575" s="1120"/>
      <c r="V575" s="1120"/>
      <c r="W575" s="1120"/>
      <c r="Z575" s="1145"/>
      <c r="AA575" s="1120"/>
      <c r="AB575" s="1120"/>
      <c r="AC575" s="1120"/>
      <c r="AD575" s="1212"/>
      <c r="AE575" s="1212"/>
      <c r="AF575" s="1186"/>
      <c r="AG575" s="1186"/>
      <c r="AH575" s="1222"/>
      <c r="AI575" s="1222"/>
      <c r="AJ575" s="1222"/>
      <c r="AK575" s="1222"/>
      <c r="AL575" s="1222"/>
      <c r="AM575" s="1222"/>
      <c r="AN575" s="1222"/>
      <c r="AO575" s="1222"/>
      <c r="AP575" s="1222"/>
      <c r="AQ575" s="1222"/>
      <c r="AR575" s="1222"/>
      <c r="AS575" s="1222"/>
      <c r="AT575" s="1222"/>
      <c r="AU575" s="1120"/>
      <c r="AV575" s="445"/>
      <c r="AW575" s="607"/>
      <c r="AX575" s="607"/>
      <c r="AY575" s="607"/>
      <c r="AZ575" s="1209"/>
      <c r="BA575" s="1209"/>
    </row>
    <row r="576" spans="2:53" s="256" customFormat="1" ht="24.95" customHeight="1">
      <c r="B576" s="445"/>
      <c r="C576" s="204"/>
      <c r="D576" s="204"/>
      <c r="E576" s="204"/>
      <c r="F576" s="368"/>
      <c r="G576" s="1134"/>
      <c r="H576" s="401"/>
      <c r="I576" s="317"/>
      <c r="N576" s="317"/>
      <c r="O576" s="1135"/>
      <c r="P576" s="1136"/>
      <c r="Q576" s="1137"/>
      <c r="R576" s="1120"/>
      <c r="S576" s="1120"/>
      <c r="T576" s="1120"/>
      <c r="U576" s="1120"/>
      <c r="V576" s="1120"/>
      <c r="W576" s="1120"/>
      <c r="Z576" s="1145"/>
      <c r="AA576" s="1120"/>
      <c r="AB576" s="1120"/>
      <c r="AC576" s="1120"/>
      <c r="AD576" s="1212"/>
      <c r="AE576" s="1212"/>
      <c r="AF576" s="1186"/>
      <c r="AG576" s="1186"/>
      <c r="AH576" s="1222"/>
      <c r="AI576" s="1222"/>
      <c r="AJ576" s="1222"/>
      <c r="AK576" s="1222"/>
      <c r="AL576" s="1222"/>
      <c r="AM576" s="1222"/>
      <c r="AN576" s="1222"/>
      <c r="AO576" s="1222"/>
      <c r="AP576" s="1222"/>
      <c r="AQ576" s="1222"/>
      <c r="AR576" s="1222"/>
      <c r="AS576" s="1222"/>
      <c r="AT576" s="1222"/>
      <c r="AU576" s="1120"/>
      <c r="AV576" s="445"/>
      <c r="AW576" s="607"/>
      <c r="AX576" s="607"/>
      <c r="AY576" s="607"/>
      <c r="AZ576" s="1209"/>
      <c r="BA576" s="1209"/>
    </row>
    <row r="577" spans="2:53" s="256" customFormat="1" ht="24.95" customHeight="1">
      <c r="B577" s="445"/>
      <c r="C577" s="204"/>
      <c r="D577" s="204"/>
      <c r="E577" s="204"/>
      <c r="F577" s="368"/>
      <c r="G577" s="1134"/>
      <c r="H577" s="401"/>
      <c r="I577" s="317"/>
      <c r="N577" s="317"/>
      <c r="O577" s="1135"/>
      <c r="P577" s="1136"/>
      <c r="Q577" s="1137"/>
      <c r="R577" s="1120"/>
      <c r="S577" s="1120"/>
      <c r="T577" s="1120"/>
      <c r="U577" s="1120"/>
      <c r="V577" s="1120"/>
      <c r="W577" s="1120"/>
      <c r="Z577" s="1145"/>
      <c r="AA577" s="1120"/>
      <c r="AB577" s="1120"/>
      <c r="AC577" s="1120"/>
      <c r="AD577" s="1212"/>
      <c r="AE577" s="1212"/>
      <c r="AF577" s="1186"/>
      <c r="AG577" s="1186"/>
      <c r="AH577" s="1222"/>
      <c r="AI577" s="1222"/>
      <c r="AJ577" s="1222"/>
      <c r="AK577" s="1222"/>
      <c r="AL577" s="1222"/>
      <c r="AM577" s="1222"/>
      <c r="AN577" s="1222"/>
      <c r="AO577" s="1222"/>
      <c r="AP577" s="1222"/>
      <c r="AQ577" s="1222"/>
      <c r="AR577" s="1222"/>
      <c r="AS577" s="1222"/>
      <c r="AT577" s="1222"/>
      <c r="AU577" s="1120"/>
      <c r="AV577" s="445"/>
      <c r="AW577" s="607"/>
      <c r="AX577" s="607"/>
      <c r="AY577" s="607"/>
      <c r="AZ577" s="1209"/>
      <c r="BA577" s="1209"/>
    </row>
    <row r="578" spans="2:53" s="256" customFormat="1" ht="24.95" customHeight="1">
      <c r="B578" s="445"/>
      <c r="C578" s="204"/>
      <c r="D578" s="204"/>
      <c r="E578" s="204"/>
      <c r="F578" s="368"/>
      <c r="G578" s="1134"/>
      <c r="H578" s="401"/>
      <c r="I578" s="317"/>
      <c r="N578" s="317"/>
      <c r="O578" s="1135"/>
      <c r="P578" s="1136"/>
      <c r="Q578" s="1137"/>
      <c r="R578" s="1120"/>
      <c r="S578" s="1120"/>
      <c r="T578" s="1120"/>
      <c r="U578" s="1120"/>
      <c r="V578" s="1120"/>
      <c r="W578" s="1120"/>
      <c r="Z578" s="1145"/>
      <c r="AA578" s="1120"/>
      <c r="AB578" s="1120"/>
      <c r="AC578" s="1120"/>
      <c r="AD578" s="1212"/>
      <c r="AE578" s="1212"/>
      <c r="AF578" s="1186"/>
      <c r="AG578" s="1186"/>
      <c r="AH578" s="1222"/>
      <c r="AI578" s="1222"/>
      <c r="AJ578" s="1222"/>
      <c r="AK578" s="1222"/>
      <c r="AL578" s="1222"/>
      <c r="AM578" s="1222"/>
      <c r="AN578" s="1222"/>
      <c r="AO578" s="1222"/>
      <c r="AP578" s="1222"/>
      <c r="AQ578" s="1222"/>
      <c r="AR578" s="1222"/>
      <c r="AS578" s="1222"/>
      <c r="AT578" s="1222"/>
      <c r="AU578" s="1120"/>
      <c r="AV578" s="445"/>
      <c r="AW578" s="607"/>
      <c r="AX578" s="607"/>
      <c r="AY578" s="607"/>
      <c r="AZ578" s="1209"/>
      <c r="BA578" s="1209"/>
    </row>
    <row r="579" spans="2:53" s="256" customFormat="1" ht="24.95" customHeight="1">
      <c r="B579" s="445"/>
      <c r="C579" s="204"/>
      <c r="D579" s="204"/>
      <c r="E579" s="204"/>
      <c r="F579" s="368"/>
      <c r="G579" s="1134"/>
      <c r="H579" s="401"/>
      <c r="I579" s="317"/>
      <c r="N579" s="317"/>
      <c r="O579" s="1135"/>
      <c r="P579" s="1136"/>
      <c r="Q579" s="1137"/>
      <c r="R579" s="1120"/>
      <c r="S579" s="1120"/>
      <c r="T579" s="1120"/>
      <c r="U579" s="1120"/>
      <c r="V579" s="1120"/>
      <c r="W579" s="1120"/>
      <c r="Z579" s="1145"/>
      <c r="AA579" s="1120"/>
      <c r="AB579" s="1120"/>
      <c r="AC579" s="1120"/>
      <c r="AD579" s="1212"/>
      <c r="AE579" s="1212"/>
      <c r="AF579" s="1186"/>
      <c r="AG579" s="1186"/>
      <c r="AH579" s="1222"/>
      <c r="AI579" s="1222"/>
      <c r="AJ579" s="1222"/>
      <c r="AK579" s="1222"/>
      <c r="AL579" s="1222"/>
      <c r="AM579" s="1222"/>
      <c r="AN579" s="1222"/>
      <c r="AO579" s="1222"/>
      <c r="AP579" s="1222"/>
      <c r="AQ579" s="1222"/>
      <c r="AR579" s="1222"/>
      <c r="AS579" s="1222"/>
      <c r="AT579" s="1222"/>
      <c r="AU579" s="1120"/>
      <c r="AV579" s="445"/>
      <c r="AW579" s="607"/>
      <c r="AX579" s="607"/>
      <c r="AY579" s="607"/>
      <c r="AZ579" s="1209"/>
      <c r="BA579" s="1209"/>
    </row>
    <row r="580" spans="2:53" s="256" customFormat="1" ht="24.95" customHeight="1">
      <c r="B580" s="445"/>
      <c r="C580" s="204"/>
      <c r="D580" s="204"/>
      <c r="E580" s="204"/>
      <c r="F580" s="368"/>
      <c r="G580" s="1134"/>
      <c r="H580" s="401"/>
      <c r="I580" s="317"/>
      <c r="N580" s="317"/>
      <c r="O580" s="1135"/>
      <c r="P580" s="1136"/>
      <c r="Q580" s="1137"/>
      <c r="R580" s="1120"/>
      <c r="S580" s="1120"/>
      <c r="T580" s="1120"/>
      <c r="U580" s="1120"/>
      <c r="V580" s="1120"/>
      <c r="W580" s="1120"/>
      <c r="Z580" s="1145"/>
      <c r="AA580" s="1120"/>
      <c r="AB580" s="1120"/>
      <c r="AC580" s="1120"/>
      <c r="AD580" s="1212"/>
      <c r="AE580" s="1212"/>
      <c r="AF580" s="1186"/>
      <c r="AG580" s="1186"/>
      <c r="AH580" s="1222"/>
      <c r="AI580" s="1222"/>
      <c r="AJ580" s="1222"/>
      <c r="AK580" s="1222"/>
      <c r="AL580" s="1222"/>
      <c r="AM580" s="1222"/>
      <c r="AN580" s="1222"/>
      <c r="AO580" s="1222"/>
      <c r="AP580" s="1222"/>
      <c r="AQ580" s="1222"/>
      <c r="AR580" s="1222"/>
      <c r="AS580" s="1222"/>
      <c r="AT580" s="1222"/>
      <c r="AU580" s="1120"/>
      <c r="AV580" s="445"/>
      <c r="AW580" s="607"/>
      <c r="AX580" s="607"/>
      <c r="AY580" s="607"/>
      <c r="AZ580" s="1209"/>
      <c r="BA580" s="1209"/>
    </row>
    <row r="581" spans="2:53" s="256" customFormat="1" ht="24.95" customHeight="1">
      <c r="B581" s="445"/>
      <c r="C581" s="204"/>
      <c r="D581" s="204"/>
      <c r="E581" s="204"/>
      <c r="F581" s="368"/>
      <c r="G581" s="1134"/>
      <c r="H581" s="401"/>
      <c r="I581" s="317"/>
      <c r="N581" s="317"/>
      <c r="O581" s="1135"/>
      <c r="P581" s="1136"/>
      <c r="Q581" s="1137"/>
      <c r="R581" s="1120"/>
      <c r="S581" s="1120"/>
      <c r="T581" s="1120"/>
      <c r="U581" s="1120"/>
      <c r="V581" s="1120"/>
      <c r="W581" s="1120"/>
      <c r="Z581" s="1145"/>
      <c r="AA581" s="1120"/>
      <c r="AB581" s="1120"/>
      <c r="AC581" s="1120"/>
      <c r="AD581" s="1212"/>
      <c r="AE581" s="1212"/>
      <c r="AF581" s="1186"/>
      <c r="AG581" s="1186"/>
      <c r="AH581" s="1222"/>
      <c r="AI581" s="1222"/>
      <c r="AJ581" s="1222"/>
      <c r="AK581" s="1222"/>
      <c r="AL581" s="1222"/>
      <c r="AM581" s="1222"/>
      <c r="AN581" s="1222"/>
      <c r="AO581" s="1222"/>
      <c r="AP581" s="1222"/>
      <c r="AQ581" s="1222"/>
      <c r="AR581" s="1222"/>
      <c r="AS581" s="1222"/>
      <c r="AT581" s="1222"/>
      <c r="AU581" s="1120"/>
      <c r="AV581" s="445"/>
      <c r="AW581" s="607"/>
      <c r="AX581" s="607"/>
      <c r="AY581" s="607"/>
      <c r="AZ581" s="1209"/>
      <c r="BA581" s="1209"/>
    </row>
    <row r="582" spans="2:53" s="256" customFormat="1" ht="24.95" customHeight="1">
      <c r="B582" s="445"/>
      <c r="C582" s="204"/>
      <c r="D582" s="204"/>
      <c r="E582" s="204"/>
      <c r="F582" s="368"/>
      <c r="G582" s="1134"/>
      <c r="H582" s="401"/>
      <c r="I582" s="317"/>
      <c r="N582" s="317"/>
      <c r="O582" s="1135"/>
      <c r="P582" s="1136"/>
      <c r="Q582" s="1137"/>
      <c r="R582" s="1120"/>
      <c r="S582" s="1120"/>
      <c r="T582" s="1120"/>
      <c r="U582" s="1120"/>
      <c r="V582" s="1120"/>
      <c r="W582" s="1120"/>
      <c r="Z582" s="1145"/>
      <c r="AA582" s="1120"/>
      <c r="AB582" s="1120"/>
      <c r="AC582" s="1120"/>
      <c r="AD582" s="1212"/>
      <c r="AE582" s="1212"/>
      <c r="AF582" s="1186"/>
      <c r="AG582" s="1186"/>
      <c r="AH582" s="1222"/>
      <c r="AI582" s="1222"/>
      <c r="AJ582" s="1222"/>
      <c r="AK582" s="1222"/>
      <c r="AL582" s="1222"/>
      <c r="AM582" s="1222"/>
      <c r="AN582" s="1222"/>
      <c r="AO582" s="1222"/>
      <c r="AP582" s="1222"/>
      <c r="AQ582" s="1222"/>
      <c r="AR582" s="1222"/>
      <c r="AS582" s="1222"/>
      <c r="AT582" s="1222"/>
      <c r="AU582" s="1120"/>
      <c r="AV582" s="445"/>
      <c r="AW582" s="607"/>
      <c r="AX582" s="607"/>
      <c r="AY582" s="607"/>
      <c r="AZ582" s="1209"/>
      <c r="BA582" s="1209"/>
    </row>
    <row r="583" spans="2:53" s="256" customFormat="1" ht="24.95" customHeight="1">
      <c r="B583" s="445"/>
      <c r="C583" s="204"/>
      <c r="D583" s="204"/>
      <c r="E583" s="204"/>
      <c r="F583" s="368"/>
      <c r="G583" s="1134"/>
      <c r="H583" s="401"/>
      <c r="I583" s="317"/>
      <c r="N583" s="317"/>
      <c r="O583" s="1135"/>
      <c r="P583" s="1136"/>
      <c r="Q583" s="1137"/>
      <c r="R583" s="1120"/>
      <c r="S583" s="1120"/>
      <c r="T583" s="1120"/>
      <c r="U583" s="1120"/>
      <c r="V583" s="1120"/>
      <c r="W583" s="1120"/>
      <c r="Z583" s="1145"/>
      <c r="AA583" s="1120"/>
      <c r="AB583" s="1120"/>
      <c r="AC583" s="1120"/>
      <c r="AD583" s="1212"/>
      <c r="AE583" s="1212"/>
      <c r="AF583" s="1186"/>
      <c r="AG583" s="1186"/>
      <c r="AH583" s="1222"/>
      <c r="AI583" s="1222"/>
      <c r="AJ583" s="1222"/>
      <c r="AK583" s="1222"/>
      <c r="AL583" s="1222"/>
      <c r="AM583" s="1222"/>
      <c r="AN583" s="1222"/>
      <c r="AO583" s="1222"/>
      <c r="AP583" s="1222"/>
      <c r="AQ583" s="1222"/>
      <c r="AR583" s="1222"/>
      <c r="AS583" s="1222"/>
      <c r="AT583" s="1222"/>
      <c r="AU583" s="1120"/>
      <c r="AV583" s="445"/>
      <c r="AW583" s="607"/>
      <c r="AX583" s="607"/>
      <c r="AY583" s="607"/>
      <c r="AZ583" s="1209"/>
      <c r="BA583" s="1209"/>
    </row>
    <row r="584" spans="2:53" s="256" customFormat="1" ht="24.95" customHeight="1">
      <c r="B584" s="445"/>
      <c r="C584" s="204"/>
      <c r="D584" s="204"/>
      <c r="E584" s="204"/>
      <c r="F584" s="368"/>
      <c r="G584" s="1134"/>
      <c r="H584" s="401"/>
      <c r="I584" s="317"/>
      <c r="N584" s="317"/>
      <c r="O584" s="1135"/>
      <c r="P584" s="1136"/>
      <c r="Q584" s="1137"/>
      <c r="R584" s="1120"/>
      <c r="S584" s="1120"/>
      <c r="T584" s="1120"/>
      <c r="U584" s="1120"/>
      <c r="V584" s="1120"/>
      <c r="W584" s="1120"/>
      <c r="Z584" s="1145"/>
      <c r="AA584" s="1120"/>
      <c r="AB584" s="1120"/>
      <c r="AC584" s="1120"/>
      <c r="AD584" s="1212"/>
      <c r="AE584" s="1212"/>
      <c r="AF584" s="1186"/>
      <c r="AG584" s="1186"/>
      <c r="AH584" s="1222"/>
      <c r="AI584" s="1222"/>
      <c r="AJ584" s="1222"/>
      <c r="AK584" s="1222"/>
      <c r="AL584" s="1222"/>
      <c r="AM584" s="1222"/>
      <c r="AN584" s="1222"/>
      <c r="AO584" s="1222"/>
      <c r="AP584" s="1222"/>
      <c r="AQ584" s="1222"/>
      <c r="AR584" s="1222"/>
      <c r="AS584" s="1222"/>
      <c r="AT584" s="1222"/>
      <c r="AU584" s="1120"/>
      <c r="AV584" s="445"/>
      <c r="AW584" s="607"/>
      <c r="AX584" s="607"/>
      <c r="AY584" s="607"/>
      <c r="AZ584" s="1209"/>
      <c r="BA584" s="1209"/>
    </row>
    <row r="585" spans="2:53" s="256" customFormat="1" ht="24.95" customHeight="1">
      <c r="B585" s="445"/>
      <c r="C585" s="204"/>
      <c r="D585" s="204"/>
      <c r="E585" s="204"/>
      <c r="F585" s="368"/>
      <c r="G585" s="1134"/>
      <c r="H585" s="401"/>
      <c r="I585" s="317"/>
      <c r="N585" s="317"/>
      <c r="O585" s="1135"/>
      <c r="P585" s="1136"/>
      <c r="Q585" s="1137"/>
      <c r="R585" s="1120"/>
      <c r="S585" s="1120"/>
      <c r="T585" s="1120"/>
      <c r="U585" s="1120"/>
      <c r="V585" s="1120"/>
      <c r="W585" s="1120"/>
      <c r="Z585" s="1145"/>
      <c r="AA585" s="1120"/>
      <c r="AB585" s="1120"/>
      <c r="AC585" s="1120"/>
      <c r="AD585" s="1212"/>
      <c r="AE585" s="1212"/>
      <c r="AF585" s="1186"/>
      <c r="AG585" s="1186"/>
      <c r="AH585" s="1222"/>
      <c r="AI585" s="1222"/>
      <c r="AJ585" s="1222"/>
      <c r="AK585" s="1222"/>
      <c r="AL585" s="1222"/>
      <c r="AM585" s="1222"/>
      <c r="AN585" s="1222"/>
      <c r="AO585" s="1222"/>
      <c r="AP585" s="1222"/>
      <c r="AQ585" s="1222"/>
      <c r="AR585" s="1222"/>
      <c r="AS585" s="1222"/>
      <c r="AT585" s="1222"/>
      <c r="AU585" s="1120"/>
      <c r="AV585" s="445"/>
      <c r="AW585" s="607"/>
      <c r="AX585" s="607"/>
      <c r="AY585" s="607"/>
      <c r="AZ585" s="1209"/>
      <c r="BA585" s="1209"/>
    </row>
    <row r="586" spans="2:53" s="256" customFormat="1" ht="24.95" customHeight="1">
      <c r="B586" s="445"/>
      <c r="C586" s="204"/>
      <c r="D586" s="204"/>
      <c r="E586" s="204"/>
      <c r="F586" s="368"/>
      <c r="G586" s="1134"/>
      <c r="H586" s="401"/>
      <c r="I586" s="317"/>
      <c r="N586" s="317"/>
      <c r="O586" s="1135"/>
      <c r="P586" s="1136"/>
      <c r="Q586" s="1137"/>
      <c r="R586" s="1120"/>
      <c r="S586" s="1120"/>
      <c r="T586" s="1120"/>
      <c r="U586" s="1120"/>
      <c r="V586" s="1120"/>
      <c r="W586" s="1120"/>
      <c r="Z586" s="1145"/>
      <c r="AA586" s="1120"/>
      <c r="AB586" s="1120"/>
      <c r="AC586" s="1120"/>
      <c r="AD586" s="1212"/>
      <c r="AE586" s="1212"/>
      <c r="AF586" s="1186"/>
      <c r="AG586" s="1186"/>
      <c r="AH586" s="1222"/>
      <c r="AI586" s="1222"/>
      <c r="AJ586" s="1222"/>
      <c r="AK586" s="1222"/>
      <c r="AL586" s="1222"/>
      <c r="AM586" s="1222"/>
      <c r="AN586" s="1222"/>
      <c r="AO586" s="1222"/>
      <c r="AP586" s="1222"/>
      <c r="AQ586" s="1222"/>
      <c r="AR586" s="1222"/>
      <c r="AS586" s="1222"/>
      <c r="AT586" s="1222"/>
      <c r="AU586" s="1120"/>
      <c r="AV586" s="445"/>
      <c r="AW586" s="607"/>
      <c r="AX586" s="607"/>
      <c r="AY586" s="607"/>
      <c r="AZ586" s="1209"/>
      <c r="BA586" s="1209"/>
    </row>
    <row r="587" spans="2:53" s="256" customFormat="1" ht="24.95" customHeight="1">
      <c r="B587" s="445"/>
      <c r="C587" s="204"/>
      <c r="D587" s="204"/>
      <c r="E587" s="204"/>
      <c r="F587" s="368"/>
      <c r="G587" s="1134"/>
      <c r="H587" s="401"/>
      <c r="I587" s="317"/>
      <c r="N587" s="317"/>
      <c r="O587" s="1135"/>
      <c r="P587" s="1136"/>
      <c r="Q587" s="1137"/>
      <c r="R587" s="1120"/>
      <c r="S587" s="1120"/>
      <c r="T587" s="1120"/>
      <c r="U587" s="1120"/>
      <c r="V587" s="1120"/>
      <c r="W587" s="1120"/>
      <c r="Z587" s="1145"/>
      <c r="AA587" s="1120"/>
      <c r="AB587" s="1120"/>
      <c r="AC587" s="1120"/>
      <c r="AD587" s="1212"/>
      <c r="AE587" s="1212"/>
      <c r="AF587" s="1186"/>
      <c r="AG587" s="1186"/>
      <c r="AH587" s="1222"/>
      <c r="AI587" s="1222"/>
      <c r="AJ587" s="1222"/>
      <c r="AK587" s="1222"/>
      <c r="AL587" s="1222"/>
      <c r="AM587" s="1222"/>
      <c r="AN587" s="1222"/>
      <c r="AO587" s="1222"/>
      <c r="AP587" s="1222"/>
      <c r="AQ587" s="1222"/>
      <c r="AR587" s="1222"/>
      <c r="AS587" s="1222"/>
      <c r="AT587" s="1222"/>
      <c r="AU587" s="1120"/>
      <c r="AV587" s="445"/>
      <c r="AW587" s="607"/>
      <c r="AX587" s="607"/>
      <c r="AY587" s="607"/>
      <c r="AZ587" s="1209"/>
      <c r="BA587" s="1209"/>
    </row>
    <row r="588" spans="2:53" s="256" customFormat="1" ht="24.95" customHeight="1">
      <c r="B588" s="445"/>
      <c r="C588" s="204"/>
      <c r="D588" s="204"/>
      <c r="E588" s="204"/>
      <c r="F588" s="368"/>
      <c r="G588" s="1134"/>
      <c r="H588" s="401"/>
      <c r="I588" s="317"/>
      <c r="N588" s="317"/>
      <c r="O588" s="1135"/>
      <c r="P588" s="1136"/>
      <c r="Q588" s="1137"/>
      <c r="R588" s="1120"/>
      <c r="S588" s="1120"/>
      <c r="T588" s="1120"/>
      <c r="U588" s="1120"/>
      <c r="V588" s="1120"/>
      <c r="W588" s="1120"/>
      <c r="Z588" s="1145"/>
      <c r="AA588" s="1120"/>
      <c r="AB588" s="1120"/>
      <c r="AC588" s="1120"/>
      <c r="AD588" s="1212"/>
      <c r="AE588" s="1212"/>
      <c r="AF588" s="1186"/>
      <c r="AG588" s="1186"/>
      <c r="AH588" s="1222"/>
      <c r="AI588" s="1222"/>
      <c r="AJ588" s="1222"/>
      <c r="AK588" s="1222"/>
      <c r="AL588" s="1222"/>
      <c r="AM588" s="1222"/>
      <c r="AN588" s="1222"/>
      <c r="AO588" s="1222"/>
      <c r="AP588" s="1222"/>
      <c r="AQ588" s="1222"/>
      <c r="AR588" s="1222"/>
      <c r="AS588" s="1222"/>
      <c r="AT588" s="1222"/>
      <c r="AU588" s="1120"/>
      <c r="AV588" s="445"/>
      <c r="AW588" s="607"/>
      <c r="AX588" s="607"/>
      <c r="AY588" s="607"/>
      <c r="AZ588" s="1209"/>
      <c r="BA588" s="1209"/>
    </row>
    <row r="589" spans="2:53" s="256" customFormat="1" ht="24.95" customHeight="1">
      <c r="B589" s="445"/>
      <c r="C589" s="204"/>
      <c r="D589" s="204"/>
      <c r="E589" s="204"/>
      <c r="F589" s="368"/>
      <c r="G589" s="1134"/>
      <c r="H589" s="401"/>
      <c r="I589" s="317"/>
      <c r="N589" s="317"/>
      <c r="O589" s="1135"/>
      <c r="P589" s="1136"/>
      <c r="Q589" s="1137"/>
      <c r="R589" s="1120"/>
      <c r="S589" s="1120"/>
      <c r="T589" s="1120"/>
      <c r="U589" s="1120"/>
      <c r="V589" s="1120"/>
      <c r="W589" s="1120"/>
      <c r="Z589" s="1145"/>
      <c r="AA589" s="1120"/>
      <c r="AB589" s="1120"/>
      <c r="AC589" s="1120"/>
      <c r="AD589" s="1212"/>
      <c r="AE589" s="1212"/>
      <c r="AF589" s="1186"/>
      <c r="AG589" s="1186"/>
      <c r="AH589" s="1222"/>
      <c r="AI589" s="1222"/>
      <c r="AJ589" s="1222"/>
      <c r="AK589" s="1222"/>
      <c r="AL589" s="1222"/>
      <c r="AM589" s="1222"/>
      <c r="AN589" s="1222"/>
      <c r="AO589" s="1222"/>
      <c r="AP589" s="1222"/>
      <c r="AQ589" s="1222"/>
      <c r="AR589" s="1222"/>
      <c r="AS589" s="1222"/>
      <c r="AT589" s="1222"/>
      <c r="AU589" s="1120"/>
      <c r="AV589" s="445"/>
      <c r="AW589" s="607"/>
      <c r="AX589" s="607"/>
      <c r="AY589" s="607"/>
      <c r="AZ589" s="1209"/>
      <c r="BA589" s="1209"/>
    </row>
    <row r="590" spans="2:53" s="256" customFormat="1" ht="24.95" customHeight="1">
      <c r="B590" s="445"/>
      <c r="C590" s="204"/>
      <c r="D590" s="204"/>
      <c r="E590" s="204"/>
      <c r="F590" s="368"/>
      <c r="G590" s="1134"/>
      <c r="H590" s="401"/>
      <c r="I590" s="317"/>
      <c r="N590" s="317"/>
      <c r="O590" s="1135"/>
      <c r="P590" s="1136"/>
      <c r="Q590" s="1137"/>
      <c r="R590" s="1120"/>
      <c r="S590" s="1120"/>
      <c r="T590" s="1120"/>
      <c r="U590" s="1120"/>
      <c r="V590" s="1120"/>
      <c r="W590" s="1120"/>
      <c r="Z590" s="1145"/>
      <c r="AA590" s="1120"/>
      <c r="AB590" s="1120"/>
      <c r="AC590" s="1120"/>
      <c r="AD590" s="1212"/>
      <c r="AE590" s="1212"/>
      <c r="AF590" s="1186"/>
      <c r="AG590" s="1186"/>
      <c r="AH590" s="1222"/>
      <c r="AI590" s="1222"/>
      <c r="AJ590" s="1222"/>
      <c r="AK590" s="1222"/>
      <c r="AL590" s="1222"/>
      <c r="AM590" s="1222"/>
      <c r="AN590" s="1222"/>
      <c r="AO590" s="1222"/>
      <c r="AP590" s="1222"/>
      <c r="AQ590" s="1222"/>
      <c r="AR590" s="1222"/>
      <c r="AS590" s="1222"/>
      <c r="AT590" s="1222"/>
      <c r="AU590" s="1120"/>
      <c r="AV590" s="445"/>
      <c r="AW590" s="607"/>
      <c r="AX590" s="607"/>
      <c r="AY590" s="607"/>
      <c r="AZ590" s="1209"/>
      <c r="BA590" s="1209"/>
    </row>
    <row r="591" spans="2:53" s="256" customFormat="1" ht="24.95" customHeight="1">
      <c r="B591" s="445"/>
      <c r="C591" s="204"/>
      <c r="D591" s="204"/>
      <c r="E591" s="204"/>
      <c r="F591" s="368"/>
      <c r="G591" s="1134"/>
      <c r="H591" s="401"/>
      <c r="I591" s="317"/>
      <c r="N591" s="317"/>
      <c r="O591" s="1135"/>
      <c r="P591" s="1136"/>
      <c r="Q591" s="1137"/>
      <c r="R591" s="1120"/>
      <c r="S591" s="1120"/>
      <c r="T591" s="1120"/>
      <c r="U591" s="1120"/>
      <c r="V591" s="1120"/>
      <c r="W591" s="1120"/>
      <c r="Z591" s="1145"/>
      <c r="AA591" s="1120"/>
      <c r="AB591" s="1120"/>
      <c r="AC591" s="1120"/>
      <c r="AD591" s="1212"/>
      <c r="AE591" s="1212"/>
      <c r="AF591" s="1186"/>
      <c r="AG591" s="1186"/>
      <c r="AH591" s="1222"/>
      <c r="AI591" s="1222"/>
      <c r="AJ591" s="1222"/>
      <c r="AK591" s="1222"/>
      <c r="AL591" s="1222"/>
      <c r="AM591" s="1222"/>
      <c r="AN591" s="1222"/>
      <c r="AO591" s="1222"/>
      <c r="AP591" s="1222"/>
      <c r="AQ591" s="1222"/>
      <c r="AR591" s="1222"/>
      <c r="AS591" s="1222"/>
      <c r="AT591" s="1222"/>
      <c r="AU591" s="1120"/>
      <c r="AV591" s="445"/>
      <c r="AW591" s="607"/>
      <c r="AX591" s="607"/>
      <c r="AY591" s="607"/>
      <c r="AZ591" s="1209"/>
      <c r="BA591" s="1209"/>
    </row>
    <row r="592" spans="2:53" s="256" customFormat="1" ht="24.95" customHeight="1">
      <c r="B592" s="445"/>
      <c r="C592" s="204"/>
      <c r="D592" s="204"/>
      <c r="E592" s="204"/>
      <c r="F592" s="368"/>
      <c r="G592" s="1134"/>
      <c r="H592" s="401"/>
      <c r="I592" s="317"/>
      <c r="N592" s="317"/>
      <c r="O592" s="1135"/>
      <c r="P592" s="1136"/>
      <c r="Q592" s="1137"/>
      <c r="R592" s="1120"/>
      <c r="S592" s="1120"/>
      <c r="T592" s="1120"/>
      <c r="U592" s="1120"/>
      <c r="V592" s="1120"/>
      <c r="W592" s="1120"/>
      <c r="Z592" s="1145"/>
      <c r="AA592" s="1120"/>
      <c r="AB592" s="1120"/>
      <c r="AC592" s="1120"/>
      <c r="AD592" s="1212"/>
      <c r="AE592" s="1212"/>
      <c r="AF592" s="1186"/>
      <c r="AG592" s="1186"/>
      <c r="AH592" s="1222"/>
      <c r="AI592" s="1222"/>
      <c r="AJ592" s="1222"/>
      <c r="AK592" s="1222"/>
      <c r="AL592" s="1222"/>
      <c r="AM592" s="1222"/>
      <c r="AN592" s="1222"/>
      <c r="AO592" s="1222"/>
      <c r="AP592" s="1222"/>
      <c r="AQ592" s="1222"/>
      <c r="AR592" s="1222"/>
      <c r="AS592" s="1222"/>
      <c r="AT592" s="1222"/>
      <c r="AU592" s="1120"/>
      <c r="AV592" s="445"/>
      <c r="AW592" s="607"/>
      <c r="AX592" s="607"/>
      <c r="AY592" s="607"/>
      <c r="AZ592" s="1209"/>
      <c r="BA592" s="1209"/>
    </row>
    <row r="593" spans="2:53" s="256" customFormat="1" ht="24.95" customHeight="1">
      <c r="B593" s="445"/>
      <c r="C593" s="204"/>
      <c r="D593" s="204"/>
      <c r="E593" s="204"/>
      <c r="F593" s="368"/>
      <c r="G593" s="1134"/>
      <c r="H593" s="401"/>
      <c r="I593" s="317"/>
      <c r="N593" s="317"/>
      <c r="O593" s="1135"/>
      <c r="P593" s="1136"/>
      <c r="Q593" s="1137"/>
      <c r="R593" s="1120"/>
      <c r="S593" s="1120"/>
      <c r="T593" s="1120"/>
      <c r="U593" s="1120"/>
      <c r="V593" s="1120"/>
      <c r="W593" s="1120"/>
      <c r="Z593" s="1145"/>
      <c r="AA593" s="1120"/>
      <c r="AB593" s="1120"/>
      <c r="AC593" s="1120"/>
      <c r="AD593" s="1212"/>
      <c r="AE593" s="1212"/>
      <c r="AF593" s="1186"/>
      <c r="AG593" s="1186"/>
      <c r="AH593" s="1222"/>
      <c r="AI593" s="1222"/>
      <c r="AJ593" s="1222"/>
      <c r="AK593" s="1222"/>
      <c r="AL593" s="1222"/>
      <c r="AM593" s="1222"/>
      <c r="AN593" s="1222"/>
      <c r="AO593" s="1222"/>
      <c r="AP593" s="1222"/>
      <c r="AQ593" s="1222"/>
      <c r="AR593" s="1222"/>
      <c r="AS593" s="1222"/>
      <c r="AT593" s="1222"/>
      <c r="AU593" s="1120"/>
      <c r="AV593" s="445"/>
      <c r="AW593" s="607"/>
      <c r="AX593" s="607"/>
      <c r="AY593" s="607"/>
      <c r="AZ593" s="1209"/>
      <c r="BA593" s="1209"/>
    </row>
    <row r="594" spans="2:53" s="256" customFormat="1" ht="24.95" customHeight="1">
      <c r="B594" s="445"/>
      <c r="C594" s="204"/>
      <c r="D594" s="204"/>
      <c r="E594" s="204"/>
      <c r="F594" s="368"/>
      <c r="G594" s="1134"/>
      <c r="H594" s="401"/>
      <c r="I594" s="317"/>
      <c r="N594" s="317"/>
      <c r="O594" s="1135"/>
      <c r="P594" s="1136"/>
      <c r="Q594" s="1137"/>
      <c r="R594" s="1120"/>
      <c r="S594" s="1120"/>
      <c r="T594" s="1120"/>
      <c r="U594" s="1120"/>
      <c r="V594" s="1120"/>
      <c r="W594" s="1120"/>
      <c r="Z594" s="1145"/>
      <c r="AA594" s="1120"/>
      <c r="AB594" s="1120"/>
      <c r="AC594" s="1120"/>
      <c r="AD594" s="1212"/>
      <c r="AE594" s="1212"/>
      <c r="AF594" s="1186"/>
      <c r="AG594" s="1186"/>
      <c r="AH594" s="1222"/>
      <c r="AI594" s="1222"/>
      <c r="AJ594" s="1222"/>
      <c r="AK594" s="1222"/>
      <c r="AL594" s="1222"/>
      <c r="AM594" s="1222"/>
      <c r="AN594" s="1222"/>
      <c r="AO594" s="1222"/>
      <c r="AP594" s="1222"/>
      <c r="AQ594" s="1222"/>
      <c r="AR594" s="1222"/>
      <c r="AS594" s="1222"/>
      <c r="AT594" s="1222"/>
      <c r="AU594" s="1120"/>
      <c r="AV594" s="445"/>
      <c r="AW594" s="607"/>
      <c r="AX594" s="607"/>
      <c r="AY594" s="607"/>
      <c r="AZ594" s="1209"/>
      <c r="BA594" s="1209"/>
    </row>
    <row r="595" spans="2:53" s="256" customFormat="1" ht="24.95" customHeight="1">
      <c r="B595" s="445"/>
      <c r="C595" s="204"/>
      <c r="D595" s="204"/>
      <c r="E595" s="204"/>
      <c r="F595" s="368"/>
      <c r="G595" s="1134"/>
      <c r="H595" s="401"/>
      <c r="I595" s="317"/>
      <c r="N595" s="317"/>
      <c r="O595" s="1135"/>
      <c r="P595" s="1136"/>
      <c r="Q595" s="1137"/>
      <c r="R595" s="1120"/>
      <c r="S595" s="1120"/>
      <c r="T595" s="1120"/>
      <c r="U595" s="1120"/>
      <c r="V595" s="1120"/>
      <c r="W595" s="1120"/>
      <c r="Z595" s="1145"/>
      <c r="AA595" s="1120"/>
      <c r="AB595" s="1120"/>
      <c r="AC595" s="1120"/>
      <c r="AD595" s="1212"/>
      <c r="AE595" s="1212"/>
      <c r="AF595" s="1186"/>
      <c r="AG595" s="1186"/>
      <c r="AH595" s="1222"/>
      <c r="AI595" s="1222"/>
      <c r="AJ595" s="1222"/>
      <c r="AK595" s="1222"/>
      <c r="AL595" s="1222"/>
      <c r="AM595" s="1222"/>
      <c r="AN595" s="1222"/>
      <c r="AO595" s="1222"/>
      <c r="AP595" s="1222"/>
      <c r="AQ595" s="1222"/>
      <c r="AR595" s="1222"/>
      <c r="AS595" s="1222"/>
      <c r="AT595" s="1222"/>
      <c r="AU595" s="1120"/>
      <c r="AV595" s="445"/>
      <c r="AW595" s="607"/>
      <c r="AX595" s="607"/>
      <c r="AY595" s="607"/>
      <c r="AZ595" s="1209"/>
      <c r="BA595" s="1209"/>
    </row>
    <row r="596" spans="2:53" s="256" customFormat="1" ht="24.95" customHeight="1">
      <c r="B596" s="445"/>
      <c r="C596" s="204"/>
      <c r="D596" s="204"/>
      <c r="E596" s="204"/>
      <c r="F596" s="368"/>
      <c r="G596" s="1134"/>
      <c r="H596" s="401"/>
      <c r="I596" s="317"/>
      <c r="N596" s="317"/>
      <c r="O596" s="1135"/>
      <c r="P596" s="1136"/>
      <c r="Q596" s="1137"/>
      <c r="R596" s="1120"/>
      <c r="S596" s="1120"/>
      <c r="T596" s="1120"/>
      <c r="U596" s="1120"/>
      <c r="V596" s="1120"/>
      <c r="W596" s="1120"/>
      <c r="Z596" s="1145"/>
      <c r="AA596" s="1120"/>
      <c r="AB596" s="1120"/>
      <c r="AC596" s="1120"/>
      <c r="AD596" s="1212"/>
      <c r="AE596" s="1212"/>
      <c r="AF596" s="1186"/>
      <c r="AG596" s="1186"/>
      <c r="AH596" s="1222"/>
      <c r="AI596" s="1222"/>
      <c r="AJ596" s="1222"/>
      <c r="AK596" s="1222"/>
      <c r="AL596" s="1222"/>
      <c r="AM596" s="1222"/>
      <c r="AN596" s="1222"/>
      <c r="AO596" s="1222"/>
      <c r="AP596" s="1222"/>
      <c r="AQ596" s="1222"/>
      <c r="AR596" s="1222"/>
      <c r="AS596" s="1222"/>
      <c r="AT596" s="1222"/>
      <c r="AU596" s="1120"/>
      <c r="AV596" s="445"/>
      <c r="AW596" s="607"/>
      <c r="AX596" s="607"/>
      <c r="AY596" s="607"/>
      <c r="AZ596" s="1209"/>
      <c r="BA596" s="1209"/>
    </row>
    <row r="597" spans="2:53" s="256" customFormat="1" ht="24.95" customHeight="1">
      <c r="B597" s="445"/>
      <c r="C597" s="204"/>
      <c r="D597" s="204"/>
      <c r="E597" s="204"/>
      <c r="F597" s="368"/>
      <c r="G597" s="1134"/>
      <c r="H597" s="401"/>
      <c r="I597" s="317"/>
      <c r="N597" s="317"/>
      <c r="O597" s="1135"/>
      <c r="P597" s="1136"/>
      <c r="Q597" s="1137"/>
      <c r="R597" s="1120"/>
      <c r="S597" s="1120"/>
      <c r="T597" s="1120"/>
      <c r="U597" s="1120"/>
      <c r="V597" s="1120"/>
      <c r="W597" s="1120"/>
      <c r="Z597" s="1145"/>
      <c r="AA597" s="1120"/>
      <c r="AB597" s="1120"/>
      <c r="AC597" s="1120"/>
      <c r="AD597" s="1212"/>
      <c r="AE597" s="1212"/>
      <c r="AF597" s="1186"/>
      <c r="AG597" s="1186"/>
      <c r="AH597" s="1222"/>
      <c r="AI597" s="1222"/>
      <c r="AJ597" s="1222"/>
      <c r="AK597" s="1222"/>
      <c r="AL597" s="1222"/>
      <c r="AM597" s="1222"/>
      <c r="AN597" s="1222"/>
      <c r="AO597" s="1222"/>
      <c r="AP597" s="1222"/>
      <c r="AQ597" s="1222"/>
      <c r="AR597" s="1222"/>
      <c r="AS597" s="1222"/>
      <c r="AT597" s="1222"/>
      <c r="AU597" s="1120"/>
      <c r="AV597" s="445"/>
      <c r="AW597" s="607"/>
      <c r="AX597" s="607"/>
      <c r="AY597" s="607"/>
      <c r="AZ597" s="1209"/>
      <c r="BA597" s="1209"/>
    </row>
    <row r="598" spans="2:53" s="256" customFormat="1" ht="24.95" customHeight="1">
      <c r="B598" s="445"/>
      <c r="C598" s="204"/>
      <c r="D598" s="204"/>
      <c r="E598" s="204"/>
      <c r="F598" s="368"/>
      <c r="G598" s="1134"/>
      <c r="H598" s="401"/>
      <c r="I598" s="317"/>
      <c r="N598" s="317"/>
      <c r="O598" s="1135"/>
      <c r="P598" s="1136"/>
      <c r="Q598" s="1137"/>
      <c r="R598" s="1120"/>
      <c r="S598" s="1120"/>
      <c r="T598" s="1120"/>
      <c r="U598" s="1120"/>
      <c r="V598" s="1120"/>
      <c r="W598" s="1120"/>
      <c r="Z598" s="1145"/>
      <c r="AA598" s="1120"/>
      <c r="AB598" s="1120"/>
      <c r="AC598" s="1120"/>
      <c r="AD598" s="1212"/>
      <c r="AE598" s="1212"/>
      <c r="AF598" s="1186"/>
      <c r="AG598" s="1186"/>
      <c r="AH598" s="1222"/>
      <c r="AI598" s="1222"/>
      <c r="AJ598" s="1222"/>
      <c r="AK598" s="1222"/>
      <c r="AL598" s="1222"/>
      <c r="AM598" s="1222"/>
      <c r="AN598" s="1222"/>
      <c r="AO598" s="1222"/>
      <c r="AP598" s="1222"/>
      <c r="AQ598" s="1222"/>
      <c r="AR598" s="1222"/>
      <c r="AS598" s="1222"/>
      <c r="AT598" s="1222"/>
      <c r="AU598" s="1120"/>
      <c r="AV598" s="445"/>
      <c r="AW598" s="607"/>
      <c r="AX598" s="607"/>
      <c r="AY598" s="607"/>
      <c r="AZ598" s="1209"/>
      <c r="BA598" s="1209"/>
    </row>
    <row r="599" spans="2:53" s="256" customFormat="1" ht="24.95" customHeight="1">
      <c r="B599" s="445"/>
      <c r="C599" s="204"/>
      <c r="D599" s="204"/>
      <c r="E599" s="204"/>
      <c r="F599" s="368"/>
      <c r="G599" s="1134"/>
      <c r="H599" s="401"/>
      <c r="I599" s="317"/>
      <c r="N599" s="317"/>
      <c r="O599" s="1135"/>
      <c r="P599" s="1136"/>
      <c r="Q599" s="1137"/>
      <c r="R599" s="1120"/>
      <c r="S599" s="1120"/>
      <c r="T599" s="1120"/>
      <c r="U599" s="1120"/>
      <c r="V599" s="1120"/>
      <c r="W599" s="1120"/>
      <c r="Z599" s="1145"/>
      <c r="AA599" s="1120"/>
      <c r="AB599" s="1120"/>
      <c r="AC599" s="1120"/>
      <c r="AD599" s="1212"/>
      <c r="AE599" s="1212"/>
      <c r="AF599" s="1186"/>
      <c r="AG599" s="1186"/>
      <c r="AH599" s="1222"/>
      <c r="AI599" s="1222"/>
      <c r="AJ599" s="1222"/>
      <c r="AK599" s="1222"/>
      <c r="AL599" s="1222"/>
      <c r="AM599" s="1222"/>
      <c r="AN599" s="1222"/>
      <c r="AO599" s="1222"/>
      <c r="AP599" s="1222"/>
      <c r="AQ599" s="1222"/>
      <c r="AR599" s="1222"/>
      <c r="AS599" s="1222"/>
      <c r="AT599" s="1222"/>
      <c r="AU599" s="1120"/>
      <c r="AV599" s="445"/>
      <c r="AW599" s="607"/>
      <c r="AX599" s="607"/>
      <c r="AY599" s="607"/>
      <c r="AZ599" s="1209"/>
      <c r="BA599" s="1209"/>
    </row>
    <row r="600" spans="2:53" s="256" customFormat="1" ht="24.95" customHeight="1">
      <c r="B600" s="445"/>
      <c r="C600" s="204"/>
      <c r="D600" s="204"/>
      <c r="E600" s="204"/>
      <c r="F600" s="368"/>
      <c r="G600" s="1134"/>
      <c r="H600" s="401"/>
      <c r="I600" s="317"/>
      <c r="N600" s="317"/>
      <c r="O600" s="1135"/>
      <c r="P600" s="1136"/>
      <c r="Q600" s="1137"/>
      <c r="R600" s="1120"/>
      <c r="S600" s="1120"/>
      <c r="T600" s="1120"/>
      <c r="U600" s="1120"/>
      <c r="V600" s="1120"/>
      <c r="W600" s="1120"/>
      <c r="Z600" s="1145"/>
      <c r="AA600" s="1120"/>
      <c r="AB600" s="1120"/>
      <c r="AC600" s="1120"/>
      <c r="AD600" s="1212"/>
      <c r="AE600" s="1212"/>
      <c r="AF600" s="1186"/>
      <c r="AG600" s="1186"/>
      <c r="AH600" s="1222"/>
      <c r="AI600" s="1222"/>
      <c r="AJ600" s="1222"/>
      <c r="AK600" s="1222"/>
      <c r="AL600" s="1222"/>
      <c r="AM600" s="1222"/>
      <c r="AN600" s="1222"/>
      <c r="AO600" s="1222"/>
      <c r="AP600" s="1222"/>
      <c r="AQ600" s="1222"/>
      <c r="AR600" s="1222"/>
      <c r="AS600" s="1222"/>
      <c r="AT600" s="1222"/>
      <c r="AU600" s="1120"/>
      <c r="AV600" s="445"/>
      <c r="AW600" s="607"/>
      <c r="AX600" s="607"/>
      <c r="AY600" s="607"/>
      <c r="AZ600" s="1209"/>
      <c r="BA600" s="1209"/>
    </row>
    <row r="601" spans="2:53" s="256" customFormat="1" ht="24.95" customHeight="1">
      <c r="B601" s="445"/>
      <c r="C601" s="204"/>
      <c r="D601" s="204"/>
      <c r="E601" s="204"/>
      <c r="F601" s="368"/>
      <c r="G601" s="1134"/>
      <c r="H601" s="401"/>
      <c r="I601" s="317"/>
      <c r="N601" s="317"/>
      <c r="O601" s="1135"/>
      <c r="P601" s="1136"/>
      <c r="Q601" s="1137"/>
      <c r="R601" s="1120"/>
      <c r="S601" s="1120"/>
      <c r="T601" s="1120"/>
      <c r="U601" s="1120"/>
      <c r="V601" s="1120"/>
      <c r="W601" s="1120"/>
      <c r="Z601" s="1145"/>
      <c r="AA601" s="1120"/>
      <c r="AB601" s="1120"/>
      <c r="AC601" s="1120"/>
      <c r="AD601" s="1212"/>
      <c r="AE601" s="1212"/>
      <c r="AF601" s="1186"/>
      <c r="AG601" s="1186"/>
      <c r="AH601" s="1222"/>
      <c r="AI601" s="1222"/>
      <c r="AJ601" s="1222"/>
      <c r="AK601" s="1222"/>
      <c r="AL601" s="1222"/>
      <c r="AM601" s="1222"/>
      <c r="AN601" s="1222"/>
      <c r="AO601" s="1222"/>
      <c r="AP601" s="1222"/>
      <c r="AQ601" s="1222"/>
      <c r="AR601" s="1222"/>
      <c r="AS601" s="1222"/>
      <c r="AT601" s="1222"/>
      <c r="AU601" s="1120"/>
      <c r="AV601" s="445"/>
      <c r="AW601" s="607"/>
      <c r="AX601" s="607"/>
      <c r="AY601" s="607"/>
      <c r="AZ601" s="1209"/>
      <c r="BA601" s="1209"/>
    </row>
    <row r="602" spans="2:53" s="256" customFormat="1" ht="24.95" customHeight="1">
      <c r="B602" s="445"/>
      <c r="C602" s="204"/>
      <c r="D602" s="204"/>
      <c r="E602" s="204"/>
      <c r="F602" s="368"/>
      <c r="G602" s="1134"/>
      <c r="H602" s="401"/>
      <c r="I602" s="317"/>
      <c r="N602" s="317"/>
      <c r="O602" s="1135"/>
      <c r="P602" s="1136"/>
      <c r="Q602" s="1137"/>
      <c r="R602" s="1120"/>
      <c r="S602" s="1120"/>
      <c r="T602" s="1120"/>
      <c r="U602" s="1120"/>
      <c r="V602" s="1120"/>
      <c r="W602" s="1120"/>
      <c r="Z602" s="1145"/>
      <c r="AA602" s="1120"/>
      <c r="AB602" s="1120"/>
      <c r="AC602" s="1120"/>
      <c r="AD602" s="1212"/>
      <c r="AE602" s="1212"/>
      <c r="AF602" s="1186"/>
      <c r="AG602" s="1186"/>
      <c r="AH602" s="1222"/>
      <c r="AI602" s="1222"/>
      <c r="AJ602" s="1222"/>
      <c r="AK602" s="1222"/>
      <c r="AL602" s="1222"/>
      <c r="AM602" s="1222"/>
      <c r="AN602" s="1222"/>
      <c r="AO602" s="1222"/>
      <c r="AP602" s="1222"/>
      <c r="AQ602" s="1222"/>
      <c r="AR602" s="1222"/>
      <c r="AS602" s="1222"/>
      <c r="AT602" s="1222"/>
      <c r="AU602" s="1120"/>
      <c r="AV602" s="445"/>
      <c r="AW602" s="607"/>
      <c r="AX602" s="607"/>
      <c r="AY602" s="607"/>
      <c r="AZ602" s="1209"/>
      <c r="BA602" s="1209"/>
    </row>
    <row r="603" spans="2:53" s="256" customFormat="1" ht="24.95" customHeight="1">
      <c r="B603" s="445"/>
      <c r="C603" s="204"/>
      <c r="D603" s="204"/>
      <c r="E603" s="204"/>
      <c r="F603" s="368"/>
      <c r="G603" s="1134"/>
      <c r="H603" s="401"/>
      <c r="I603" s="317"/>
      <c r="N603" s="317"/>
      <c r="O603" s="1135"/>
      <c r="P603" s="1136"/>
      <c r="Q603" s="1137"/>
      <c r="R603" s="1120"/>
      <c r="S603" s="1120"/>
      <c r="T603" s="1120"/>
      <c r="U603" s="1120"/>
      <c r="V603" s="1120"/>
      <c r="W603" s="1120"/>
      <c r="Z603" s="1145"/>
      <c r="AA603" s="1120"/>
      <c r="AB603" s="1120"/>
      <c r="AC603" s="1120"/>
      <c r="AD603" s="1212"/>
      <c r="AE603" s="1212"/>
      <c r="AF603" s="1186"/>
      <c r="AG603" s="1186"/>
      <c r="AH603" s="1222"/>
      <c r="AI603" s="1222"/>
      <c r="AJ603" s="1222"/>
      <c r="AK603" s="1222"/>
      <c r="AL603" s="1222"/>
      <c r="AM603" s="1222"/>
      <c r="AN603" s="1222"/>
      <c r="AO603" s="1222"/>
      <c r="AP603" s="1222"/>
      <c r="AQ603" s="1222"/>
      <c r="AR603" s="1222"/>
      <c r="AS603" s="1222"/>
      <c r="AT603" s="1222"/>
      <c r="AU603" s="1120"/>
      <c r="AV603" s="445"/>
      <c r="AW603" s="607"/>
      <c r="AX603" s="607"/>
      <c r="AY603" s="607"/>
      <c r="AZ603" s="1209"/>
      <c r="BA603" s="1209"/>
    </row>
    <row r="604" spans="2:53" s="256" customFormat="1" ht="24.95" customHeight="1">
      <c r="B604" s="445"/>
      <c r="C604" s="204"/>
      <c r="D604" s="204"/>
      <c r="E604" s="204"/>
      <c r="F604" s="368"/>
      <c r="G604" s="1134"/>
      <c r="H604" s="401"/>
      <c r="I604" s="317"/>
      <c r="N604" s="317"/>
      <c r="O604" s="1135"/>
      <c r="P604" s="1136"/>
      <c r="Q604" s="1137"/>
      <c r="R604" s="1120"/>
      <c r="S604" s="1120"/>
      <c r="T604" s="1120"/>
      <c r="U604" s="1120"/>
      <c r="V604" s="1120"/>
      <c r="W604" s="1120"/>
      <c r="Z604" s="1145"/>
      <c r="AA604" s="1120"/>
      <c r="AB604" s="1120"/>
      <c r="AC604" s="1120"/>
      <c r="AD604" s="1212"/>
      <c r="AE604" s="1212"/>
      <c r="AF604" s="1186"/>
      <c r="AG604" s="1186"/>
      <c r="AH604" s="1222"/>
      <c r="AI604" s="1222"/>
      <c r="AJ604" s="1222"/>
      <c r="AK604" s="1222"/>
      <c r="AL604" s="1222"/>
      <c r="AM604" s="1222"/>
      <c r="AN604" s="1222"/>
      <c r="AO604" s="1222"/>
      <c r="AP604" s="1222"/>
      <c r="AQ604" s="1222"/>
      <c r="AR604" s="1222"/>
      <c r="AS604" s="1222"/>
      <c r="AT604" s="1222"/>
      <c r="AU604" s="1120"/>
      <c r="AV604" s="445"/>
      <c r="AW604" s="607"/>
      <c r="AX604" s="607"/>
      <c r="AY604" s="607"/>
      <c r="AZ604" s="1209"/>
      <c r="BA604" s="1209"/>
    </row>
    <row r="605" spans="2:53" s="256" customFormat="1" ht="24.95" customHeight="1">
      <c r="B605" s="445"/>
      <c r="C605" s="204"/>
      <c r="D605" s="204"/>
      <c r="E605" s="204"/>
      <c r="F605" s="368"/>
      <c r="G605" s="1134"/>
      <c r="H605" s="401"/>
      <c r="I605" s="317"/>
      <c r="N605" s="317"/>
      <c r="O605" s="1135"/>
      <c r="P605" s="1136"/>
      <c r="Q605" s="1137"/>
      <c r="R605" s="1120"/>
      <c r="S605" s="1120"/>
      <c r="T605" s="1120"/>
      <c r="U605" s="1120"/>
      <c r="V605" s="1120"/>
      <c r="W605" s="1120"/>
      <c r="Z605" s="1145"/>
      <c r="AA605" s="1120"/>
      <c r="AB605" s="1120"/>
      <c r="AC605" s="1120"/>
      <c r="AD605" s="1212"/>
      <c r="AE605" s="1212"/>
      <c r="AF605" s="1186"/>
      <c r="AG605" s="1186"/>
      <c r="AH605" s="1222"/>
      <c r="AI605" s="1222"/>
      <c r="AJ605" s="1222"/>
      <c r="AK605" s="1222"/>
      <c r="AL605" s="1222"/>
      <c r="AM605" s="1222"/>
      <c r="AN605" s="1222"/>
      <c r="AO605" s="1222"/>
      <c r="AP605" s="1222"/>
      <c r="AQ605" s="1222"/>
      <c r="AR605" s="1222"/>
      <c r="AS605" s="1222"/>
      <c r="AT605" s="1222"/>
      <c r="AU605" s="1120"/>
      <c r="AV605" s="445"/>
      <c r="AW605" s="607"/>
      <c r="AX605" s="607"/>
      <c r="AY605" s="607"/>
      <c r="AZ605" s="1209"/>
      <c r="BA605" s="1209"/>
    </row>
    <row r="606" spans="2:53" s="256" customFormat="1" ht="24.95" customHeight="1">
      <c r="B606" s="445"/>
      <c r="C606" s="204"/>
      <c r="D606" s="204"/>
      <c r="E606" s="204"/>
      <c r="F606" s="368"/>
      <c r="G606" s="1134"/>
      <c r="H606" s="401"/>
      <c r="I606" s="317"/>
      <c r="N606" s="317"/>
      <c r="O606" s="1135"/>
      <c r="P606" s="1136"/>
      <c r="Q606" s="1137"/>
      <c r="R606" s="1120"/>
      <c r="S606" s="1120"/>
      <c r="T606" s="1120"/>
      <c r="U606" s="1120"/>
      <c r="V606" s="1120"/>
      <c r="W606" s="1120"/>
      <c r="Z606" s="1145"/>
      <c r="AA606" s="1120"/>
      <c r="AB606" s="1120"/>
      <c r="AC606" s="1120"/>
      <c r="AD606" s="1212"/>
      <c r="AE606" s="1212"/>
      <c r="AF606" s="1186"/>
      <c r="AG606" s="1186"/>
      <c r="AH606" s="1222"/>
      <c r="AI606" s="1222"/>
      <c r="AJ606" s="1222"/>
      <c r="AK606" s="1222"/>
      <c r="AL606" s="1222"/>
      <c r="AM606" s="1222"/>
      <c r="AN606" s="1222"/>
      <c r="AO606" s="1222"/>
      <c r="AP606" s="1222"/>
      <c r="AQ606" s="1222"/>
      <c r="AR606" s="1222"/>
      <c r="AS606" s="1222"/>
      <c r="AT606" s="1222"/>
      <c r="AU606" s="1120"/>
      <c r="AV606" s="445"/>
      <c r="AW606" s="607"/>
      <c r="AX606" s="607"/>
      <c r="AY606" s="607"/>
      <c r="AZ606" s="1209"/>
      <c r="BA606" s="1209"/>
    </row>
    <row r="607" spans="2:53" s="256" customFormat="1" ht="24.95" customHeight="1">
      <c r="B607" s="445"/>
      <c r="C607" s="204"/>
      <c r="D607" s="204"/>
      <c r="E607" s="204"/>
      <c r="F607" s="368"/>
      <c r="G607" s="1134"/>
      <c r="H607" s="401"/>
      <c r="I607" s="317"/>
      <c r="N607" s="317"/>
      <c r="O607" s="1135"/>
      <c r="P607" s="1136"/>
      <c r="Q607" s="1137"/>
      <c r="R607" s="1120"/>
      <c r="S607" s="1120"/>
      <c r="T607" s="1120"/>
      <c r="U607" s="1120"/>
      <c r="V607" s="1120"/>
      <c r="W607" s="1120"/>
      <c r="Z607" s="1145"/>
      <c r="AA607" s="1120"/>
      <c r="AB607" s="1120"/>
      <c r="AC607" s="1120"/>
      <c r="AD607" s="1212"/>
      <c r="AE607" s="1212"/>
      <c r="AF607" s="1186"/>
      <c r="AG607" s="1186"/>
      <c r="AH607" s="1222"/>
      <c r="AI607" s="1222"/>
      <c r="AJ607" s="1222"/>
      <c r="AK607" s="1222"/>
      <c r="AL607" s="1222"/>
      <c r="AM607" s="1222"/>
      <c r="AN607" s="1222"/>
      <c r="AO607" s="1222"/>
      <c r="AP607" s="1222"/>
      <c r="AQ607" s="1222"/>
      <c r="AR607" s="1222"/>
      <c r="AS607" s="1222"/>
      <c r="AT607" s="1222"/>
      <c r="AU607" s="1120"/>
      <c r="AV607" s="445"/>
      <c r="AW607" s="607"/>
      <c r="AX607" s="607"/>
      <c r="AY607" s="607"/>
      <c r="AZ607" s="1209"/>
      <c r="BA607" s="1209"/>
    </row>
    <row r="608" spans="2:53" s="256" customFormat="1" ht="24.95" customHeight="1">
      <c r="B608" s="445"/>
      <c r="C608" s="204"/>
      <c r="D608" s="204"/>
      <c r="E608" s="204"/>
      <c r="F608" s="368"/>
      <c r="G608" s="1134"/>
      <c r="H608" s="401"/>
      <c r="I608" s="317"/>
      <c r="N608" s="317"/>
      <c r="O608" s="1135"/>
      <c r="P608" s="1136"/>
      <c r="Q608" s="1137"/>
      <c r="R608" s="1120"/>
      <c r="S608" s="1120"/>
      <c r="T608" s="1120"/>
      <c r="U608" s="1120"/>
      <c r="V608" s="1120"/>
      <c r="W608" s="1120"/>
      <c r="Z608" s="1145"/>
      <c r="AA608" s="1120"/>
      <c r="AB608" s="1120"/>
      <c r="AC608" s="1120"/>
      <c r="AD608" s="1212"/>
      <c r="AE608" s="1212"/>
      <c r="AF608" s="1186"/>
      <c r="AG608" s="1186"/>
      <c r="AH608" s="1222"/>
      <c r="AI608" s="1222"/>
      <c r="AJ608" s="1222"/>
      <c r="AK608" s="1222"/>
      <c r="AL608" s="1222"/>
      <c r="AM608" s="1222"/>
      <c r="AN608" s="1222"/>
      <c r="AO608" s="1222"/>
      <c r="AP608" s="1222"/>
      <c r="AQ608" s="1222"/>
      <c r="AR608" s="1222"/>
      <c r="AS608" s="1222"/>
      <c r="AT608" s="1222"/>
      <c r="AU608" s="1120"/>
      <c r="AV608" s="445"/>
      <c r="AW608" s="607"/>
      <c r="AX608" s="607"/>
      <c r="AY608" s="607"/>
      <c r="AZ608" s="1209"/>
      <c r="BA608" s="1209"/>
    </row>
    <row r="609" spans="2:53" s="256" customFormat="1" ht="24.95" customHeight="1">
      <c r="B609" s="445"/>
      <c r="C609" s="204"/>
      <c r="D609" s="204"/>
      <c r="E609" s="204"/>
      <c r="F609" s="368"/>
      <c r="G609" s="1134"/>
      <c r="H609" s="401"/>
      <c r="I609" s="317"/>
      <c r="N609" s="317"/>
      <c r="O609" s="1135"/>
      <c r="P609" s="1136"/>
      <c r="Q609" s="1137"/>
      <c r="R609" s="1120"/>
      <c r="S609" s="1120"/>
      <c r="T609" s="1120"/>
      <c r="U609" s="1120"/>
      <c r="V609" s="1120"/>
      <c r="W609" s="1120"/>
      <c r="Z609" s="1145"/>
      <c r="AA609" s="1120"/>
      <c r="AB609" s="1120"/>
      <c r="AC609" s="1120"/>
      <c r="AD609" s="1212"/>
      <c r="AE609" s="1212"/>
      <c r="AF609" s="1186"/>
      <c r="AG609" s="1186"/>
      <c r="AH609" s="1222"/>
      <c r="AI609" s="1222"/>
      <c r="AJ609" s="1222"/>
      <c r="AK609" s="1222"/>
      <c r="AL609" s="1222"/>
      <c r="AM609" s="1222"/>
      <c r="AN609" s="1222"/>
      <c r="AO609" s="1222"/>
      <c r="AP609" s="1222"/>
      <c r="AQ609" s="1222"/>
      <c r="AR609" s="1222"/>
      <c r="AS609" s="1222"/>
      <c r="AT609" s="1222"/>
      <c r="AU609" s="1120"/>
      <c r="AV609" s="445"/>
      <c r="AW609" s="607"/>
      <c r="AX609" s="607"/>
      <c r="AY609" s="607"/>
      <c r="AZ609" s="1209"/>
      <c r="BA609" s="1209"/>
    </row>
    <row r="610" spans="2:53" s="256" customFormat="1" ht="24.95" customHeight="1">
      <c r="B610" s="445"/>
      <c r="C610" s="204"/>
      <c r="D610" s="204"/>
      <c r="E610" s="204"/>
      <c r="F610" s="368"/>
      <c r="G610" s="1134"/>
      <c r="H610" s="401"/>
      <c r="I610" s="317"/>
      <c r="N610" s="317"/>
      <c r="O610" s="1135"/>
      <c r="P610" s="1136"/>
      <c r="Q610" s="1137"/>
      <c r="R610" s="1120"/>
      <c r="S610" s="1120"/>
      <c r="T610" s="1120"/>
      <c r="U610" s="1120"/>
      <c r="V610" s="1120"/>
      <c r="W610" s="1120"/>
      <c r="Z610" s="1145"/>
      <c r="AA610" s="1120"/>
      <c r="AB610" s="1120"/>
      <c r="AC610" s="1120"/>
      <c r="AD610" s="1212"/>
      <c r="AE610" s="1212"/>
      <c r="AF610" s="1186"/>
      <c r="AG610" s="1186"/>
      <c r="AH610" s="1222"/>
      <c r="AI610" s="1222"/>
      <c r="AJ610" s="1222"/>
      <c r="AK610" s="1222"/>
      <c r="AL610" s="1222"/>
      <c r="AM610" s="1222"/>
      <c r="AN610" s="1222"/>
      <c r="AO610" s="1222"/>
      <c r="AP610" s="1222"/>
      <c r="AQ610" s="1222"/>
      <c r="AR610" s="1222"/>
      <c r="AS610" s="1222"/>
      <c r="AT610" s="1222"/>
      <c r="AU610" s="1120"/>
      <c r="AV610" s="445"/>
      <c r="AW610" s="607"/>
      <c r="AX610" s="607"/>
      <c r="AY610" s="607"/>
      <c r="AZ610" s="1209"/>
      <c r="BA610" s="1209"/>
    </row>
    <row r="611" spans="2:53" s="256" customFormat="1" ht="24.95" customHeight="1">
      <c r="B611" s="445"/>
      <c r="C611" s="204"/>
      <c r="D611" s="204"/>
      <c r="E611" s="204"/>
      <c r="F611" s="368"/>
      <c r="G611" s="1134"/>
      <c r="H611" s="401"/>
      <c r="I611" s="317"/>
      <c r="N611" s="317"/>
      <c r="O611" s="1135"/>
      <c r="P611" s="1136"/>
      <c r="Q611" s="1137"/>
      <c r="R611" s="1120"/>
      <c r="S611" s="1120"/>
      <c r="T611" s="1120"/>
      <c r="U611" s="1120"/>
      <c r="V611" s="1120"/>
      <c r="W611" s="1120"/>
      <c r="Z611" s="1145"/>
      <c r="AA611" s="1120"/>
      <c r="AB611" s="1120"/>
      <c r="AC611" s="1120"/>
      <c r="AD611" s="1212"/>
      <c r="AE611" s="1212"/>
      <c r="AF611" s="1186"/>
      <c r="AG611" s="1186"/>
      <c r="AH611" s="1222"/>
      <c r="AI611" s="1222"/>
      <c r="AJ611" s="1222"/>
      <c r="AK611" s="1222"/>
      <c r="AL611" s="1222"/>
      <c r="AM611" s="1222"/>
      <c r="AN611" s="1222"/>
      <c r="AO611" s="1222"/>
      <c r="AP611" s="1222"/>
      <c r="AQ611" s="1222"/>
      <c r="AR611" s="1222"/>
      <c r="AS611" s="1222"/>
      <c r="AT611" s="1222"/>
      <c r="AU611" s="1120"/>
      <c r="AV611" s="445"/>
      <c r="AW611" s="607"/>
      <c r="AX611" s="607"/>
      <c r="AY611" s="607"/>
      <c r="AZ611" s="1209"/>
      <c r="BA611" s="1209"/>
    </row>
    <row r="612" spans="2:53" s="256" customFormat="1" ht="24.95" customHeight="1">
      <c r="B612" s="445"/>
      <c r="C612" s="204"/>
      <c r="D612" s="204"/>
      <c r="E612" s="204"/>
      <c r="F612" s="368"/>
      <c r="G612" s="1134"/>
      <c r="H612" s="401"/>
      <c r="I612" s="317"/>
      <c r="N612" s="317"/>
      <c r="O612" s="1135"/>
      <c r="P612" s="1136"/>
      <c r="Q612" s="1137"/>
      <c r="R612" s="1120"/>
      <c r="S612" s="1120"/>
      <c r="T612" s="1120"/>
      <c r="U612" s="1120"/>
      <c r="V612" s="1120"/>
      <c r="W612" s="1120"/>
      <c r="Z612" s="1145"/>
      <c r="AA612" s="1120"/>
      <c r="AB612" s="1120"/>
      <c r="AC612" s="1120"/>
      <c r="AD612" s="1212"/>
      <c r="AE612" s="1212"/>
      <c r="AF612" s="1186"/>
      <c r="AG612" s="1186"/>
      <c r="AH612" s="1222"/>
      <c r="AI612" s="1222"/>
      <c r="AJ612" s="1222"/>
      <c r="AK612" s="1222"/>
      <c r="AL612" s="1222"/>
      <c r="AM612" s="1222"/>
      <c r="AN612" s="1222"/>
      <c r="AO612" s="1222"/>
      <c r="AP612" s="1222"/>
      <c r="AQ612" s="1222"/>
      <c r="AR612" s="1222"/>
      <c r="AS612" s="1222"/>
      <c r="AT612" s="1222"/>
      <c r="AU612" s="1120"/>
      <c r="AV612" s="445"/>
      <c r="AW612" s="607"/>
      <c r="AX612" s="607"/>
      <c r="AY612" s="607"/>
      <c r="AZ612" s="1209"/>
      <c r="BA612" s="1209"/>
    </row>
    <row r="613" spans="2:53" s="256" customFormat="1" ht="24.95" customHeight="1">
      <c r="B613" s="445"/>
      <c r="C613" s="204"/>
      <c r="D613" s="204"/>
      <c r="E613" s="204"/>
      <c r="F613" s="368"/>
      <c r="G613" s="1134"/>
      <c r="H613" s="401"/>
      <c r="I613" s="317"/>
      <c r="N613" s="317"/>
      <c r="O613" s="1135"/>
      <c r="P613" s="1136"/>
      <c r="Q613" s="1137"/>
      <c r="R613" s="1120"/>
      <c r="S613" s="1120"/>
      <c r="T613" s="1120"/>
      <c r="U613" s="1120"/>
      <c r="V613" s="1120"/>
      <c r="W613" s="1120"/>
      <c r="Z613" s="1145"/>
      <c r="AA613" s="1120"/>
      <c r="AB613" s="1120"/>
      <c r="AC613" s="1120"/>
      <c r="AD613" s="1212"/>
      <c r="AE613" s="1212"/>
      <c r="AF613" s="1186"/>
      <c r="AG613" s="1186"/>
      <c r="AH613" s="1222"/>
      <c r="AI613" s="1222"/>
      <c r="AJ613" s="1222"/>
      <c r="AK613" s="1222"/>
      <c r="AL613" s="1222"/>
      <c r="AM613" s="1222"/>
      <c r="AN613" s="1222"/>
      <c r="AO613" s="1222"/>
      <c r="AP613" s="1222"/>
      <c r="AQ613" s="1222"/>
      <c r="AR613" s="1222"/>
      <c r="AS613" s="1222"/>
      <c r="AT613" s="1222"/>
      <c r="AU613" s="1120"/>
      <c r="AV613" s="445"/>
      <c r="AW613" s="607"/>
      <c r="AX613" s="607"/>
      <c r="AY613" s="607"/>
      <c r="AZ613" s="1209"/>
      <c r="BA613" s="1209"/>
    </row>
    <row r="614" spans="2:53" s="256" customFormat="1" ht="24.95" customHeight="1">
      <c r="B614" s="445"/>
      <c r="C614" s="204"/>
      <c r="D614" s="204"/>
      <c r="E614" s="204"/>
      <c r="F614" s="368"/>
      <c r="G614" s="1134"/>
      <c r="H614" s="401"/>
      <c r="I614" s="317"/>
      <c r="N614" s="317"/>
      <c r="O614" s="1135"/>
      <c r="P614" s="1136"/>
      <c r="Q614" s="1137"/>
      <c r="R614" s="1120"/>
      <c r="S614" s="1120"/>
      <c r="T614" s="1120"/>
      <c r="U614" s="1120"/>
      <c r="V614" s="1120"/>
      <c r="W614" s="1120"/>
      <c r="Z614" s="1145"/>
      <c r="AA614" s="1120"/>
      <c r="AB614" s="1120"/>
      <c r="AC614" s="1120"/>
      <c r="AD614" s="1212"/>
      <c r="AE614" s="1212"/>
      <c r="AF614" s="1186"/>
      <c r="AG614" s="1186"/>
      <c r="AH614" s="1222"/>
      <c r="AI614" s="1222"/>
      <c r="AJ614" s="1222"/>
      <c r="AK614" s="1222"/>
      <c r="AL614" s="1222"/>
      <c r="AM614" s="1222"/>
      <c r="AN614" s="1222"/>
      <c r="AO614" s="1222"/>
      <c r="AP614" s="1222"/>
      <c r="AQ614" s="1222"/>
      <c r="AR614" s="1222"/>
      <c r="AS614" s="1222"/>
      <c r="AT614" s="1222"/>
      <c r="AU614" s="1120"/>
      <c r="AV614" s="445"/>
      <c r="AW614" s="607"/>
      <c r="AX614" s="607"/>
      <c r="AY614" s="607"/>
      <c r="AZ614" s="1209"/>
      <c r="BA614" s="1209"/>
    </row>
    <row r="615" spans="2:53" s="256" customFormat="1" ht="24.95" customHeight="1">
      <c r="B615" s="445"/>
      <c r="C615" s="204"/>
      <c r="D615" s="204"/>
      <c r="E615" s="204"/>
      <c r="F615" s="368"/>
      <c r="G615" s="1134"/>
      <c r="H615" s="401"/>
      <c r="I615" s="317"/>
      <c r="N615" s="317"/>
      <c r="O615" s="1135"/>
      <c r="P615" s="1136"/>
      <c r="Q615" s="1137"/>
      <c r="R615" s="1120"/>
      <c r="S615" s="1120"/>
      <c r="T615" s="1120"/>
      <c r="U615" s="1120"/>
      <c r="V615" s="1120"/>
      <c r="W615" s="1120"/>
      <c r="Z615" s="1145"/>
      <c r="AA615" s="1120"/>
      <c r="AB615" s="1120"/>
      <c r="AC615" s="1120"/>
      <c r="AD615" s="1212"/>
      <c r="AE615" s="1212"/>
      <c r="AF615" s="1186"/>
      <c r="AG615" s="1186"/>
      <c r="AH615" s="1222"/>
      <c r="AI615" s="1222"/>
      <c r="AJ615" s="1222"/>
      <c r="AK615" s="1222"/>
      <c r="AL615" s="1222"/>
      <c r="AM615" s="1222"/>
      <c r="AN615" s="1222"/>
      <c r="AO615" s="1222"/>
      <c r="AP615" s="1222"/>
      <c r="AQ615" s="1222"/>
      <c r="AR615" s="1222"/>
      <c r="AS615" s="1222"/>
      <c r="AT615" s="1222"/>
      <c r="AU615" s="1120"/>
      <c r="AV615" s="445"/>
      <c r="AW615" s="607"/>
      <c r="AX615" s="607"/>
      <c r="AY615" s="607"/>
      <c r="AZ615" s="1209"/>
      <c r="BA615" s="1209"/>
    </row>
    <row r="616" spans="2:53" s="256" customFormat="1" ht="24.95" customHeight="1">
      <c r="B616" s="445"/>
      <c r="C616" s="204"/>
      <c r="D616" s="204"/>
      <c r="E616" s="204"/>
      <c r="F616" s="368"/>
      <c r="G616" s="1134"/>
      <c r="H616" s="401"/>
      <c r="I616" s="317"/>
      <c r="N616" s="317"/>
      <c r="O616" s="1135"/>
      <c r="P616" s="1136"/>
      <c r="Q616" s="1137"/>
      <c r="R616" s="1120"/>
      <c r="S616" s="1120"/>
      <c r="T616" s="1120"/>
      <c r="U616" s="1120"/>
      <c r="V616" s="1120"/>
      <c r="W616" s="1120"/>
      <c r="Z616" s="1145"/>
      <c r="AA616" s="1120"/>
      <c r="AB616" s="1120"/>
      <c r="AC616" s="1120"/>
      <c r="AD616" s="1212"/>
      <c r="AE616" s="1212"/>
      <c r="AF616" s="1186"/>
      <c r="AG616" s="1186"/>
      <c r="AH616" s="1222"/>
      <c r="AI616" s="1222"/>
      <c r="AJ616" s="1222"/>
      <c r="AK616" s="1222"/>
      <c r="AL616" s="1222"/>
      <c r="AM616" s="1222"/>
      <c r="AN616" s="1222"/>
      <c r="AO616" s="1222"/>
      <c r="AP616" s="1222"/>
      <c r="AQ616" s="1222"/>
      <c r="AR616" s="1222"/>
      <c r="AS616" s="1222"/>
      <c r="AT616" s="1222"/>
      <c r="AU616" s="1120"/>
      <c r="AV616" s="445"/>
      <c r="AW616" s="607"/>
      <c r="AX616" s="607"/>
      <c r="AY616" s="607"/>
      <c r="AZ616" s="1209"/>
      <c r="BA616" s="1209"/>
    </row>
    <row r="617" spans="2:53" s="256" customFormat="1" ht="24.95" customHeight="1">
      <c r="B617" s="445"/>
      <c r="C617" s="204"/>
      <c r="D617" s="204"/>
      <c r="E617" s="204"/>
      <c r="F617" s="368"/>
      <c r="G617" s="1134"/>
      <c r="H617" s="401"/>
      <c r="I617" s="317"/>
      <c r="N617" s="317"/>
      <c r="O617" s="1135"/>
      <c r="P617" s="1136"/>
      <c r="Q617" s="1137"/>
      <c r="R617" s="1120"/>
      <c r="S617" s="1120"/>
      <c r="T617" s="1120"/>
      <c r="U617" s="1120"/>
      <c r="V617" s="1120"/>
      <c r="W617" s="1120"/>
      <c r="Z617" s="1145"/>
      <c r="AA617" s="1120"/>
      <c r="AB617" s="1120"/>
      <c r="AC617" s="1120"/>
      <c r="AD617" s="1212"/>
      <c r="AE617" s="1212"/>
      <c r="AF617" s="1186"/>
      <c r="AG617" s="1186"/>
      <c r="AH617" s="1222"/>
      <c r="AI617" s="1222"/>
      <c r="AJ617" s="1222"/>
      <c r="AK617" s="1222"/>
      <c r="AL617" s="1222"/>
      <c r="AM617" s="1222"/>
      <c r="AN617" s="1222"/>
      <c r="AO617" s="1222"/>
      <c r="AP617" s="1222"/>
      <c r="AQ617" s="1222"/>
      <c r="AR617" s="1222"/>
      <c r="AS617" s="1222"/>
      <c r="AT617" s="1222"/>
      <c r="AU617" s="1120"/>
      <c r="AV617" s="445"/>
      <c r="AW617" s="607"/>
      <c r="AX617" s="607"/>
      <c r="AY617" s="607"/>
      <c r="AZ617" s="1209"/>
      <c r="BA617" s="1209"/>
    </row>
    <row r="618" spans="2:53" s="256" customFormat="1" ht="24.95" customHeight="1">
      <c r="B618" s="445"/>
      <c r="C618" s="204"/>
      <c r="D618" s="204"/>
      <c r="E618" s="204"/>
      <c r="F618" s="368"/>
      <c r="G618" s="1134"/>
      <c r="H618" s="401"/>
      <c r="I618" s="317"/>
      <c r="N618" s="317"/>
      <c r="O618" s="1135"/>
      <c r="P618" s="1136"/>
      <c r="Q618" s="1137"/>
      <c r="R618" s="1120"/>
      <c r="S618" s="1120"/>
      <c r="T618" s="1120"/>
      <c r="U618" s="1120"/>
      <c r="V618" s="1120"/>
      <c r="W618" s="1120"/>
      <c r="Z618" s="1145"/>
      <c r="AA618" s="1120"/>
      <c r="AB618" s="1120"/>
      <c r="AC618" s="1120"/>
      <c r="AD618" s="1212"/>
      <c r="AE618" s="1212"/>
      <c r="AF618" s="1186"/>
      <c r="AG618" s="1186"/>
      <c r="AH618" s="1222"/>
      <c r="AI618" s="1222"/>
      <c r="AJ618" s="1222"/>
      <c r="AK618" s="1222"/>
      <c r="AL618" s="1222"/>
      <c r="AM618" s="1222"/>
      <c r="AN618" s="1222"/>
      <c r="AO618" s="1222"/>
      <c r="AP618" s="1222"/>
      <c r="AQ618" s="1222"/>
      <c r="AR618" s="1222"/>
      <c r="AS618" s="1222"/>
      <c r="AT618" s="1222"/>
      <c r="AU618" s="1120"/>
      <c r="AV618" s="445"/>
      <c r="AW618" s="607"/>
      <c r="AX618" s="607"/>
      <c r="AY618" s="607"/>
      <c r="AZ618" s="1209"/>
      <c r="BA618" s="1209"/>
    </row>
    <row r="619" spans="2:53" s="256" customFormat="1" ht="24.95" customHeight="1">
      <c r="B619" s="445"/>
      <c r="C619" s="204"/>
      <c r="D619" s="204"/>
      <c r="E619" s="204"/>
      <c r="F619" s="368"/>
      <c r="G619" s="1134"/>
      <c r="H619" s="401"/>
      <c r="I619" s="317"/>
      <c r="N619" s="317"/>
      <c r="O619" s="1135"/>
      <c r="P619" s="1136"/>
      <c r="Q619" s="1137"/>
      <c r="R619" s="1120"/>
      <c r="S619" s="1120"/>
      <c r="T619" s="1120"/>
      <c r="U619" s="1120"/>
      <c r="V619" s="1120"/>
      <c r="W619" s="1120"/>
      <c r="Z619" s="1145"/>
      <c r="AA619" s="1120"/>
      <c r="AB619" s="1120"/>
      <c r="AC619" s="1120"/>
      <c r="AD619" s="1212"/>
      <c r="AE619" s="1212"/>
      <c r="AF619" s="1186"/>
      <c r="AG619" s="1186"/>
      <c r="AH619" s="1222"/>
      <c r="AI619" s="1222"/>
      <c r="AJ619" s="1222"/>
      <c r="AK619" s="1222"/>
      <c r="AL619" s="1222"/>
      <c r="AM619" s="1222"/>
      <c r="AN619" s="1222"/>
      <c r="AO619" s="1222"/>
      <c r="AP619" s="1222"/>
      <c r="AQ619" s="1222"/>
      <c r="AR619" s="1222"/>
      <c r="AS619" s="1222"/>
      <c r="AT619" s="1222"/>
      <c r="AU619" s="1120"/>
      <c r="AV619" s="445"/>
      <c r="AW619" s="607"/>
      <c r="AX619" s="607"/>
      <c r="AY619" s="607"/>
      <c r="AZ619" s="1209"/>
      <c r="BA619" s="1209"/>
    </row>
    <row r="620" spans="2:53" s="256" customFormat="1" ht="24.95" customHeight="1">
      <c r="B620" s="445"/>
      <c r="C620" s="204"/>
      <c r="D620" s="204"/>
      <c r="E620" s="204"/>
      <c r="F620" s="368"/>
      <c r="G620" s="1134"/>
      <c r="H620" s="401"/>
      <c r="I620" s="317"/>
      <c r="N620" s="317"/>
      <c r="O620" s="1135"/>
      <c r="P620" s="1136"/>
      <c r="Q620" s="1137"/>
      <c r="R620" s="1120"/>
      <c r="S620" s="1120"/>
      <c r="T620" s="1120"/>
      <c r="U620" s="1120"/>
      <c r="V620" s="1120"/>
      <c r="W620" s="1120"/>
      <c r="Z620" s="1145"/>
      <c r="AA620" s="1120"/>
      <c r="AB620" s="1120"/>
      <c r="AC620" s="1120"/>
      <c r="AD620" s="1212"/>
      <c r="AE620" s="1212"/>
      <c r="AF620" s="1186"/>
      <c r="AG620" s="1186"/>
      <c r="AH620" s="1222"/>
      <c r="AI620" s="1222"/>
      <c r="AJ620" s="1222"/>
      <c r="AK620" s="1222"/>
      <c r="AL620" s="1222"/>
      <c r="AM620" s="1222"/>
      <c r="AN620" s="1222"/>
      <c r="AO620" s="1222"/>
      <c r="AP620" s="1222"/>
      <c r="AQ620" s="1222"/>
      <c r="AR620" s="1222"/>
      <c r="AS620" s="1222"/>
      <c r="AT620" s="1222"/>
      <c r="AU620" s="1120"/>
      <c r="AV620" s="445"/>
      <c r="AW620" s="607"/>
      <c r="AX620" s="607"/>
      <c r="AY620" s="607"/>
      <c r="AZ620" s="1209"/>
      <c r="BA620" s="1209"/>
    </row>
    <row r="621" spans="2:53" s="256" customFormat="1" ht="24.95" customHeight="1">
      <c r="B621" s="445"/>
      <c r="C621" s="204"/>
      <c r="D621" s="204"/>
      <c r="E621" s="204"/>
      <c r="F621" s="368"/>
      <c r="G621" s="1134"/>
      <c r="H621" s="401"/>
      <c r="I621" s="317"/>
      <c r="N621" s="317"/>
      <c r="O621" s="1135"/>
      <c r="P621" s="1136"/>
      <c r="Q621" s="1137"/>
      <c r="R621" s="1120"/>
      <c r="S621" s="1120"/>
      <c r="T621" s="1120"/>
      <c r="U621" s="1120"/>
      <c r="V621" s="1120"/>
      <c r="W621" s="1120"/>
      <c r="Z621" s="1145"/>
      <c r="AA621" s="1120"/>
      <c r="AB621" s="1120"/>
      <c r="AC621" s="1120"/>
      <c r="AD621" s="1212"/>
      <c r="AE621" s="1212"/>
      <c r="AF621" s="1186"/>
      <c r="AG621" s="1186"/>
      <c r="AH621" s="1222"/>
      <c r="AI621" s="1222"/>
      <c r="AJ621" s="1222"/>
      <c r="AK621" s="1222"/>
      <c r="AL621" s="1222"/>
      <c r="AM621" s="1222"/>
      <c r="AN621" s="1222"/>
      <c r="AO621" s="1222"/>
      <c r="AP621" s="1222"/>
      <c r="AQ621" s="1222"/>
      <c r="AR621" s="1222"/>
      <c r="AS621" s="1222"/>
      <c r="AT621" s="1222"/>
      <c r="AU621" s="1120"/>
      <c r="AV621" s="445"/>
      <c r="AW621" s="607"/>
      <c r="AX621" s="607"/>
      <c r="AY621" s="607"/>
      <c r="AZ621" s="1209"/>
      <c r="BA621" s="1209"/>
    </row>
    <row r="622" spans="2:53" s="256" customFormat="1" ht="24.95" customHeight="1">
      <c r="B622" s="445"/>
      <c r="C622" s="204"/>
      <c r="D622" s="204"/>
      <c r="E622" s="204"/>
      <c r="F622" s="368"/>
      <c r="G622" s="1134"/>
      <c r="H622" s="401"/>
      <c r="I622" s="317"/>
      <c r="N622" s="317"/>
      <c r="O622" s="1135"/>
      <c r="P622" s="1136"/>
      <c r="Q622" s="1137"/>
      <c r="R622" s="1120"/>
      <c r="S622" s="1120"/>
      <c r="T622" s="1120"/>
      <c r="U622" s="1120"/>
      <c r="V622" s="1120"/>
      <c r="W622" s="1120"/>
      <c r="Z622" s="1145"/>
      <c r="AA622" s="1120"/>
      <c r="AB622" s="1120"/>
      <c r="AC622" s="1120"/>
      <c r="AD622" s="1212"/>
      <c r="AE622" s="1212"/>
      <c r="AF622" s="1186"/>
      <c r="AG622" s="1186"/>
      <c r="AH622" s="1222"/>
      <c r="AI622" s="1222"/>
      <c r="AJ622" s="1222"/>
      <c r="AK622" s="1222"/>
      <c r="AL622" s="1222"/>
      <c r="AM622" s="1222"/>
      <c r="AN622" s="1222"/>
      <c r="AO622" s="1222"/>
      <c r="AP622" s="1222"/>
      <c r="AQ622" s="1222"/>
      <c r="AR622" s="1222"/>
      <c r="AS622" s="1222"/>
      <c r="AT622" s="1222"/>
      <c r="AU622" s="1120"/>
      <c r="AV622" s="445"/>
      <c r="AW622" s="607"/>
      <c r="AX622" s="607"/>
      <c r="AY622" s="607"/>
      <c r="AZ622" s="1209"/>
      <c r="BA622" s="1209"/>
    </row>
    <row r="623" spans="2:53" s="256" customFormat="1" ht="24.95" customHeight="1">
      <c r="B623" s="445"/>
      <c r="C623" s="204"/>
      <c r="D623" s="204"/>
      <c r="E623" s="204"/>
      <c r="F623" s="368"/>
      <c r="G623" s="1134"/>
      <c r="H623" s="401"/>
      <c r="I623" s="317"/>
      <c r="N623" s="317"/>
      <c r="O623" s="1135"/>
      <c r="P623" s="1136"/>
      <c r="Q623" s="1137"/>
      <c r="R623" s="1120"/>
      <c r="S623" s="1120"/>
      <c r="T623" s="1120"/>
      <c r="U623" s="1120"/>
      <c r="V623" s="1120"/>
      <c r="W623" s="1120"/>
      <c r="Z623" s="1145"/>
      <c r="AA623" s="1120"/>
      <c r="AB623" s="1120"/>
      <c r="AC623" s="1120"/>
      <c r="AD623" s="1212"/>
      <c r="AE623" s="1212"/>
      <c r="AF623" s="1186"/>
      <c r="AG623" s="1186"/>
      <c r="AH623" s="1222"/>
      <c r="AI623" s="1222"/>
      <c r="AJ623" s="1222"/>
      <c r="AK623" s="1222"/>
      <c r="AL623" s="1222"/>
      <c r="AM623" s="1222"/>
      <c r="AN623" s="1222"/>
      <c r="AO623" s="1222"/>
      <c r="AP623" s="1222"/>
      <c r="AQ623" s="1222"/>
      <c r="AR623" s="1222"/>
      <c r="AS623" s="1222"/>
      <c r="AT623" s="1222"/>
      <c r="AU623" s="1120"/>
      <c r="AV623" s="445"/>
      <c r="AW623" s="607"/>
      <c r="AX623" s="607"/>
      <c r="AY623" s="607"/>
      <c r="AZ623" s="1209"/>
      <c r="BA623" s="1209"/>
    </row>
    <row r="624" spans="2:53" s="256" customFormat="1" ht="24.95" customHeight="1">
      <c r="B624" s="445"/>
      <c r="C624" s="204"/>
      <c r="D624" s="204"/>
      <c r="E624" s="204"/>
      <c r="F624" s="368"/>
      <c r="G624" s="1134"/>
      <c r="H624" s="401"/>
      <c r="I624" s="317"/>
      <c r="N624" s="317"/>
      <c r="O624" s="1135"/>
      <c r="P624" s="1136"/>
      <c r="Q624" s="1137"/>
      <c r="R624" s="1120"/>
      <c r="S624" s="1120"/>
      <c r="T624" s="1120"/>
      <c r="U624" s="1120"/>
      <c r="V624" s="1120"/>
      <c r="W624" s="1120"/>
      <c r="Z624" s="1145"/>
      <c r="AA624" s="1120"/>
      <c r="AB624" s="1120"/>
      <c r="AC624" s="1120"/>
      <c r="AD624" s="1212"/>
      <c r="AE624" s="1212"/>
      <c r="AF624" s="1186"/>
      <c r="AG624" s="1186"/>
      <c r="AH624" s="1222"/>
      <c r="AI624" s="1222"/>
      <c r="AJ624" s="1222"/>
      <c r="AK624" s="1222"/>
      <c r="AL624" s="1222"/>
      <c r="AM624" s="1222"/>
      <c r="AN624" s="1222"/>
      <c r="AO624" s="1222"/>
      <c r="AP624" s="1222"/>
      <c r="AQ624" s="1222"/>
      <c r="AR624" s="1222"/>
      <c r="AS624" s="1222"/>
      <c r="AT624" s="1222"/>
      <c r="AU624" s="1120"/>
      <c r="AV624" s="445"/>
      <c r="AW624" s="607"/>
      <c r="AX624" s="607"/>
      <c r="AY624" s="607"/>
      <c r="AZ624" s="1209"/>
      <c r="BA624" s="1209"/>
    </row>
    <row r="625" spans="2:53" s="256" customFormat="1" ht="24.95" customHeight="1">
      <c r="B625" s="445"/>
      <c r="C625" s="204"/>
      <c r="D625" s="204"/>
      <c r="E625" s="204"/>
      <c r="F625" s="368"/>
      <c r="G625" s="1134"/>
      <c r="H625" s="401"/>
      <c r="I625" s="317"/>
      <c r="N625" s="317"/>
      <c r="O625" s="1135"/>
      <c r="P625" s="1136"/>
      <c r="Q625" s="1137"/>
      <c r="R625" s="1120"/>
      <c r="S625" s="1120"/>
      <c r="T625" s="1120"/>
      <c r="U625" s="1120"/>
      <c r="V625" s="1120"/>
      <c r="W625" s="1120"/>
      <c r="Z625" s="1145"/>
      <c r="AA625" s="1120"/>
      <c r="AB625" s="1120"/>
      <c r="AC625" s="1120"/>
      <c r="AD625" s="1212"/>
      <c r="AE625" s="1212"/>
      <c r="AF625" s="1186"/>
      <c r="AG625" s="1186"/>
      <c r="AH625" s="1222"/>
      <c r="AI625" s="1222"/>
      <c r="AJ625" s="1222"/>
      <c r="AK625" s="1222"/>
      <c r="AL625" s="1222"/>
      <c r="AM625" s="1222"/>
      <c r="AN625" s="1222"/>
      <c r="AO625" s="1222"/>
      <c r="AP625" s="1222"/>
      <c r="AQ625" s="1222"/>
      <c r="AR625" s="1222"/>
      <c r="AS625" s="1222"/>
      <c r="AT625" s="1222"/>
      <c r="AU625" s="1120"/>
      <c r="AV625" s="445"/>
      <c r="AW625" s="607"/>
      <c r="AX625" s="607"/>
      <c r="AY625" s="607"/>
      <c r="AZ625" s="1209"/>
      <c r="BA625" s="1209"/>
    </row>
    <row r="626" spans="2:53" s="256" customFormat="1" ht="24.95" customHeight="1">
      <c r="B626" s="445"/>
      <c r="C626" s="204"/>
      <c r="D626" s="204"/>
      <c r="E626" s="204"/>
      <c r="F626" s="368"/>
      <c r="G626" s="1134"/>
      <c r="H626" s="401"/>
      <c r="I626" s="317"/>
      <c r="N626" s="317"/>
      <c r="O626" s="1135"/>
      <c r="P626" s="1136"/>
      <c r="Q626" s="1137"/>
      <c r="R626" s="1120"/>
      <c r="S626" s="1120"/>
      <c r="T626" s="1120"/>
      <c r="U626" s="1120"/>
      <c r="V626" s="1120"/>
      <c r="W626" s="1120"/>
      <c r="Z626" s="1145"/>
      <c r="AA626" s="1120"/>
      <c r="AB626" s="1120"/>
      <c r="AC626" s="1120"/>
      <c r="AD626" s="1212"/>
      <c r="AE626" s="1212"/>
      <c r="AF626" s="1186"/>
      <c r="AG626" s="1186"/>
      <c r="AH626" s="1222"/>
      <c r="AI626" s="1222"/>
      <c r="AJ626" s="1222"/>
      <c r="AK626" s="1222"/>
      <c r="AL626" s="1222"/>
      <c r="AM626" s="1222"/>
      <c r="AN626" s="1222"/>
      <c r="AO626" s="1222"/>
      <c r="AP626" s="1222"/>
      <c r="AQ626" s="1222"/>
      <c r="AR626" s="1222"/>
      <c r="AS626" s="1222"/>
      <c r="AT626" s="1222"/>
      <c r="AU626" s="1120"/>
      <c r="AV626" s="445"/>
      <c r="AW626" s="607"/>
      <c r="AX626" s="607"/>
      <c r="AY626" s="607"/>
      <c r="AZ626" s="1209"/>
      <c r="BA626" s="1209"/>
    </row>
    <row r="627" spans="2:53" s="256" customFormat="1" ht="24.95" customHeight="1">
      <c r="B627" s="445"/>
      <c r="C627" s="204"/>
      <c r="D627" s="204"/>
      <c r="E627" s="204"/>
      <c r="F627" s="368"/>
      <c r="G627" s="1134"/>
      <c r="H627" s="401"/>
      <c r="I627" s="317"/>
      <c r="N627" s="317"/>
      <c r="O627" s="1135"/>
      <c r="P627" s="1136"/>
      <c r="Q627" s="1137"/>
      <c r="R627" s="1120"/>
      <c r="S627" s="1120"/>
      <c r="T627" s="1120"/>
      <c r="U627" s="1120"/>
      <c r="V627" s="1120"/>
      <c r="W627" s="1120"/>
      <c r="Z627" s="1145"/>
      <c r="AA627" s="1120"/>
      <c r="AB627" s="1120"/>
      <c r="AC627" s="1120"/>
      <c r="AD627" s="1212"/>
      <c r="AE627" s="1212"/>
      <c r="AF627" s="1186"/>
      <c r="AG627" s="1186"/>
      <c r="AH627" s="1222"/>
      <c r="AI627" s="1222"/>
      <c r="AJ627" s="1222"/>
      <c r="AK627" s="1222"/>
      <c r="AL627" s="1222"/>
      <c r="AM627" s="1222"/>
      <c r="AN627" s="1222"/>
      <c r="AO627" s="1222"/>
      <c r="AP627" s="1222"/>
      <c r="AQ627" s="1222"/>
      <c r="AR627" s="1222"/>
      <c r="AS627" s="1222"/>
      <c r="AT627" s="1222"/>
      <c r="AU627" s="1120"/>
      <c r="AV627" s="445"/>
      <c r="AW627" s="607"/>
      <c r="AX627" s="607"/>
      <c r="AY627" s="607"/>
      <c r="AZ627" s="1209"/>
      <c r="BA627" s="1209"/>
    </row>
    <row r="628" spans="2:53" s="256" customFormat="1" ht="24.95" customHeight="1">
      <c r="B628" s="445"/>
      <c r="C628" s="204"/>
      <c r="D628" s="204"/>
      <c r="E628" s="204"/>
      <c r="F628" s="368"/>
      <c r="G628" s="1134"/>
      <c r="H628" s="401"/>
      <c r="I628" s="317"/>
      <c r="N628" s="317"/>
      <c r="O628" s="1135"/>
      <c r="P628" s="1136"/>
      <c r="Q628" s="1137"/>
      <c r="R628" s="1120"/>
      <c r="S628" s="1120"/>
      <c r="T628" s="1120"/>
      <c r="U628" s="1120"/>
      <c r="V628" s="1120"/>
      <c r="W628" s="1120"/>
      <c r="Z628" s="1145"/>
      <c r="AA628" s="1120"/>
      <c r="AB628" s="1120"/>
      <c r="AC628" s="1120"/>
      <c r="AD628" s="1212"/>
      <c r="AE628" s="1212"/>
      <c r="AF628" s="1186"/>
      <c r="AG628" s="1186"/>
      <c r="AH628" s="1222"/>
      <c r="AI628" s="1222"/>
      <c r="AJ628" s="1222"/>
      <c r="AK628" s="1222"/>
      <c r="AL628" s="1222"/>
      <c r="AM628" s="1222"/>
      <c r="AN628" s="1222"/>
      <c r="AO628" s="1222"/>
      <c r="AP628" s="1222"/>
      <c r="AQ628" s="1222"/>
      <c r="AR628" s="1222"/>
      <c r="AS628" s="1222"/>
      <c r="AT628" s="1222"/>
      <c r="AU628" s="1120"/>
      <c r="AV628" s="445"/>
      <c r="AW628" s="607"/>
      <c r="AX628" s="607"/>
      <c r="AY628" s="607"/>
      <c r="AZ628" s="1209"/>
      <c r="BA628" s="1209"/>
    </row>
    <row r="629" spans="2:53" s="256" customFormat="1" ht="24.95" customHeight="1">
      <c r="B629" s="445"/>
      <c r="C629" s="204"/>
      <c r="D629" s="204"/>
      <c r="E629" s="204"/>
      <c r="F629" s="368"/>
      <c r="G629" s="1134"/>
      <c r="H629" s="401"/>
      <c r="I629" s="317"/>
      <c r="N629" s="317"/>
      <c r="O629" s="1135"/>
      <c r="P629" s="1136"/>
      <c r="Q629" s="1137"/>
      <c r="R629" s="1120"/>
      <c r="S629" s="1120"/>
      <c r="T629" s="1120"/>
      <c r="U629" s="1120"/>
      <c r="V629" s="1120"/>
      <c r="W629" s="1120"/>
      <c r="Z629" s="1145"/>
      <c r="AA629" s="1120"/>
      <c r="AB629" s="1120"/>
      <c r="AC629" s="1120"/>
      <c r="AD629" s="1212"/>
      <c r="AE629" s="1212"/>
      <c r="AF629" s="1186"/>
      <c r="AG629" s="1186"/>
      <c r="AH629" s="1222"/>
      <c r="AI629" s="1222"/>
      <c r="AJ629" s="1222"/>
      <c r="AK629" s="1222"/>
      <c r="AL629" s="1222"/>
      <c r="AM629" s="1222"/>
      <c r="AN629" s="1222"/>
      <c r="AO629" s="1222"/>
      <c r="AP629" s="1222"/>
      <c r="AQ629" s="1222"/>
      <c r="AR629" s="1222"/>
      <c r="AS629" s="1222"/>
      <c r="AT629" s="1222"/>
      <c r="AU629" s="1120"/>
      <c r="AV629" s="445"/>
      <c r="AW629" s="607"/>
      <c r="AX629" s="607"/>
      <c r="AY629" s="607"/>
      <c r="AZ629" s="1209"/>
      <c r="BA629" s="1209"/>
    </row>
    <row r="630" spans="2:53" s="256" customFormat="1" ht="24.95" customHeight="1">
      <c r="B630" s="445"/>
      <c r="C630" s="204"/>
      <c r="D630" s="204"/>
      <c r="E630" s="204"/>
      <c r="F630" s="368"/>
      <c r="G630" s="1134"/>
      <c r="H630" s="401"/>
      <c r="I630" s="317"/>
      <c r="N630" s="317"/>
      <c r="O630" s="1135"/>
      <c r="P630" s="1136"/>
      <c r="Q630" s="1137"/>
      <c r="R630" s="1120"/>
      <c r="S630" s="1120"/>
      <c r="T630" s="1120"/>
      <c r="U630" s="1120"/>
      <c r="V630" s="1120"/>
      <c r="W630" s="1120"/>
      <c r="Z630" s="1145"/>
      <c r="AA630" s="1120"/>
      <c r="AB630" s="1120"/>
      <c r="AC630" s="1120"/>
      <c r="AD630" s="1212"/>
      <c r="AE630" s="1212"/>
      <c r="AF630" s="1186"/>
      <c r="AG630" s="1186"/>
      <c r="AH630" s="1222"/>
      <c r="AI630" s="1222"/>
      <c r="AJ630" s="1222"/>
      <c r="AK630" s="1222"/>
      <c r="AL630" s="1222"/>
      <c r="AM630" s="1222"/>
      <c r="AN630" s="1222"/>
      <c r="AO630" s="1222"/>
      <c r="AP630" s="1222"/>
      <c r="AQ630" s="1222"/>
      <c r="AR630" s="1222"/>
      <c r="AS630" s="1222"/>
      <c r="AT630" s="1222"/>
      <c r="AU630" s="1120"/>
      <c r="AV630" s="445"/>
      <c r="AW630" s="607"/>
      <c r="AX630" s="607"/>
      <c r="AY630" s="607"/>
      <c r="AZ630" s="1209"/>
      <c r="BA630" s="1209"/>
    </row>
    <row r="631" spans="2:53" s="256" customFormat="1" ht="24.95" customHeight="1">
      <c r="B631" s="445"/>
      <c r="C631" s="204"/>
      <c r="D631" s="204"/>
      <c r="E631" s="204"/>
      <c r="F631" s="368"/>
      <c r="G631" s="1134"/>
      <c r="H631" s="401"/>
      <c r="I631" s="317"/>
      <c r="N631" s="317"/>
      <c r="O631" s="1135"/>
      <c r="P631" s="1136"/>
      <c r="Q631" s="1137"/>
      <c r="R631" s="1120"/>
      <c r="S631" s="1120"/>
      <c r="T631" s="1120"/>
      <c r="U631" s="1120"/>
      <c r="V631" s="1120"/>
      <c r="W631" s="1120"/>
      <c r="Z631" s="1145"/>
      <c r="AA631" s="1120"/>
      <c r="AB631" s="1120"/>
      <c r="AC631" s="1120"/>
      <c r="AD631" s="1212"/>
      <c r="AE631" s="1212"/>
      <c r="AF631" s="1186"/>
      <c r="AG631" s="1186"/>
      <c r="AH631" s="1222"/>
      <c r="AI631" s="1222"/>
      <c r="AJ631" s="1222"/>
      <c r="AK631" s="1222"/>
      <c r="AL631" s="1222"/>
      <c r="AM631" s="1222"/>
      <c r="AN631" s="1222"/>
      <c r="AO631" s="1222"/>
      <c r="AP631" s="1222"/>
      <c r="AQ631" s="1222"/>
      <c r="AR631" s="1222"/>
      <c r="AS631" s="1222"/>
      <c r="AT631" s="1222"/>
      <c r="AU631" s="1120"/>
      <c r="AV631" s="445"/>
      <c r="AW631" s="607"/>
      <c r="AX631" s="607"/>
      <c r="AY631" s="607"/>
      <c r="AZ631" s="1209"/>
      <c r="BA631" s="1209"/>
    </row>
    <row r="632" spans="2:53" s="256" customFormat="1" ht="24.95" customHeight="1">
      <c r="B632" s="445"/>
      <c r="C632" s="204"/>
      <c r="D632" s="204"/>
      <c r="E632" s="204"/>
      <c r="F632" s="368"/>
      <c r="G632" s="1134"/>
      <c r="H632" s="401"/>
      <c r="I632" s="317"/>
      <c r="N632" s="317"/>
      <c r="O632" s="1135"/>
      <c r="P632" s="1136"/>
      <c r="Q632" s="1137"/>
      <c r="R632" s="1120"/>
      <c r="S632" s="1120"/>
      <c r="T632" s="1120"/>
      <c r="U632" s="1120"/>
      <c r="V632" s="1120"/>
      <c r="W632" s="1120"/>
      <c r="Z632" s="1145"/>
      <c r="AA632" s="1120"/>
      <c r="AB632" s="1120"/>
      <c r="AC632" s="1120"/>
      <c r="AD632" s="1212"/>
      <c r="AE632" s="1212"/>
      <c r="AF632" s="1186"/>
      <c r="AG632" s="1186"/>
      <c r="AH632" s="1222"/>
      <c r="AI632" s="1222"/>
      <c r="AJ632" s="1222"/>
      <c r="AK632" s="1222"/>
      <c r="AL632" s="1222"/>
      <c r="AM632" s="1222"/>
      <c r="AN632" s="1222"/>
      <c r="AO632" s="1222"/>
      <c r="AP632" s="1222"/>
      <c r="AQ632" s="1222"/>
      <c r="AR632" s="1222"/>
      <c r="AS632" s="1222"/>
      <c r="AT632" s="1222"/>
      <c r="AU632" s="1120"/>
      <c r="AV632" s="445"/>
      <c r="AW632" s="607"/>
      <c r="AX632" s="607"/>
      <c r="AY632" s="607"/>
      <c r="AZ632" s="1209"/>
      <c r="BA632" s="1209"/>
    </row>
    <row r="633" spans="2:53" s="256" customFormat="1" ht="24.95" customHeight="1">
      <c r="B633" s="445"/>
      <c r="C633" s="204"/>
      <c r="D633" s="204"/>
      <c r="E633" s="204"/>
      <c r="F633" s="368"/>
      <c r="G633" s="1134"/>
      <c r="H633" s="401"/>
      <c r="I633" s="317"/>
      <c r="N633" s="317"/>
      <c r="O633" s="1135"/>
      <c r="P633" s="1136"/>
      <c r="Q633" s="1137"/>
      <c r="R633" s="1120"/>
      <c r="S633" s="1120"/>
      <c r="T633" s="1120"/>
      <c r="U633" s="1120"/>
      <c r="V633" s="1120"/>
      <c r="W633" s="1120"/>
      <c r="Z633" s="1145"/>
      <c r="AA633" s="1120"/>
      <c r="AB633" s="1120"/>
      <c r="AC633" s="1120"/>
      <c r="AD633" s="1212"/>
      <c r="AE633" s="1212"/>
      <c r="AF633" s="1186"/>
      <c r="AG633" s="1186"/>
      <c r="AH633" s="1222"/>
      <c r="AI633" s="1222"/>
      <c r="AJ633" s="1222"/>
      <c r="AK633" s="1222"/>
      <c r="AL633" s="1222"/>
      <c r="AM633" s="1222"/>
      <c r="AN633" s="1222"/>
      <c r="AO633" s="1222"/>
      <c r="AP633" s="1222"/>
      <c r="AQ633" s="1222"/>
      <c r="AR633" s="1222"/>
      <c r="AS633" s="1222"/>
      <c r="AT633" s="1222"/>
      <c r="AU633" s="1120"/>
      <c r="AV633" s="445"/>
      <c r="AW633" s="607"/>
      <c r="AX633" s="607"/>
      <c r="AY633" s="607"/>
      <c r="AZ633" s="1209"/>
      <c r="BA633" s="1209"/>
    </row>
    <row r="634" spans="2:53" s="256" customFormat="1" ht="24.95" customHeight="1">
      <c r="B634" s="445"/>
      <c r="C634" s="204"/>
      <c r="D634" s="204"/>
      <c r="E634" s="204"/>
      <c r="F634" s="368"/>
      <c r="G634" s="1134"/>
      <c r="H634" s="401"/>
      <c r="I634" s="317"/>
      <c r="N634" s="317"/>
      <c r="O634" s="1135"/>
      <c r="P634" s="1136"/>
      <c r="Q634" s="1137"/>
      <c r="R634" s="1120"/>
      <c r="S634" s="1120"/>
      <c r="T634" s="1120"/>
      <c r="U634" s="1120"/>
      <c r="V634" s="1120"/>
      <c r="W634" s="1120"/>
      <c r="Z634" s="1145"/>
      <c r="AA634" s="1120"/>
      <c r="AB634" s="1120"/>
      <c r="AC634" s="1120"/>
      <c r="AD634" s="1212"/>
      <c r="AE634" s="1212"/>
      <c r="AF634" s="1186"/>
      <c r="AG634" s="1186"/>
      <c r="AH634" s="1222"/>
      <c r="AI634" s="1222"/>
      <c r="AJ634" s="1222"/>
      <c r="AK634" s="1222"/>
      <c r="AL634" s="1222"/>
      <c r="AM634" s="1222"/>
      <c r="AN634" s="1222"/>
      <c r="AO634" s="1222"/>
      <c r="AP634" s="1222"/>
      <c r="AQ634" s="1222"/>
      <c r="AR634" s="1222"/>
      <c r="AS634" s="1222"/>
      <c r="AT634" s="1222"/>
      <c r="AU634" s="1120"/>
      <c r="AV634" s="445"/>
      <c r="AW634" s="607"/>
      <c r="AX634" s="607"/>
      <c r="AY634" s="607"/>
      <c r="AZ634" s="1209"/>
      <c r="BA634" s="1209"/>
    </row>
    <row r="635" spans="2:53" s="256" customFormat="1" ht="24.95" customHeight="1">
      <c r="B635" s="445"/>
      <c r="C635" s="204"/>
      <c r="D635" s="204"/>
      <c r="E635" s="204"/>
      <c r="F635" s="368"/>
      <c r="G635" s="1134"/>
      <c r="H635" s="401"/>
      <c r="I635" s="317"/>
      <c r="N635" s="317"/>
      <c r="O635" s="1135"/>
      <c r="P635" s="1136"/>
      <c r="Q635" s="1137"/>
      <c r="R635" s="1120"/>
      <c r="S635" s="1120"/>
      <c r="T635" s="1120"/>
      <c r="U635" s="1120"/>
      <c r="V635" s="1120"/>
      <c r="W635" s="1120"/>
      <c r="Z635" s="1145"/>
      <c r="AA635" s="1120"/>
      <c r="AB635" s="1120"/>
      <c r="AC635" s="1120"/>
      <c r="AD635" s="1212"/>
      <c r="AE635" s="1212"/>
      <c r="AF635" s="1186"/>
      <c r="AG635" s="1186"/>
      <c r="AH635" s="1222"/>
      <c r="AI635" s="1222"/>
      <c r="AJ635" s="1222"/>
      <c r="AK635" s="1222"/>
      <c r="AL635" s="1222"/>
      <c r="AM635" s="1222"/>
      <c r="AN635" s="1222"/>
      <c r="AO635" s="1222"/>
      <c r="AP635" s="1222"/>
      <c r="AQ635" s="1222"/>
      <c r="AR635" s="1222"/>
      <c r="AS635" s="1222"/>
      <c r="AT635" s="1222"/>
      <c r="AU635" s="1120"/>
      <c r="AV635" s="445"/>
      <c r="AW635" s="607"/>
      <c r="AX635" s="607"/>
      <c r="AY635" s="607"/>
      <c r="AZ635" s="1209"/>
      <c r="BA635" s="1209"/>
    </row>
    <row r="636" spans="2:53" s="256" customFormat="1" ht="24.95" customHeight="1">
      <c r="B636" s="445"/>
      <c r="C636" s="204"/>
      <c r="D636" s="204"/>
      <c r="E636" s="204"/>
      <c r="F636" s="368"/>
      <c r="G636" s="1134"/>
      <c r="H636" s="401"/>
      <c r="I636" s="317"/>
      <c r="N636" s="317"/>
      <c r="O636" s="1135"/>
      <c r="P636" s="1136"/>
      <c r="Q636" s="1137"/>
      <c r="R636" s="1120"/>
      <c r="S636" s="1120"/>
      <c r="T636" s="1120"/>
      <c r="U636" s="1120"/>
      <c r="V636" s="1120"/>
      <c r="W636" s="1120"/>
      <c r="Z636" s="1145"/>
      <c r="AA636" s="1120"/>
      <c r="AB636" s="1120"/>
      <c r="AC636" s="1120"/>
      <c r="AD636" s="1212"/>
      <c r="AE636" s="1212"/>
      <c r="AF636" s="1186"/>
      <c r="AG636" s="1186"/>
      <c r="AH636" s="1222"/>
      <c r="AI636" s="1222"/>
      <c r="AJ636" s="1222"/>
      <c r="AK636" s="1222"/>
      <c r="AL636" s="1222"/>
      <c r="AM636" s="1222"/>
      <c r="AN636" s="1222"/>
      <c r="AO636" s="1222"/>
      <c r="AP636" s="1222"/>
      <c r="AQ636" s="1222"/>
      <c r="AR636" s="1222"/>
      <c r="AS636" s="1222"/>
      <c r="AT636" s="1222"/>
      <c r="AU636" s="1120"/>
      <c r="AV636" s="445"/>
      <c r="AW636" s="607"/>
      <c r="AX636" s="607"/>
      <c r="AY636" s="607"/>
      <c r="AZ636" s="1209"/>
      <c r="BA636" s="1209"/>
    </row>
    <row r="637" spans="2:53" s="256" customFormat="1" ht="24.95" customHeight="1">
      <c r="B637" s="445"/>
      <c r="C637" s="204"/>
      <c r="D637" s="204"/>
      <c r="E637" s="204"/>
      <c r="F637" s="368"/>
      <c r="G637" s="1134"/>
      <c r="H637" s="401"/>
      <c r="I637" s="317"/>
      <c r="N637" s="317"/>
      <c r="O637" s="1135"/>
      <c r="P637" s="1136"/>
      <c r="Q637" s="1137"/>
      <c r="R637" s="1120"/>
      <c r="S637" s="1120"/>
      <c r="T637" s="1120"/>
      <c r="U637" s="1120"/>
      <c r="V637" s="1120"/>
      <c r="W637" s="1120"/>
      <c r="Z637" s="1145"/>
      <c r="AA637" s="1120"/>
      <c r="AB637" s="1120"/>
      <c r="AC637" s="1120"/>
      <c r="AD637" s="1212"/>
      <c r="AE637" s="1212"/>
      <c r="AF637" s="1186"/>
      <c r="AG637" s="1186"/>
      <c r="AH637" s="1222"/>
      <c r="AI637" s="1222"/>
      <c r="AJ637" s="1222"/>
      <c r="AK637" s="1222"/>
      <c r="AL637" s="1222"/>
      <c r="AM637" s="1222"/>
      <c r="AN637" s="1222"/>
      <c r="AO637" s="1222"/>
      <c r="AP637" s="1222"/>
      <c r="AQ637" s="1222"/>
      <c r="AR637" s="1222"/>
      <c r="AS637" s="1222"/>
      <c r="AT637" s="1222"/>
      <c r="AU637" s="1120"/>
      <c r="AV637" s="445"/>
      <c r="AW637" s="607"/>
      <c r="AX637" s="607"/>
      <c r="AY637" s="607"/>
      <c r="AZ637" s="1209"/>
      <c r="BA637" s="1209"/>
    </row>
    <row r="638" spans="2:53" s="256" customFormat="1" ht="24.95" customHeight="1">
      <c r="B638" s="445"/>
      <c r="C638" s="204"/>
      <c r="D638" s="204"/>
      <c r="E638" s="204"/>
      <c r="F638" s="368"/>
      <c r="G638" s="1134"/>
      <c r="H638" s="401"/>
      <c r="I638" s="317"/>
      <c r="N638" s="317"/>
      <c r="O638" s="1135"/>
      <c r="P638" s="1136"/>
      <c r="Q638" s="1137"/>
      <c r="R638" s="1120"/>
      <c r="S638" s="1120"/>
      <c r="T638" s="1120"/>
      <c r="U638" s="1120"/>
      <c r="V638" s="1120"/>
      <c r="W638" s="1120"/>
      <c r="Z638" s="1145"/>
      <c r="AA638" s="1120"/>
      <c r="AB638" s="1120"/>
      <c r="AC638" s="1120"/>
      <c r="AD638" s="1212"/>
      <c r="AE638" s="1212"/>
      <c r="AF638" s="1186"/>
      <c r="AG638" s="1186"/>
      <c r="AH638" s="1222"/>
      <c r="AI638" s="1222"/>
      <c r="AJ638" s="1222"/>
      <c r="AK638" s="1222"/>
      <c r="AL638" s="1222"/>
      <c r="AM638" s="1222"/>
      <c r="AN638" s="1222"/>
      <c r="AO638" s="1222"/>
      <c r="AP638" s="1222"/>
      <c r="AQ638" s="1222"/>
      <c r="AR638" s="1222"/>
      <c r="AS638" s="1222"/>
      <c r="AT638" s="1222"/>
      <c r="AU638" s="1120"/>
      <c r="AV638" s="445"/>
      <c r="AW638" s="607"/>
      <c r="AX638" s="607"/>
      <c r="AY638" s="607"/>
      <c r="AZ638" s="1209"/>
      <c r="BA638" s="1209"/>
    </row>
    <row r="639" spans="2:53" s="256" customFormat="1" ht="24.95" customHeight="1">
      <c r="B639" s="445"/>
      <c r="C639" s="204"/>
      <c r="D639" s="204"/>
      <c r="E639" s="204"/>
      <c r="F639" s="368"/>
      <c r="G639" s="1134"/>
      <c r="H639" s="401"/>
      <c r="I639" s="317"/>
      <c r="N639" s="317"/>
      <c r="O639" s="1135"/>
      <c r="P639" s="1136"/>
      <c r="Q639" s="1137"/>
      <c r="R639" s="1120"/>
      <c r="S639" s="1120"/>
      <c r="T639" s="1120"/>
      <c r="U639" s="1120"/>
      <c r="V639" s="1120"/>
      <c r="W639" s="1120"/>
      <c r="Z639" s="1145"/>
      <c r="AA639" s="1120"/>
      <c r="AB639" s="1120"/>
      <c r="AC639" s="1120"/>
      <c r="AD639" s="1212"/>
      <c r="AE639" s="1212"/>
      <c r="AF639" s="1186"/>
      <c r="AG639" s="1186"/>
      <c r="AH639" s="1222"/>
      <c r="AI639" s="1222"/>
      <c r="AJ639" s="1222"/>
      <c r="AK639" s="1222"/>
      <c r="AL639" s="1222"/>
      <c r="AM639" s="1222"/>
      <c r="AN639" s="1222"/>
      <c r="AO639" s="1222"/>
      <c r="AP639" s="1222"/>
      <c r="AQ639" s="1222"/>
      <c r="AR639" s="1222"/>
      <c r="AS639" s="1222"/>
      <c r="AT639" s="1222"/>
      <c r="AU639" s="1120"/>
      <c r="AV639" s="445"/>
      <c r="AW639" s="607"/>
      <c r="AX639" s="607"/>
      <c r="AY639" s="607"/>
      <c r="AZ639" s="1209"/>
      <c r="BA639" s="1209"/>
    </row>
    <row r="640" spans="2:53" s="256" customFormat="1" ht="24.95" customHeight="1">
      <c r="B640" s="445"/>
      <c r="C640" s="204"/>
      <c r="D640" s="204"/>
      <c r="E640" s="204"/>
      <c r="F640" s="368"/>
      <c r="G640" s="1134"/>
      <c r="H640" s="401"/>
      <c r="I640" s="317"/>
      <c r="N640" s="317"/>
      <c r="O640" s="1135"/>
      <c r="P640" s="1136"/>
      <c r="Q640" s="1137"/>
      <c r="R640" s="1120"/>
      <c r="S640" s="1120"/>
      <c r="T640" s="1120"/>
      <c r="U640" s="1120"/>
      <c r="V640" s="1120"/>
      <c r="W640" s="1120"/>
      <c r="Z640" s="1145"/>
      <c r="AA640" s="1120"/>
      <c r="AB640" s="1120"/>
      <c r="AC640" s="1120"/>
      <c r="AD640" s="1212"/>
      <c r="AE640" s="1212"/>
      <c r="AF640" s="1186"/>
      <c r="AG640" s="1186"/>
      <c r="AH640" s="1222"/>
      <c r="AI640" s="1222"/>
      <c r="AJ640" s="1222"/>
      <c r="AK640" s="1222"/>
      <c r="AL640" s="1222"/>
      <c r="AM640" s="1222"/>
      <c r="AN640" s="1222"/>
      <c r="AO640" s="1222"/>
      <c r="AP640" s="1222"/>
      <c r="AQ640" s="1222"/>
      <c r="AR640" s="1222"/>
      <c r="AS640" s="1222"/>
      <c r="AT640" s="1222"/>
      <c r="AU640" s="1120"/>
      <c r="AV640" s="445"/>
      <c r="AW640" s="607"/>
      <c r="AX640" s="607"/>
      <c r="AY640" s="607"/>
      <c r="AZ640" s="1209"/>
      <c r="BA640" s="1209"/>
    </row>
    <row r="641" spans="2:53" s="256" customFormat="1" ht="24.95" customHeight="1">
      <c r="B641" s="445"/>
      <c r="C641" s="204"/>
      <c r="D641" s="204"/>
      <c r="E641" s="204"/>
      <c r="F641" s="368"/>
      <c r="G641" s="1134"/>
      <c r="H641" s="401"/>
      <c r="I641" s="317"/>
      <c r="N641" s="317"/>
      <c r="O641" s="1135"/>
      <c r="P641" s="1136"/>
      <c r="Q641" s="1137"/>
      <c r="R641" s="1120"/>
      <c r="S641" s="1120"/>
      <c r="T641" s="1120"/>
      <c r="U641" s="1120"/>
      <c r="V641" s="1120"/>
      <c r="W641" s="1120"/>
      <c r="Z641" s="1145"/>
      <c r="AA641" s="1120"/>
      <c r="AB641" s="1120"/>
      <c r="AC641" s="1120"/>
      <c r="AD641" s="1212"/>
      <c r="AE641" s="1212"/>
      <c r="AF641" s="1186"/>
      <c r="AG641" s="1186"/>
      <c r="AH641" s="1222"/>
      <c r="AI641" s="1222"/>
      <c r="AJ641" s="1222"/>
      <c r="AK641" s="1222"/>
      <c r="AL641" s="1222"/>
      <c r="AM641" s="1222"/>
      <c r="AN641" s="1222"/>
      <c r="AO641" s="1222"/>
      <c r="AP641" s="1222"/>
      <c r="AQ641" s="1222"/>
      <c r="AR641" s="1222"/>
      <c r="AS641" s="1222"/>
      <c r="AT641" s="1222"/>
      <c r="AU641" s="1120"/>
      <c r="AV641" s="445"/>
      <c r="AW641" s="607"/>
      <c r="AX641" s="607"/>
      <c r="AY641" s="607"/>
      <c r="AZ641" s="1209"/>
      <c r="BA641" s="1209"/>
    </row>
    <row r="642" spans="2:53" s="256" customFormat="1" ht="24.95" customHeight="1">
      <c r="B642" s="445"/>
      <c r="C642" s="204"/>
      <c r="D642" s="204"/>
      <c r="E642" s="204"/>
      <c r="F642" s="368"/>
      <c r="G642" s="1134"/>
      <c r="H642" s="401"/>
      <c r="I642" s="317"/>
      <c r="N642" s="317"/>
      <c r="O642" s="1135"/>
      <c r="P642" s="1136"/>
      <c r="Q642" s="1137"/>
      <c r="R642" s="1120"/>
      <c r="S642" s="1120"/>
      <c r="T642" s="1120"/>
      <c r="U642" s="1120"/>
      <c r="V642" s="1120"/>
      <c r="W642" s="1120"/>
      <c r="Z642" s="1145"/>
      <c r="AA642" s="1120"/>
      <c r="AB642" s="1120"/>
      <c r="AC642" s="1120"/>
      <c r="AD642" s="1212"/>
      <c r="AE642" s="1212"/>
      <c r="AF642" s="1186"/>
      <c r="AG642" s="1186"/>
      <c r="AH642" s="1222"/>
      <c r="AI642" s="1222"/>
      <c r="AJ642" s="1222"/>
      <c r="AK642" s="1222"/>
      <c r="AL642" s="1222"/>
      <c r="AM642" s="1222"/>
      <c r="AN642" s="1222"/>
      <c r="AO642" s="1222"/>
      <c r="AP642" s="1222"/>
      <c r="AQ642" s="1222"/>
      <c r="AR642" s="1222"/>
      <c r="AS642" s="1222"/>
      <c r="AT642" s="1222"/>
      <c r="AU642" s="1120"/>
      <c r="AV642" s="445"/>
      <c r="AW642" s="607"/>
      <c r="AX642" s="607"/>
      <c r="AY642" s="607"/>
      <c r="AZ642" s="1209"/>
      <c r="BA642" s="1209"/>
    </row>
    <row r="643" spans="2:53" s="256" customFormat="1" ht="24.95" customHeight="1">
      <c r="B643" s="445"/>
      <c r="C643" s="204"/>
      <c r="D643" s="204"/>
      <c r="E643" s="204"/>
      <c r="F643" s="368"/>
      <c r="G643" s="1134"/>
      <c r="H643" s="401"/>
      <c r="I643" s="317"/>
      <c r="N643" s="317"/>
      <c r="O643" s="1135"/>
      <c r="P643" s="1136"/>
      <c r="Q643" s="1137"/>
      <c r="R643" s="1120"/>
      <c r="S643" s="1120"/>
      <c r="T643" s="1120"/>
      <c r="U643" s="1120"/>
      <c r="V643" s="1120"/>
      <c r="W643" s="1120"/>
      <c r="Z643" s="1145"/>
      <c r="AA643" s="1120"/>
      <c r="AB643" s="1120"/>
      <c r="AC643" s="1120"/>
      <c r="AD643" s="1212"/>
      <c r="AE643" s="1212"/>
      <c r="AF643" s="1186"/>
      <c r="AG643" s="1186"/>
      <c r="AH643" s="1222"/>
      <c r="AI643" s="1222"/>
      <c r="AJ643" s="1222"/>
      <c r="AK643" s="1222"/>
      <c r="AL643" s="1222"/>
      <c r="AM643" s="1222"/>
      <c r="AN643" s="1222"/>
      <c r="AO643" s="1222"/>
      <c r="AP643" s="1222"/>
      <c r="AQ643" s="1222"/>
      <c r="AR643" s="1222"/>
      <c r="AS643" s="1222"/>
      <c r="AT643" s="1222"/>
      <c r="AU643" s="1120"/>
      <c r="AV643" s="445"/>
      <c r="AW643" s="607"/>
      <c r="AX643" s="607"/>
      <c r="AY643" s="607"/>
      <c r="AZ643" s="1209"/>
      <c r="BA643" s="1209"/>
    </row>
    <row r="644" spans="2:53" s="256" customFormat="1" ht="24.95" customHeight="1">
      <c r="B644" s="445"/>
      <c r="C644" s="204"/>
      <c r="D644" s="204"/>
      <c r="E644" s="204"/>
      <c r="F644" s="368"/>
      <c r="G644" s="1134"/>
      <c r="H644" s="401"/>
      <c r="I644" s="317"/>
      <c r="N644" s="317"/>
      <c r="O644" s="1135"/>
      <c r="P644" s="1136"/>
      <c r="Q644" s="1137"/>
      <c r="R644" s="1120"/>
      <c r="S644" s="1120"/>
      <c r="T644" s="1120"/>
      <c r="U644" s="1120"/>
      <c r="V644" s="1120"/>
      <c r="W644" s="1120"/>
      <c r="Z644" s="1145"/>
      <c r="AA644" s="1120"/>
      <c r="AB644" s="1120"/>
      <c r="AC644" s="1120"/>
      <c r="AD644" s="1212"/>
      <c r="AE644" s="1212"/>
      <c r="AF644" s="1186"/>
      <c r="AG644" s="1186"/>
      <c r="AH644" s="1222"/>
      <c r="AI644" s="1222"/>
      <c r="AJ644" s="1222"/>
      <c r="AK644" s="1222"/>
      <c r="AL644" s="1222"/>
      <c r="AM644" s="1222"/>
      <c r="AN644" s="1222"/>
      <c r="AO644" s="1222"/>
      <c r="AP644" s="1222"/>
      <c r="AQ644" s="1222"/>
      <c r="AR644" s="1222"/>
      <c r="AS644" s="1222"/>
      <c r="AT644" s="1222"/>
      <c r="AU644" s="1120"/>
      <c r="AV644" s="445"/>
      <c r="AW644" s="607"/>
      <c r="AX644" s="607"/>
      <c r="AY644" s="607"/>
      <c r="AZ644" s="1209"/>
      <c r="BA644" s="1209"/>
    </row>
    <row r="645" spans="2:53" s="256" customFormat="1" ht="24.95" customHeight="1">
      <c r="B645" s="445"/>
      <c r="C645" s="204"/>
      <c r="D645" s="204"/>
      <c r="E645" s="204"/>
      <c r="F645" s="368"/>
      <c r="G645" s="1134"/>
      <c r="H645" s="401"/>
      <c r="I645" s="317"/>
      <c r="N645" s="317"/>
      <c r="O645" s="1135"/>
      <c r="P645" s="1136"/>
      <c r="Q645" s="1137"/>
      <c r="R645" s="1120"/>
      <c r="S645" s="1120"/>
      <c r="T645" s="1120"/>
      <c r="U645" s="1120"/>
      <c r="V645" s="1120"/>
      <c r="W645" s="1120"/>
      <c r="Z645" s="1145"/>
      <c r="AA645" s="1120"/>
      <c r="AB645" s="1120"/>
      <c r="AC645" s="1120"/>
      <c r="AD645" s="1212"/>
      <c r="AE645" s="1212"/>
      <c r="AF645" s="1186"/>
      <c r="AG645" s="1186"/>
      <c r="AH645" s="1222"/>
      <c r="AI645" s="1222"/>
      <c r="AJ645" s="1222"/>
      <c r="AK645" s="1222"/>
      <c r="AL645" s="1222"/>
      <c r="AM645" s="1222"/>
      <c r="AN645" s="1222"/>
      <c r="AO645" s="1222"/>
      <c r="AP645" s="1222"/>
      <c r="AQ645" s="1222"/>
      <c r="AR645" s="1222"/>
      <c r="AS645" s="1222"/>
      <c r="AT645" s="1222"/>
      <c r="AU645" s="1120"/>
      <c r="AV645" s="445"/>
      <c r="AW645" s="607"/>
      <c r="AX645" s="607"/>
      <c r="AY645" s="607"/>
      <c r="AZ645" s="1209"/>
      <c r="BA645" s="1209"/>
    </row>
    <row r="646" spans="2:53" s="256" customFormat="1" ht="24.95" customHeight="1">
      <c r="B646" s="445"/>
      <c r="C646" s="204"/>
      <c r="D646" s="204"/>
      <c r="E646" s="204"/>
      <c r="F646" s="368"/>
      <c r="G646" s="1134"/>
      <c r="H646" s="401"/>
      <c r="I646" s="317"/>
      <c r="N646" s="317"/>
      <c r="O646" s="1135"/>
      <c r="P646" s="1136"/>
      <c r="Q646" s="1137"/>
      <c r="R646" s="1120"/>
      <c r="S646" s="1120"/>
      <c r="T646" s="1120"/>
      <c r="U646" s="1120"/>
      <c r="V646" s="1120"/>
      <c r="W646" s="1120"/>
      <c r="Z646" s="1145"/>
      <c r="AA646" s="1120"/>
      <c r="AB646" s="1120"/>
      <c r="AC646" s="1120"/>
      <c r="AD646" s="1212"/>
      <c r="AE646" s="1212"/>
      <c r="AF646" s="1186"/>
      <c r="AG646" s="1186"/>
      <c r="AH646" s="1222"/>
      <c r="AI646" s="1222"/>
      <c r="AJ646" s="1222"/>
      <c r="AK646" s="1222"/>
      <c r="AL646" s="1222"/>
      <c r="AM646" s="1222"/>
      <c r="AN646" s="1222"/>
      <c r="AO646" s="1222"/>
      <c r="AP646" s="1222"/>
      <c r="AQ646" s="1222"/>
      <c r="AR646" s="1222"/>
      <c r="AS646" s="1222"/>
      <c r="AT646" s="1222"/>
      <c r="AU646" s="1120"/>
      <c r="AV646" s="445"/>
      <c r="AW646" s="607"/>
      <c r="AX646" s="607"/>
      <c r="AY646" s="607"/>
      <c r="AZ646" s="1209"/>
      <c r="BA646" s="1209"/>
    </row>
    <row r="647" spans="2:53" s="256" customFormat="1" ht="24.95" customHeight="1">
      <c r="B647" s="445"/>
      <c r="C647" s="204"/>
      <c r="D647" s="204"/>
      <c r="E647" s="204"/>
      <c r="F647" s="368"/>
      <c r="G647" s="1134"/>
      <c r="H647" s="401"/>
      <c r="I647" s="317"/>
      <c r="N647" s="317"/>
      <c r="O647" s="1135"/>
      <c r="P647" s="1136"/>
      <c r="Q647" s="1137"/>
      <c r="R647" s="1120"/>
      <c r="S647" s="1120"/>
      <c r="T647" s="1120"/>
      <c r="U647" s="1120"/>
      <c r="V647" s="1120"/>
      <c r="W647" s="1120"/>
      <c r="Z647" s="1145"/>
      <c r="AA647" s="1120"/>
      <c r="AB647" s="1120"/>
      <c r="AC647" s="1120"/>
      <c r="AD647" s="1212"/>
      <c r="AE647" s="1212"/>
      <c r="AF647" s="1186"/>
      <c r="AG647" s="1186"/>
      <c r="AH647" s="1222"/>
      <c r="AI647" s="1222"/>
      <c r="AJ647" s="1222"/>
      <c r="AK647" s="1222"/>
      <c r="AL647" s="1222"/>
      <c r="AM647" s="1222"/>
      <c r="AN647" s="1222"/>
      <c r="AO647" s="1222"/>
      <c r="AP647" s="1222"/>
      <c r="AQ647" s="1222"/>
      <c r="AR647" s="1222"/>
      <c r="AS647" s="1222"/>
      <c r="AT647" s="1222"/>
      <c r="AU647" s="1120"/>
      <c r="AV647" s="445"/>
      <c r="AW647" s="607"/>
      <c r="AX647" s="607"/>
      <c r="AY647" s="607"/>
      <c r="AZ647" s="1209"/>
      <c r="BA647" s="1209"/>
    </row>
    <row r="648" spans="2:53" s="256" customFormat="1" ht="24.95" customHeight="1">
      <c r="B648" s="445"/>
      <c r="C648" s="204"/>
      <c r="D648" s="204"/>
      <c r="E648" s="204"/>
      <c r="F648" s="368"/>
      <c r="G648" s="1134"/>
      <c r="H648" s="401"/>
      <c r="I648" s="317"/>
      <c r="N648" s="317"/>
      <c r="O648" s="1135"/>
      <c r="P648" s="1136"/>
      <c r="Q648" s="1137"/>
      <c r="R648" s="1120"/>
      <c r="S648" s="1120"/>
      <c r="T648" s="1120"/>
      <c r="U648" s="1120"/>
      <c r="V648" s="1120"/>
      <c r="W648" s="1120"/>
      <c r="Z648" s="1145"/>
      <c r="AA648" s="1120"/>
      <c r="AB648" s="1120"/>
      <c r="AC648" s="1120"/>
      <c r="AD648" s="1212"/>
      <c r="AE648" s="1212"/>
      <c r="AF648" s="1186"/>
      <c r="AG648" s="1186"/>
      <c r="AH648" s="1222"/>
      <c r="AI648" s="1222"/>
      <c r="AJ648" s="1222"/>
      <c r="AK648" s="1222"/>
      <c r="AL648" s="1222"/>
      <c r="AM648" s="1222"/>
      <c r="AN648" s="1222"/>
      <c r="AO648" s="1222"/>
      <c r="AP648" s="1222"/>
      <c r="AQ648" s="1222"/>
      <c r="AR648" s="1222"/>
      <c r="AS648" s="1222"/>
      <c r="AT648" s="1222"/>
      <c r="AU648" s="1120"/>
      <c r="AV648" s="445"/>
      <c r="AW648" s="607"/>
      <c r="AX648" s="607"/>
      <c r="AY648" s="607"/>
      <c r="AZ648" s="1209"/>
      <c r="BA648" s="1209"/>
    </row>
    <row r="649" spans="2:53" s="256" customFormat="1" ht="24.95" customHeight="1">
      <c r="B649" s="445"/>
      <c r="C649" s="204"/>
      <c r="D649" s="204"/>
      <c r="E649" s="204"/>
      <c r="F649" s="368"/>
      <c r="G649" s="1134"/>
      <c r="H649" s="401"/>
      <c r="I649" s="317"/>
      <c r="N649" s="317"/>
      <c r="O649" s="1135"/>
      <c r="P649" s="1136"/>
      <c r="Q649" s="1137"/>
      <c r="R649" s="1120"/>
      <c r="S649" s="1120"/>
      <c r="T649" s="1120"/>
      <c r="U649" s="1120"/>
      <c r="V649" s="1120"/>
      <c r="W649" s="1120"/>
      <c r="Z649" s="1145"/>
      <c r="AA649" s="1120"/>
      <c r="AB649" s="1120"/>
      <c r="AC649" s="1120"/>
      <c r="AD649" s="1212"/>
      <c r="AE649" s="1212"/>
      <c r="AF649" s="1186"/>
      <c r="AG649" s="1186"/>
      <c r="AH649" s="1222"/>
      <c r="AI649" s="1222"/>
      <c r="AJ649" s="1222"/>
      <c r="AK649" s="1222"/>
      <c r="AL649" s="1222"/>
      <c r="AM649" s="1222"/>
      <c r="AN649" s="1222"/>
      <c r="AO649" s="1222"/>
      <c r="AP649" s="1222"/>
      <c r="AQ649" s="1222"/>
      <c r="AR649" s="1222"/>
      <c r="AS649" s="1222"/>
      <c r="AT649" s="1222"/>
      <c r="AU649" s="1120"/>
      <c r="AV649" s="445"/>
      <c r="AW649" s="607"/>
      <c r="AX649" s="607"/>
      <c r="AY649" s="607"/>
      <c r="AZ649" s="1209"/>
      <c r="BA649" s="1209"/>
    </row>
    <row r="650" spans="2:53" s="256" customFormat="1" ht="24.95" customHeight="1">
      <c r="B650" s="445"/>
      <c r="C650" s="204"/>
      <c r="D650" s="204"/>
      <c r="E650" s="204"/>
      <c r="F650" s="368"/>
      <c r="G650" s="1134"/>
      <c r="H650" s="401"/>
      <c r="I650" s="317"/>
      <c r="N650" s="317"/>
      <c r="O650" s="1135"/>
      <c r="P650" s="1136"/>
      <c r="Q650" s="1137"/>
      <c r="R650" s="1120"/>
      <c r="S650" s="1120"/>
      <c r="T650" s="1120"/>
      <c r="U650" s="1120"/>
      <c r="V650" s="1120"/>
      <c r="W650" s="1120"/>
      <c r="Z650" s="1145"/>
      <c r="AA650" s="1120"/>
      <c r="AB650" s="1120"/>
      <c r="AC650" s="1120"/>
      <c r="AD650" s="1212"/>
      <c r="AE650" s="1212"/>
      <c r="AF650" s="1186"/>
      <c r="AG650" s="1186"/>
      <c r="AH650" s="1222"/>
      <c r="AI650" s="1222"/>
      <c r="AJ650" s="1222"/>
      <c r="AK650" s="1222"/>
      <c r="AL650" s="1222"/>
      <c r="AM650" s="1222"/>
      <c r="AN650" s="1222"/>
      <c r="AO650" s="1222"/>
      <c r="AP650" s="1222"/>
      <c r="AQ650" s="1222"/>
      <c r="AR650" s="1222"/>
      <c r="AS650" s="1222"/>
      <c r="AT650" s="1222"/>
      <c r="AU650" s="1120"/>
      <c r="AV650" s="445"/>
      <c r="AW650" s="607"/>
      <c r="AX650" s="607"/>
      <c r="AY650" s="607"/>
      <c r="AZ650" s="1209"/>
      <c r="BA650" s="1209"/>
    </row>
    <row r="651" spans="2:53" s="256" customFormat="1" ht="24.95" customHeight="1">
      <c r="B651" s="445"/>
      <c r="C651" s="204"/>
      <c r="D651" s="204"/>
      <c r="E651" s="204"/>
      <c r="F651" s="368"/>
      <c r="G651" s="1134"/>
      <c r="H651" s="401"/>
      <c r="I651" s="317"/>
      <c r="N651" s="317"/>
      <c r="O651" s="1135"/>
      <c r="P651" s="1136"/>
      <c r="Q651" s="1137"/>
      <c r="R651" s="1120"/>
      <c r="S651" s="1120"/>
      <c r="T651" s="1120"/>
      <c r="U651" s="1120"/>
      <c r="V651" s="1120"/>
      <c r="W651" s="1120"/>
      <c r="Z651" s="1145"/>
      <c r="AA651" s="1120"/>
      <c r="AB651" s="1120"/>
      <c r="AC651" s="1120"/>
      <c r="AD651" s="1212"/>
      <c r="AE651" s="1212"/>
      <c r="AF651" s="1186"/>
      <c r="AG651" s="1186"/>
      <c r="AH651" s="1222"/>
      <c r="AI651" s="1222"/>
      <c r="AJ651" s="1222"/>
      <c r="AK651" s="1222"/>
      <c r="AL651" s="1222"/>
      <c r="AM651" s="1222"/>
      <c r="AN651" s="1222"/>
      <c r="AO651" s="1222"/>
      <c r="AP651" s="1222"/>
      <c r="AQ651" s="1222"/>
      <c r="AR651" s="1222"/>
      <c r="AS651" s="1222"/>
      <c r="AT651" s="1222"/>
      <c r="AU651" s="1120"/>
      <c r="AV651" s="445"/>
      <c r="AW651" s="607"/>
      <c r="AX651" s="607"/>
      <c r="AY651" s="607"/>
      <c r="AZ651" s="1209"/>
      <c r="BA651" s="1209"/>
    </row>
    <row r="652" spans="2:53" s="256" customFormat="1" ht="24.95" customHeight="1">
      <c r="B652" s="445"/>
      <c r="C652" s="204"/>
      <c r="D652" s="204"/>
      <c r="E652" s="204"/>
      <c r="F652" s="368"/>
      <c r="G652" s="1134"/>
      <c r="H652" s="401"/>
      <c r="I652" s="317"/>
      <c r="N652" s="317"/>
      <c r="O652" s="1135"/>
      <c r="P652" s="1136"/>
      <c r="Q652" s="1137"/>
      <c r="R652" s="1120"/>
      <c r="S652" s="1120"/>
      <c r="T652" s="1120"/>
      <c r="U652" s="1120"/>
      <c r="V652" s="1120"/>
      <c r="W652" s="1120"/>
      <c r="Z652" s="1145"/>
      <c r="AA652" s="1120"/>
      <c r="AB652" s="1120"/>
      <c r="AC652" s="1120"/>
      <c r="AD652" s="1212"/>
      <c r="AE652" s="1212"/>
      <c r="AF652" s="1186"/>
      <c r="AG652" s="1186"/>
      <c r="AH652" s="1222"/>
      <c r="AI652" s="1222"/>
      <c r="AJ652" s="1222"/>
      <c r="AK652" s="1222"/>
      <c r="AL652" s="1222"/>
      <c r="AM652" s="1222"/>
      <c r="AN652" s="1222"/>
      <c r="AO652" s="1222"/>
      <c r="AP652" s="1222"/>
      <c r="AQ652" s="1222"/>
      <c r="AR652" s="1222"/>
      <c r="AS652" s="1222"/>
      <c r="AT652" s="1222"/>
      <c r="AU652" s="1120"/>
      <c r="AV652" s="445"/>
      <c r="AW652" s="607"/>
      <c r="AX652" s="607"/>
      <c r="AY652" s="607"/>
      <c r="AZ652" s="1209"/>
      <c r="BA652" s="1209"/>
    </row>
    <row r="653" spans="2:53" s="256" customFormat="1" ht="24.95" customHeight="1">
      <c r="B653" s="445"/>
      <c r="C653" s="204"/>
      <c r="D653" s="204"/>
      <c r="E653" s="204"/>
      <c r="F653" s="368"/>
      <c r="G653" s="1134"/>
      <c r="H653" s="401"/>
      <c r="I653" s="317"/>
      <c r="N653" s="317"/>
      <c r="O653" s="1135"/>
      <c r="P653" s="1136"/>
      <c r="Q653" s="1137"/>
      <c r="R653" s="1120"/>
      <c r="S653" s="1120"/>
      <c r="T653" s="1120"/>
      <c r="U653" s="1120"/>
      <c r="V653" s="1120"/>
      <c r="W653" s="1120"/>
      <c r="Z653" s="1145"/>
      <c r="AA653" s="1120"/>
      <c r="AB653" s="1120"/>
      <c r="AC653" s="1120"/>
      <c r="AD653" s="1212"/>
      <c r="AE653" s="1212"/>
      <c r="AF653" s="1186"/>
      <c r="AG653" s="1186"/>
      <c r="AH653" s="1222"/>
      <c r="AI653" s="1222"/>
      <c r="AJ653" s="1222"/>
      <c r="AK653" s="1222"/>
      <c r="AL653" s="1222"/>
      <c r="AM653" s="1222"/>
      <c r="AN653" s="1222"/>
      <c r="AO653" s="1222"/>
      <c r="AP653" s="1222"/>
      <c r="AQ653" s="1222"/>
      <c r="AR653" s="1222"/>
      <c r="AS653" s="1222"/>
      <c r="AT653" s="1222"/>
      <c r="AU653" s="1120"/>
      <c r="AV653" s="445"/>
      <c r="AW653" s="607"/>
      <c r="AX653" s="607"/>
      <c r="AY653" s="607"/>
      <c r="AZ653" s="1209"/>
      <c r="BA653" s="1209"/>
    </row>
    <row r="654" spans="2:53" s="256" customFormat="1" ht="24.95" customHeight="1">
      <c r="B654" s="445"/>
      <c r="C654" s="204"/>
      <c r="D654" s="204"/>
      <c r="E654" s="204"/>
      <c r="F654" s="368"/>
      <c r="G654" s="1134"/>
      <c r="H654" s="401"/>
      <c r="I654" s="317"/>
      <c r="N654" s="317"/>
      <c r="O654" s="1135"/>
      <c r="P654" s="1136"/>
      <c r="Q654" s="1137"/>
      <c r="R654" s="1120"/>
      <c r="S654" s="1120"/>
      <c r="T654" s="1120"/>
      <c r="U654" s="1120"/>
      <c r="V654" s="1120"/>
      <c r="W654" s="1120"/>
      <c r="Z654" s="1145"/>
      <c r="AA654" s="1120"/>
      <c r="AB654" s="1120"/>
      <c r="AC654" s="1120"/>
      <c r="AD654" s="1212"/>
      <c r="AE654" s="1212"/>
      <c r="AF654" s="1186"/>
      <c r="AG654" s="1186"/>
      <c r="AH654" s="1222"/>
      <c r="AI654" s="1222"/>
      <c r="AJ654" s="1222"/>
      <c r="AK654" s="1222"/>
      <c r="AL654" s="1222"/>
      <c r="AM654" s="1222"/>
      <c r="AN654" s="1222"/>
      <c r="AO654" s="1222"/>
      <c r="AP654" s="1222"/>
      <c r="AQ654" s="1222"/>
      <c r="AR654" s="1222"/>
      <c r="AS654" s="1222"/>
      <c r="AT654" s="1222"/>
      <c r="AU654" s="1120"/>
      <c r="AV654" s="445"/>
      <c r="AW654" s="607"/>
      <c r="AX654" s="607"/>
      <c r="AY654" s="607"/>
      <c r="AZ654" s="1209"/>
      <c r="BA654" s="1209"/>
    </row>
    <row r="655" spans="2:53" s="256" customFormat="1" ht="24.95" customHeight="1">
      <c r="B655" s="445"/>
      <c r="C655" s="204"/>
      <c r="D655" s="204"/>
      <c r="E655" s="204"/>
      <c r="F655" s="368"/>
      <c r="G655" s="1134"/>
      <c r="H655" s="401"/>
      <c r="I655" s="317"/>
      <c r="N655" s="317"/>
      <c r="O655" s="1135"/>
      <c r="P655" s="1136"/>
      <c r="Q655" s="1137"/>
      <c r="R655" s="1120"/>
      <c r="S655" s="1120"/>
      <c r="T655" s="1120"/>
      <c r="U655" s="1120"/>
      <c r="V655" s="1120"/>
      <c r="W655" s="1120"/>
      <c r="Z655" s="1145"/>
      <c r="AA655" s="1120"/>
      <c r="AB655" s="1120"/>
      <c r="AC655" s="1120"/>
      <c r="AD655" s="1212"/>
      <c r="AE655" s="1212"/>
      <c r="AF655" s="1186"/>
      <c r="AG655" s="1186"/>
      <c r="AH655" s="1222"/>
      <c r="AI655" s="1222"/>
      <c r="AJ655" s="1222"/>
      <c r="AK655" s="1222"/>
      <c r="AL655" s="1222"/>
      <c r="AM655" s="1222"/>
      <c r="AN655" s="1222"/>
      <c r="AO655" s="1222"/>
      <c r="AP655" s="1222"/>
      <c r="AQ655" s="1222"/>
      <c r="AR655" s="1222"/>
      <c r="AS655" s="1222"/>
      <c r="AT655" s="1222"/>
      <c r="AU655" s="1120"/>
      <c r="AV655" s="445"/>
      <c r="AW655" s="607"/>
      <c r="AX655" s="607"/>
      <c r="AY655" s="607"/>
      <c r="AZ655" s="1209"/>
      <c r="BA655" s="1209"/>
    </row>
    <row r="656" spans="2:53" s="256" customFormat="1" ht="24.95" customHeight="1">
      <c r="B656" s="445"/>
      <c r="C656" s="204"/>
      <c r="D656" s="204"/>
      <c r="E656" s="204"/>
      <c r="F656" s="368"/>
      <c r="G656" s="1134"/>
      <c r="H656" s="401"/>
      <c r="I656" s="317"/>
      <c r="N656" s="317"/>
      <c r="O656" s="1135"/>
      <c r="P656" s="1136"/>
      <c r="Q656" s="1137"/>
      <c r="R656" s="1120"/>
      <c r="S656" s="1120"/>
      <c r="T656" s="1120"/>
      <c r="U656" s="1120"/>
      <c r="V656" s="1120"/>
      <c r="W656" s="1120"/>
      <c r="Z656" s="1145"/>
      <c r="AA656" s="1120"/>
      <c r="AB656" s="1120"/>
      <c r="AC656" s="1120"/>
      <c r="AD656" s="1212"/>
      <c r="AE656" s="1212"/>
      <c r="AF656" s="1186"/>
      <c r="AG656" s="1186"/>
      <c r="AH656" s="1222"/>
      <c r="AI656" s="1222"/>
      <c r="AJ656" s="1222"/>
      <c r="AK656" s="1222"/>
      <c r="AL656" s="1222"/>
      <c r="AM656" s="1222"/>
      <c r="AN656" s="1222"/>
      <c r="AO656" s="1222"/>
      <c r="AP656" s="1222"/>
      <c r="AQ656" s="1222"/>
      <c r="AR656" s="1222"/>
      <c r="AS656" s="1222"/>
      <c r="AT656" s="1222"/>
      <c r="AU656" s="1120"/>
      <c r="AV656" s="445"/>
      <c r="AW656" s="607"/>
      <c r="AX656" s="607"/>
      <c r="AY656" s="607"/>
      <c r="AZ656" s="1209"/>
      <c r="BA656" s="1209"/>
    </row>
    <row r="657" spans="2:53" s="256" customFormat="1" ht="24.95" customHeight="1">
      <c r="B657" s="445"/>
      <c r="C657" s="204"/>
      <c r="D657" s="204"/>
      <c r="E657" s="204"/>
      <c r="F657" s="368"/>
      <c r="G657" s="1134"/>
      <c r="H657" s="401"/>
      <c r="I657" s="317"/>
      <c r="N657" s="317"/>
      <c r="O657" s="1135"/>
      <c r="P657" s="1136"/>
      <c r="Q657" s="1137"/>
      <c r="R657" s="1120"/>
      <c r="S657" s="1120"/>
      <c r="T657" s="1120"/>
      <c r="U657" s="1120"/>
      <c r="V657" s="1120"/>
      <c r="W657" s="1120"/>
      <c r="Z657" s="1145"/>
      <c r="AA657" s="1120"/>
      <c r="AB657" s="1120"/>
      <c r="AC657" s="1120"/>
      <c r="AD657" s="1212"/>
      <c r="AE657" s="1212"/>
      <c r="AF657" s="1186"/>
      <c r="AG657" s="1186"/>
      <c r="AH657" s="1222"/>
      <c r="AI657" s="1222"/>
      <c r="AJ657" s="1222"/>
      <c r="AK657" s="1222"/>
      <c r="AL657" s="1222"/>
      <c r="AM657" s="1222"/>
      <c r="AN657" s="1222"/>
      <c r="AO657" s="1222"/>
      <c r="AP657" s="1222"/>
      <c r="AQ657" s="1222"/>
      <c r="AR657" s="1222"/>
      <c r="AS657" s="1222"/>
      <c r="AT657" s="1222"/>
      <c r="AU657" s="1120"/>
      <c r="AV657" s="445"/>
      <c r="AW657" s="607"/>
      <c r="AX657" s="607"/>
      <c r="AY657" s="607"/>
      <c r="AZ657" s="1209"/>
      <c r="BA657" s="1209"/>
    </row>
    <row r="658" spans="2:53" s="256" customFormat="1" ht="24.95" customHeight="1">
      <c r="B658" s="445"/>
      <c r="C658" s="204"/>
      <c r="D658" s="204"/>
      <c r="E658" s="204"/>
      <c r="F658" s="368"/>
      <c r="G658" s="1134"/>
      <c r="H658" s="401"/>
      <c r="I658" s="317"/>
      <c r="N658" s="317"/>
      <c r="O658" s="1135"/>
      <c r="P658" s="1136"/>
      <c r="Q658" s="1137"/>
      <c r="R658" s="1120"/>
      <c r="S658" s="1120"/>
      <c r="T658" s="1120"/>
      <c r="U658" s="1120"/>
      <c r="V658" s="1120"/>
      <c r="W658" s="1120"/>
      <c r="Z658" s="1145"/>
      <c r="AA658" s="1120"/>
      <c r="AB658" s="1120"/>
      <c r="AC658" s="1120"/>
      <c r="AD658" s="1212"/>
      <c r="AE658" s="1212"/>
      <c r="AF658" s="1186"/>
      <c r="AG658" s="1186"/>
      <c r="AH658" s="1222"/>
      <c r="AI658" s="1222"/>
      <c r="AJ658" s="1222"/>
      <c r="AK658" s="1222"/>
      <c r="AL658" s="1222"/>
      <c r="AM658" s="1222"/>
      <c r="AN658" s="1222"/>
      <c r="AO658" s="1222"/>
      <c r="AP658" s="1222"/>
      <c r="AQ658" s="1222"/>
      <c r="AR658" s="1222"/>
      <c r="AS658" s="1222"/>
      <c r="AT658" s="1222"/>
      <c r="AU658" s="1120"/>
      <c r="AV658" s="445"/>
      <c r="AW658" s="607"/>
      <c r="AX658" s="607"/>
      <c r="AY658" s="607"/>
      <c r="AZ658" s="1209"/>
      <c r="BA658" s="1209"/>
    </row>
    <row r="659" spans="2:53" s="256" customFormat="1" ht="24.95" customHeight="1">
      <c r="B659" s="445"/>
      <c r="C659" s="204"/>
      <c r="D659" s="204"/>
      <c r="E659" s="204"/>
      <c r="F659" s="368"/>
      <c r="G659" s="1134"/>
      <c r="H659" s="401"/>
      <c r="I659" s="317"/>
      <c r="N659" s="317"/>
      <c r="O659" s="1135"/>
      <c r="P659" s="1136"/>
      <c r="Q659" s="1137"/>
      <c r="R659" s="1120"/>
      <c r="S659" s="1120"/>
      <c r="T659" s="1120"/>
      <c r="U659" s="1120"/>
      <c r="V659" s="1120"/>
      <c r="W659" s="1120"/>
      <c r="Z659" s="1145"/>
      <c r="AA659" s="1120"/>
      <c r="AB659" s="1120"/>
      <c r="AC659" s="1120"/>
      <c r="AD659" s="1212"/>
      <c r="AE659" s="1212"/>
      <c r="AF659" s="1186"/>
      <c r="AG659" s="1186"/>
      <c r="AH659" s="1222"/>
      <c r="AI659" s="1222"/>
      <c r="AJ659" s="1222"/>
      <c r="AK659" s="1222"/>
      <c r="AL659" s="1222"/>
      <c r="AM659" s="1222"/>
      <c r="AN659" s="1222"/>
      <c r="AO659" s="1222"/>
      <c r="AP659" s="1222"/>
      <c r="AQ659" s="1222"/>
      <c r="AR659" s="1222"/>
      <c r="AS659" s="1222"/>
      <c r="AT659" s="1222"/>
      <c r="AU659" s="1120"/>
      <c r="AV659" s="445"/>
      <c r="AW659" s="607"/>
      <c r="AX659" s="607"/>
      <c r="AY659" s="607"/>
      <c r="AZ659" s="1209"/>
      <c r="BA659" s="1209"/>
    </row>
    <row r="660" spans="2:53" s="256" customFormat="1" ht="24.95" customHeight="1">
      <c r="B660" s="445"/>
      <c r="C660" s="204"/>
      <c r="D660" s="204"/>
      <c r="E660" s="204"/>
      <c r="F660" s="368"/>
      <c r="G660" s="1134"/>
      <c r="H660" s="401"/>
      <c r="I660" s="317"/>
      <c r="N660" s="317"/>
      <c r="O660" s="1135"/>
      <c r="P660" s="1136"/>
      <c r="Q660" s="1137"/>
      <c r="R660" s="1120"/>
      <c r="S660" s="1120"/>
      <c r="T660" s="1120"/>
      <c r="U660" s="1120"/>
      <c r="V660" s="1120"/>
      <c r="W660" s="1120"/>
      <c r="Z660" s="1145"/>
      <c r="AA660" s="1120"/>
      <c r="AB660" s="1120"/>
      <c r="AC660" s="1120"/>
      <c r="AD660" s="1212"/>
      <c r="AE660" s="1212"/>
      <c r="AF660" s="1186"/>
      <c r="AG660" s="1186"/>
      <c r="AH660" s="1222"/>
      <c r="AI660" s="1222"/>
      <c r="AJ660" s="1222"/>
      <c r="AK660" s="1222"/>
      <c r="AL660" s="1222"/>
      <c r="AM660" s="1222"/>
      <c r="AN660" s="1222"/>
      <c r="AO660" s="1222"/>
      <c r="AP660" s="1222"/>
      <c r="AQ660" s="1222"/>
      <c r="AR660" s="1222"/>
      <c r="AS660" s="1222"/>
      <c r="AT660" s="1222"/>
      <c r="AU660" s="1120"/>
      <c r="AV660" s="445"/>
      <c r="AW660" s="607"/>
      <c r="AX660" s="607"/>
      <c r="AY660" s="607"/>
      <c r="AZ660" s="1209"/>
      <c r="BA660" s="1209"/>
    </row>
    <row r="661" spans="2:53" s="256" customFormat="1" ht="24.95" customHeight="1">
      <c r="B661" s="445"/>
      <c r="C661" s="204"/>
      <c r="D661" s="204"/>
      <c r="E661" s="204"/>
      <c r="F661" s="368"/>
      <c r="G661" s="1134"/>
      <c r="H661" s="401"/>
      <c r="I661" s="317"/>
      <c r="N661" s="317"/>
      <c r="O661" s="1135"/>
      <c r="P661" s="1136"/>
      <c r="Q661" s="1137"/>
      <c r="R661" s="1120"/>
      <c r="S661" s="1120"/>
      <c r="T661" s="1120"/>
      <c r="U661" s="1120"/>
      <c r="V661" s="1120"/>
      <c r="W661" s="1120"/>
      <c r="Z661" s="1145"/>
      <c r="AA661" s="1120"/>
      <c r="AB661" s="1120"/>
      <c r="AC661" s="1120"/>
      <c r="AD661" s="1212"/>
      <c r="AE661" s="1212"/>
      <c r="AF661" s="1186"/>
      <c r="AG661" s="1186"/>
      <c r="AH661" s="1222"/>
      <c r="AI661" s="1222"/>
      <c r="AJ661" s="1222"/>
      <c r="AK661" s="1222"/>
      <c r="AL661" s="1222"/>
      <c r="AM661" s="1222"/>
      <c r="AN661" s="1222"/>
      <c r="AO661" s="1222"/>
      <c r="AP661" s="1222"/>
      <c r="AQ661" s="1222"/>
      <c r="AR661" s="1222"/>
      <c r="AS661" s="1222"/>
      <c r="AT661" s="1222"/>
      <c r="AU661" s="1120"/>
      <c r="AV661" s="445"/>
      <c r="AW661" s="607"/>
      <c r="AX661" s="607"/>
      <c r="AY661" s="607"/>
      <c r="AZ661" s="1209"/>
      <c r="BA661" s="1209"/>
    </row>
    <row r="662" spans="2:53" s="256" customFormat="1" ht="24.95" customHeight="1">
      <c r="B662" s="445"/>
      <c r="C662" s="204"/>
      <c r="D662" s="204"/>
      <c r="E662" s="204"/>
      <c r="F662" s="368"/>
      <c r="G662" s="1134"/>
      <c r="H662" s="401"/>
      <c r="I662" s="317"/>
      <c r="N662" s="317"/>
      <c r="O662" s="1135"/>
      <c r="P662" s="1136"/>
      <c r="Q662" s="1137"/>
      <c r="R662" s="1120"/>
      <c r="S662" s="1120"/>
      <c r="T662" s="1120"/>
      <c r="U662" s="1120"/>
      <c r="V662" s="1120"/>
      <c r="W662" s="1120"/>
      <c r="Z662" s="1145"/>
      <c r="AA662" s="1120"/>
      <c r="AB662" s="1120"/>
      <c r="AC662" s="1120"/>
      <c r="AD662" s="1212"/>
      <c r="AE662" s="1212"/>
      <c r="AF662" s="1186"/>
      <c r="AG662" s="1186"/>
      <c r="AH662" s="1222"/>
      <c r="AI662" s="1222"/>
      <c r="AJ662" s="1222"/>
      <c r="AK662" s="1222"/>
      <c r="AL662" s="1222"/>
      <c r="AM662" s="1222"/>
      <c r="AN662" s="1222"/>
      <c r="AO662" s="1222"/>
      <c r="AP662" s="1222"/>
      <c r="AQ662" s="1222"/>
      <c r="AR662" s="1222"/>
      <c r="AS662" s="1222"/>
      <c r="AT662" s="1222"/>
      <c r="AU662" s="1120"/>
      <c r="AV662" s="445"/>
      <c r="AW662" s="607"/>
      <c r="AX662" s="607"/>
      <c r="AY662" s="607"/>
      <c r="AZ662" s="1209"/>
      <c r="BA662" s="1209"/>
    </row>
    <row r="663" spans="2:53" s="256" customFormat="1" ht="24.95" customHeight="1">
      <c r="B663" s="445"/>
      <c r="C663" s="204"/>
      <c r="D663" s="204"/>
      <c r="E663" s="204"/>
      <c r="F663" s="368"/>
      <c r="G663" s="1134"/>
      <c r="H663" s="401"/>
      <c r="I663" s="317"/>
      <c r="N663" s="317"/>
      <c r="O663" s="1135"/>
      <c r="P663" s="1136"/>
      <c r="Q663" s="1137"/>
      <c r="R663" s="1120"/>
      <c r="S663" s="1120"/>
      <c r="T663" s="1120"/>
      <c r="U663" s="1120"/>
      <c r="V663" s="1120"/>
      <c r="W663" s="1120"/>
      <c r="Z663" s="1145"/>
      <c r="AA663" s="1120"/>
      <c r="AB663" s="1120"/>
      <c r="AC663" s="1120"/>
      <c r="AD663" s="1212"/>
      <c r="AE663" s="1212"/>
      <c r="AF663" s="1186"/>
      <c r="AG663" s="1186"/>
      <c r="AH663" s="1222"/>
      <c r="AI663" s="1222"/>
      <c r="AJ663" s="1222"/>
      <c r="AK663" s="1222"/>
      <c r="AL663" s="1222"/>
      <c r="AM663" s="1222"/>
      <c r="AN663" s="1222"/>
      <c r="AO663" s="1222"/>
      <c r="AP663" s="1222"/>
      <c r="AQ663" s="1222"/>
      <c r="AR663" s="1222"/>
      <c r="AS663" s="1222"/>
      <c r="AT663" s="1222"/>
      <c r="AU663" s="1120"/>
      <c r="AV663" s="445"/>
      <c r="AW663" s="607"/>
      <c r="AX663" s="607"/>
      <c r="AY663" s="607"/>
      <c r="AZ663" s="1209"/>
      <c r="BA663" s="1209"/>
    </row>
    <row r="664" spans="2:53" s="256" customFormat="1" ht="24.95" customHeight="1">
      <c r="B664" s="445"/>
      <c r="C664" s="204"/>
      <c r="D664" s="204"/>
      <c r="E664" s="204"/>
      <c r="F664" s="368"/>
      <c r="G664" s="1134"/>
      <c r="H664" s="401"/>
      <c r="I664" s="317"/>
      <c r="N664" s="317"/>
      <c r="O664" s="1135"/>
      <c r="P664" s="1136"/>
      <c r="Q664" s="1137"/>
      <c r="R664" s="1120"/>
      <c r="S664" s="1120"/>
      <c r="T664" s="1120"/>
      <c r="U664" s="1120"/>
      <c r="V664" s="1120"/>
      <c r="W664" s="1120"/>
      <c r="Z664" s="1145"/>
      <c r="AA664" s="1120"/>
      <c r="AB664" s="1120"/>
      <c r="AC664" s="1120"/>
      <c r="AD664" s="1212"/>
      <c r="AE664" s="1212"/>
      <c r="AF664" s="1186"/>
      <c r="AG664" s="1186"/>
      <c r="AH664" s="1222"/>
      <c r="AI664" s="1222"/>
      <c r="AJ664" s="1222"/>
      <c r="AK664" s="1222"/>
      <c r="AL664" s="1222"/>
      <c r="AM664" s="1222"/>
      <c r="AN664" s="1222"/>
      <c r="AO664" s="1222"/>
      <c r="AP664" s="1222"/>
      <c r="AQ664" s="1222"/>
      <c r="AR664" s="1222"/>
      <c r="AS664" s="1222"/>
      <c r="AT664" s="1222"/>
      <c r="AU664" s="1120"/>
      <c r="AV664" s="445"/>
      <c r="AW664" s="607"/>
      <c r="AX664" s="607"/>
      <c r="AY664" s="607"/>
      <c r="AZ664" s="1209"/>
      <c r="BA664" s="1209"/>
    </row>
    <row r="665" spans="2:53" s="256" customFormat="1" ht="24.95" customHeight="1">
      <c r="B665" s="445"/>
      <c r="C665" s="204"/>
      <c r="D665" s="204"/>
      <c r="E665" s="204"/>
      <c r="F665" s="368"/>
      <c r="G665" s="1134"/>
      <c r="H665" s="401"/>
      <c r="I665" s="317"/>
      <c r="N665" s="317"/>
      <c r="O665" s="1135"/>
      <c r="P665" s="1136"/>
      <c r="Q665" s="1137"/>
      <c r="R665" s="1120"/>
      <c r="S665" s="1120"/>
      <c r="T665" s="1120"/>
      <c r="U665" s="1120"/>
      <c r="V665" s="1120"/>
      <c r="W665" s="1120"/>
      <c r="Z665" s="1145"/>
      <c r="AA665" s="1120"/>
      <c r="AB665" s="1120"/>
      <c r="AC665" s="1120"/>
      <c r="AD665" s="1212"/>
      <c r="AE665" s="1212"/>
      <c r="AF665" s="1186"/>
      <c r="AG665" s="1186"/>
      <c r="AH665" s="1222"/>
      <c r="AI665" s="1222"/>
      <c r="AJ665" s="1222"/>
      <c r="AK665" s="1222"/>
      <c r="AL665" s="1222"/>
      <c r="AM665" s="1222"/>
      <c r="AN665" s="1222"/>
      <c r="AO665" s="1222"/>
      <c r="AP665" s="1222"/>
      <c r="AQ665" s="1222"/>
      <c r="AR665" s="1222"/>
      <c r="AS665" s="1222"/>
      <c r="AT665" s="1222"/>
      <c r="AU665" s="1120"/>
      <c r="AV665" s="445"/>
      <c r="AW665" s="607"/>
      <c r="AX665" s="607"/>
      <c r="AY665" s="607"/>
      <c r="AZ665" s="1209"/>
      <c r="BA665" s="1209"/>
    </row>
    <row r="666" spans="2:53" s="256" customFormat="1" ht="24.95" customHeight="1">
      <c r="B666" s="445"/>
      <c r="C666" s="204"/>
      <c r="D666" s="204"/>
      <c r="E666" s="204"/>
      <c r="F666" s="368"/>
      <c r="G666" s="1134"/>
      <c r="H666" s="401"/>
      <c r="I666" s="317"/>
      <c r="N666" s="317"/>
      <c r="O666" s="1135"/>
      <c r="P666" s="1136"/>
      <c r="Q666" s="1137"/>
      <c r="R666" s="1120"/>
      <c r="S666" s="1120"/>
      <c r="T666" s="1120"/>
      <c r="U666" s="1120"/>
      <c r="V666" s="1120"/>
      <c r="W666" s="1120"/>
      <c r="Z666" s="1145"/>
      <c r="AA666" s="1120"/>
      <c r="AB666" s="1120"/>
      <c r="AC666" s="1120"/>
      <c r="AD666" s="1212"/>
      <c r="AE666" s="1212"/>
      <c r="AF666" s="1186"/>
      <c r="AG666" s="1186"/>
      <c r="AH666" s="1222"/>
      <c r="AI666" s="1222"/>
      <c r="AJ666" s="1222"/>
      <c r="AK666" s="1222"/>
      <c r="AL666" s="1222"/>
      <c r="AM666" s="1222"/>
      <c r="AN666" s="1222"/>
      <c r="AO666" s="1222"/>
      <c r="AP666" s="1222"/>
      <c r="AQ666" s="1222"/>
      <c r="AR666" s="1222"/>
      <c r="AS666" s="1222"/>
      <c r="AT666" s="1222"/>
      <c r="AU666" s="1120"/>
      <c r="AV666" s="445"/>
      <c r="AW666" s="607"/>
      <c r="AX666" s="607"/>
      <c r="AY666" s="607"/>
      <c r="AZ666" s="1209"/>
      <c r="BA666" s="1209"/>
    </row>
    <row r="667" spans="2:53" s="256" customFormat="1" ht="24.95" customHeight="1">
      <c r="B667" s="445"/>
      <c r="C667" s="204"/>
      <c r="D667" s="204"/>
      <c r="E667" s="204"/>
      <c r="F667" s="368"/>
      <c r="G667" s="1134"/>
      <c r="H667" s="401"/>
      <c r="I667" s="317"/>
      <c r="N667" s="317"/>
      <c r="O667" s="1135"/>
      <c r="P667" s="1136"/>
      <c r="Q667" s="1137"/>
      <c r="R667" s="1120"/>
      <c r="S667" s="1120"/>
      <c r="T667" s="1120"/>
      <c r="U667" s="1120"/>
      <c r="V667" s="1120"/>
      <c r="W667" s="1120"/>
      <c r="Z667" s="1145"/>
      <c r="AA667" s="1120"/>
      <c r="AB667" s="1120"/>
      <c r="AC667" s="1120"/>
      <c r="AD667" s="1212"/>
      <c r="AE667" s="1212"/>
      <c r="AF667" s="1186"/>
      <c r="AG667" s="1186"/>
      <c r="AH667" s="1222"/>
      <c r="AI667" s="1222"/>
      <c r="AJ667" s="1222"/>
      <c r="AK667" s="1222"/>
      <c r="AL667" s="1222"/>
      <c r="AM667" s="1222"/>
      <c r="AN667" s="1222"/>
      <c r="AO667" s="1222"/>
      <c r="AP667" s="1222"/>
      <c r="AQ667" s="1222"/>
      <c r="AR667" s="1222"/>
      <c r="AS667" s="1222"/>
      <c r="AT667" s="1222"/>
      <c r="AU667" s="1120"/>
      <c r="AV667" s="445"/>
      <c r="AW667" s="607"/>
      <c r="AX667" s="607"/>
      <c r="AY667" s="607"/>
      <c r="AZ667" s="1209"/>
      <c r="BA667" s="1209"/>
    </row>
    <row r="668" spans="2:53" s="256" customFormat="1" ht="24.95" customHeight="1">
      <c r="B668" s="445"/>
      <c r="C668" s="204"/>
      <c r="D668" s="204"/>
      <c r="E668" s="204"/>
      <c r="F668" s="368"/>
      <c r="G668" s="1134"/>
      <c r="H668" s="401"/>
      <c r="I668" s="317"/>
      <c r="N668" s="317"/>
      <c r="O668" s="1135"/>
      <c r="P668" s="1136"/>
      <c r="Q668" s="1137"/>
      <c r="R668" s="1120"/>
      <c r="S668" s="1120"/>
      <c r="T668" s="1120"/>
      <c r="U668" s="1120"/>
      <c r="V668" s="1120"/>
      <c r="W668" s="1120"/>
      <c r="Z668" s="1145"/>
      <c r="AA668" s="1120"/>
      <c r="AB668" s="1120"/>
      <c r="AC668" s="1120"/>
      <c r="AD668" s="1212"/>
      <c r="AE668" s="1212"/>
      <c r="AF668" s="1186"/>
      <c r="AG668" s="1186"/>
      <c r="AH668" s="1222"/>
      <c r="AI668" s="1222"/>
      <c r="AJ668" s="1222"/>
      <c r="AK668" s="1222"/>
      <c r="AL668" s="1222"/>
      <c r="AM668" s="1222"/>
      <c r="AN668" s="1222"/>
      <c r="AO668" s="1222"/>
      <c r="AP668" s="1222"/>
      <c r="AQ668" s="1222"/>
      <c r="AR668" s="1222"/>
      <c r="AS668" s="1222"/>
      <c r="AT668" s="1222"/>
      <c r="AU668" s="1120"/>
      <c r="AV668" s="445"/>
      <c r="AW668" s="607"/>
      <c r="AX668" s="607"/>
      <c r="AY668" s="607"/>
      <c r="AZ668" s="1209"/>
      <c r="BA668" s="1209"/>
    </row>
    <row r="669" spans="2:53" s="256" customFormat="1" ht="24.95" customHeight="1">
      <c r="B669" s="445"/>
      <c r="C669" s="204"/>
      <c r="D669" s="204"/>
      <c r="E669" s="204"/>
      <c r="F669" s="368"/>
      <c r="G669" s="1134"/>
      <c r="H669" s="401"/>
      <c r="I669" s="317"/>
      <c r="N669" s="317"/>
      <c r="O669" s="1135"/>
      <c r="P669" s="1136"/>
      <c r="Q669" s="1137"/>
      <c r="R669" s="1120"/>
      <c r="S669" s="1120"/>
      <c r="T669" s="1120"/>
      <c r="U669" s="1120"/>
      <c r="V669" s="1120"/>
      <c r="W669" s="1120"/>
      <c r="Z669" s="1145"/>
      <c r="AA669" s="1120"/>
      <c r="AB669" s="1120"/>
      <c r="AC669" s="1120"/>
      <c r="AD669" s="1212"/>
      <c r="AE669" s="1212"/>
      <c r="AF669" s="1186"/>
      <c r="AG669" s="1186"/>
      <c r="AH669" s="1222"/>
      <c r="AI669" s="1222"/>
      <c r="AJ669" s="1222"/>
      <c r="AK669" s="1222"/>
      <c r="AL669" s="1222"/>
      <c r="AM669" s="1222"/>
      <c r="AN669" s="1222"/>
      <c r="AO669" s="1222"/>
      <c r="AP669" s="1222"/>
      <c r="AQ669" s="1222"/>
      <c r="AR669" s="1222"/>
      <c r="AS669" s="1222"/>
      <c r="AT669" s="1222"/>
      <c r="AU669" s="1120"/>
      <c r="AV669" s="445"/>
      <c r="AW669" s="607"/>
      <c r="AX669" s="607"/>
      <c r="AY669" s="607"/>
      <c r="AZ669" s="1209"/>
      <c r="BA669" s="1209"/>
    </row>
    <row r="670" spans="2:53" s="256" customFormat="1" ht="24.95" customHeight="1">
      <c r="B670" s="445"/>
      <c r="C670" s="204"/>
      <c r="D670" s="204"/>
      <c r="E670" s="204"/>
      <c r="F670" s="368"/>
      <c r="G670" s="1134"/>
      <c r="H670" s="401"/>
      <c r="I670" s="317"/>
      <c r="N670" s="317"/>
      <c r="O670" s="1135"/>
      <c r="P670" s="1136"/>
      <c r="Q670" s="1137"/>
      <c r="R670" s="1120"/>
      <c r="S670" s="1120"/>
      <c r="T670" s="1120"/>
      <c r="U670" s="1120"/>
      <c r="V670" s="1120"/>
      <c r="W670" s="1120"/>
      <c r="Z670" s="1145"/>
      <c r="AA670" s="1120"/>
      <c r="AB670" s="1120"/>
      <c r="AC670" s="1120"/>
      <c r="AD670" s="1212"/>
      <c r="AE670" s="1212"/>
      <c r="AF670" s="1186"/>
      <c r="AG670" s="1186"/>
      <c r="AH670" s="1222"/>
      <c r="AI670" s="1222"/>
      <c r="AJ670" s="1222"/>
      <c r="AK670" s="1222"/>
      <c r="AL670" s="1222"/>
      <c r="AM670" s="1222"/>
      <c r="AN670" s="1222"/>
      <c r="AO670" s="1222"/>
      <c r="AP670" s="1222"/>
      <c r="AQ670" s="1222"/>
      <c r="AR670" s="1222"/>
      <c r="AS670" s="1222"/>
      <c r="AT670" s="1222"/>
      <c r="AU670" s="1120"/>
      <c r="AV670" s="445"/>
      <c r="AW670" s="607"/>
      <c r="AX670" s="607"/>
      <c r="AY670" s="607"/>
      <c r="AZ670" s="1209"/>
      <c r="BA670" s="1209"/>
    </row>
    <row r="671" spans="2:53" s="256" customFormat="1" ht="24.95" customHeight="1">
      <c r="B671" s="445"/>
      <c r="C671" s="204"/>
      <c r="D671" s="204"/>
      <c r="E671" s="204"/>
      <c r="F671" s="368"/>
      <c r="G671" s="1134"/>
      <c r="H671" s="401"/>
      <c r="I671" s="317"/>
      <c r="N671" s="317"/>
      <c r="O671" s="1135"/>
      <c r="P671" s="1136"/>
      <c r="Q671" s="1137"/>
      <c r="R671" s="1120"/>
      <c r="S671" s="1120"/>
      <c r="T671" s="1120"/>
      <c r="U671" s="1120"/>
      <c r="V671" s="1120"/>
      <c r="W671" s="1120"/>
      <c r="Z671" s="1145"/>
      <c r="AA671" s="1120"/>
      <c r="AB671" s="1120"/>
      <c r="AC671" s="1120"/>
      <c r="AD671" s="1212"/>
      <c r="AE671" s="1212"/>
      <c r="AF671" s="1186"/>
      <c r="AG671" s="1186"/>
      <c r="AH671" s="1222"/>
      <c r="AI671" s="1222"/>
      <c r="AJ671" s="1222"/>
      <c r="AK671" s="1222"/>
      <c r="AL671" s="1222"/>
      <c r="AM671" s="1222"/>
      <c r="AN671" s="1222"/>
      <c r="AO671" s="1222"/>
      <c r="AP671" s="1222"/>
      <c r="AQ671" s="1222"/>
      <c r="AR671" s="1222"/>
      <c r="AS671" s="1222"/>
      <c r="AT671" s="1222"/>
      <c r="AU671" s="1120"/>
      <c r="AV671" s="445"/>
      <c r="AW671" s="607"/>
      <c r="AX671" s="607"/>
      <c r="AY671" s="607"/>
      <c r="AZ671" s="1209"/>
      <c r="BA671" s="1209"/>
    </row>
    <row r="672" spans="2:53" s="256" customFormat="1" ht="24.95" customHeight="1">
      <c r="B672" s="445"/>
      <c r="C672" s="204"/>
      <c r="D672" s="204"/>
      <c r="E672" s="204"/>
      <c r="F672" s="368"/>
      <c r="G672" s="1134"/>
      <c r="H672" s="401"/>
      <c r="I672" s="317"/>
      <c r="N672" s="317"/>
      <c r="O672" s="1135"/>
      <c r="P672" s="1136"/>
      <c r="Q672" s="1137"/>
      <c r="R672" s="1120"/>
      <c r="S672" s="1120"/>
      <c r="T672" s="1120"/>
      <c r="U672" s="1120"/>
      <c r="V672" s="1120"/>
      <c r="W672" s="1120"/>
      <c r="Z672" s="1145"/>
      <c r="AA672" s="1120"/>
      <c r="AB672" s="1120"/>
      <c r="AC672" s="1120"/>
      <c r="AD672" s="1212"/>
      <c r="AE672" s="1212"/>
      <c r="AF672" s="1186"/>
      <c r="AG672" s="1186"/>
      <c r="AH672" s="1222"/>
      <c r="AI672" s="1222"/>
      <c r="AJ672" s="1222"/>
      <c r="AK672" s="1222"/>
      <c r="AL672" s="1222"/>
      <c r="AM672" s="1222"/>
      <c r="AN672" s="1222"/>
      <c r="AO672" s="1222"/>
      <c r="AP672" s="1222"/>
      <c r="AQ672" s="1222"/>
      <c r="AR672" s="1222"/>
      <c r="AS672" s="1222"/>
      <c r="AT672" s="1222"/>
      <c r="AU672" s="1120"/>
      <c r="AV672" s="445"/>
      <c r="AW672" s="607"/>
      <c r="AX672" s="607"/>
      <c r="AY672" s="607"/>
      <c r="AZ672" s="1209"/>
      <c r="BA672" s="1209"/>
    </row>
    <row r="673" spans="2:53" s="256" customFormat="1" ht="24.95" customHeight="1">
      <c r="B673" s="445"/>
      <c r="C673" s="204"/>
      <c r="D673" s="204"/>
      <c r="E673" s="204"/>
      <c r="F673" s="368"/>
      <c r="G673" s="1134"/>
      <c r="H673" s="401"/>
      <c r="I673" s="317"/>
      <c r="N673" s="317"/>
      <c r="O673" s="1135"/>
      <c r="P673" s="1136"/>
      <c r="Q673" s="1137"/>
      <c r="R673" s="1120"/>
      <c r="S673" s="1120"/>
      <c r="T673" s="1120"/>
      <c r="U673" s="1120"/>
      <c r="V673" s="1120"/>
      <c r="W673" s="1120"/>
      <c r="Z673" s="1145"/>
      <c r="AA673" s="1120"/>
      <c r="AB673" s="1120"/>
      <c r="AC673" s="1120"/>
      <c r="AD673" s="1212"/>
      <c r="AE673" s="1212"/>
      <c r="AF673" s="1186"/>
      <c r="AG673" s="1186"/>
      <c r="AH673" s="1222"/>
      <c r="AI673" s="1222"/>
      <c r="AJ673" s="1222"/>
      <c r="AK673" s="1222"/>
      <c r="AL673" s="1222"/>
      <c r="AM673" s="1222"/>
      <c r="AN673" s="1222"/>
      <c r="AO673" s="1222"/>
      <c r="AP673" s="1222"/>
      <c r="AQ673" s="1222"/>
      <c r="AR673" s="1222"/>
      <c r="AS673" s="1222"/>
      <c r="AT673" s="1222"/>
      <c r="AU673" s="1120"/>
      <c r="AV673" s="445"/>
      <c r="AW673" s="607"/>
      <c r="AX673" s="607"/>
      <c r="AY673" s="607"/>
      <c r="AZ673" s="1209"/>
      <c r="BA673" s="1209"/>
    </row>
    <row r="674" spans="2:53" s="256" customFormat="1" ht="24.95" customHeight="1">
      <c r="B674" s="445"/>
      <c r="C674" s="204"/>
      <c r="D674" s="204"/>
      <c r="E674" s="204"/>
      <c r="F674" s="368"/>
      <c r="G674" s="1134"/>
      <c r="H674" s="401"/>
      <c r="I674" s="317"/>
      <c r="N674" s="317"/>
      <c r="O674" s="1135"/>
      <c r="P674" s="1136"/>
      <c r="Q674" s="1137"/>
      <c r="R674" s="1120"/>
      <c r="S674" s="1120"/>
      <c r="T674" s="1120"/>
      <c r="U674" s="1120"/>
      <c r="V674" s="1120"/>
      <c r="W674" s="1120"/>
      <c r="Z674" s="1145"/>
      <c r="AA674" s="1120"/>
      <c r="AB674" s="1120"/>
      <c r="AC674" s="1120"/>
      <c r="AD674" s="1212"/>
      <c r="AE674" s="1212"/>
      <c r="AF674" s="1186"/>
      <c r="AG674" s="1186"/>
      <c r="AH674" s="1222"/>
      <c r="AI674" s="1222"/>
      <c r="AJ674" s="1222"/>
      <c r="AK674" s="1222"/>
      <c r="AL674" s="1222"/>
      <c r="AM674" s="1222"/>
      <c r="AN674" s="1222"/>
      <c r="AO674" s="1222"/>
      <c r="AP674" s="1222"/>
      <c r="AQ674" s="1222"/>
      <c r="AR674" s="1222"/>
      <c r="AS674" s="1222"/>
      <c r="AT674" s="1222"/>
      <c r="AU674" s="1120"/>
      <c r="AV674" s="445"/>
      <c r="AW674" s="607"/>
      <c r="AX674" s="607"/>
      <c r="AY674" s="607"/>
      <c r="AZ674" s="1209"/>
      <c r="BA674" s="1209"/>
    </row>
    <row r="675" spans="2:53" s="256" customFormat="1" ht="24.95" customHeight="1">
      <c r="B675" s="445"/>
      <c r="C675" s="204"/>
      <c r="D675" s="204"/>
      <c r="E675" s="204"/>
      <c r="F675" s="368"/>
      <c r="G675" s="1134"/>
      <c r="H675" s="401"/>
      <c r="I675" s="317"/>
      <c r="N675" s="317"/>
      <c r="O675" s="1135"/>
      <c r="P675" s="1136"/>
      <c r="Q675" s="1137"/>
      <c r="R675" s="1120"/>
      <c r="S675" s="1120"/>
      <c r="T675" s="1120"/>
      <c r="U675" s="1120"/>
      <c r="V675" s="1120"/>
      <c r="W675" s="1120"/>
      <c r="Z675" s="1145"/>
      <c r="AA675" s="1120"/>
      <c r="AB675" s="1120"/>
      <c r="AC675" s="1120"/>
      <c r="AD675" s="1212"/>
      <c r="AE675" s="1212"/>
      <c r="AF675" s="1186"/>
      <c r="AG675" s="1186"/>
      <c r="AH675" s="1222"/>
      <c r="AI675" s="1222"/>
      <c r="AJ675" s="1222"/>
      <c r="AK675" s="1222"/>
      <c r="AL675" s="1222"/>
      <c r="AM675" s="1222"/>
      <c r="AN675" s="1222"/>
      <c r="AO675" s="1222"/>
      <c r="AP675" s="1222"/>
      <c r="AQ675" s="1222"/>
      <c r="AR675" s="1222"/>
      <c r="AS675" s="1222"/>
      <c r="AT675" s="1222"/>
      <c r="AU675" s="1120"/>
      <c r="AV675" s="445"/>
      <c r="AW675" s="607"/>
      <c r="AX675" s="607"/>
      <c r="AY675" s="607"/>
      <c r="AZ675" s="1209"/>
      <c r="BA675" s="1209"/>
    </row>
    <row r="676" spans="2:53" s="256" customFormat="1" ht="24.95" customHeight="1">
      <c r="B676" s="445"/>
      <c r="C676" s="204"/>
      <c r="D676" s="204"/>
      <c r="E676" s="204"/>
      <c r="F676" s="368"/>
      <c r="G676" s="1134"/>
      <c r="H676" s="401"/>
      <c r="I676" s="317"/>
      <c r="N676" s="317"/>
      <c r="O676" s="1135"/>
      <c r="P676" s="1136"/>
      <c r="Q676" s="1137"/>
      <c r="R676" s="1120"/>
      <c r="S676" s="1120"/>
      <c r="T676" s="1120"/>
      <c r="U676" s="1120"/>
      <c r="V676" s="1120"/>
      <c r="W676" s="1120"/>
      <c r="Z676" s="1145"/>
      <c r="AA676" s="1120"/>
      <c r="AB676" s="1120"/>
      <c r="AC676" s="1120"/>
      <c r="AD676" s="1212"/>
      <c r="AE676" s="1212"/>
      <c r="AF676" s="1186"/>
      <c r="AG676" s="1186"/>
      <c r="AH676" s="1222"/>
      <c r="AI676" s="1222"/>
      <c r="AJ676" s="1222"/>
      <c r="AK676" s="1222"/>
      <c r="AL676" s="1222"/>
      <c r="AM676" s="1222"/>
      <c r="AN676" s="1222"/>
      <c r="AO676" s="1222"/>
      <c r="AP676" s="1222"/>
      <c r="AQ676" s="1222"/>
      <c r="AR676" s="1222"/>
      <c r="AS676" s="1222"/>
      <c r="AT676" s="1222"/>
      <c r="AU676" s="1120"/>
      <c r="AV676" s="445"/>
      <c r="AW676" s="607"/>
      <c r="AX676" s="607"/>
      <c r="AY676" s="607"/>
      <c r="AZ676" s="1209"/>
      <c r="BA676" s="1209"/>
    </row>
    <row r="677" spans="2:53" s="256" customFormat="1" ht="24.95" customHeight="1">
      <c r="B677" s="445"/>
      <c r="C677" s="204"/>
      <c r="D677" s="204"/>
      <c r="E677" s="204"/>
      <c r="F677" s="368"/>
      <c r="G677" s="1134"/>
      <c r="H677" s="401"/>
      <c r="I677" s="317"/>
      <c r="N677" s="317"/>
      <c r="O677" s="1135"/>
      <c r="P677" s="1136"/>
      <c r="Q677" s="1137"/>
      <c r="R677" s="1120"/>
      <c r="S677" s="1120"/>
      <c r="T677" s="1120"/>
      <c r="U677" s="1120"/>
      <c r="V677" s="1120"/>
      <c r="W677" s="1120"/>
      <c r="Z677" s="1145"/>
      <c r="AA677" s="1120"/>
      <c r="AB677" s="1120"/>
      <c r="AC677" s="1120"/>
      <c r="AD677" s="1212"/>
      <c r="AE677" s="1212"/>
      <c r="AF677" s="1186"/>
      <c r="AG677" s="1186"/>
      <c r="AH677" s="1222"/>
      <c r="AI677" s="1222"/>
      <c r="AJ677" s="1222"/>
      <c r="AK677" s="1222"/>
      <c r="AL677" s="1222"/>
      <c r="AM677" s="1222"/>
      <c r="AN677" s="1222"/>
      <c r="AO677" s="1222"/>
      <c r="AP677" s="1222"/>
      <c r="AQ677" s="1222"/>
      <c r="AR677" s="1222"/>
      <c r="AS677" s="1222"/>
      <c r="AT677" s="1222"/>
      <c r="AU677" s="1120"/>
      <c r="AV677" s="445"/>
      <c r="AW677" s="607"/>
      <c r="AX677" s="607"/>
      <c r="AY677" s="607"/>
      <c r="AZ677" s="1209"/>
      <c r="BA677" s="1209"/>
    </row>
    <row r="678" spans="2:53" s="256" customFormat="1" ht="24.95" customHeight="1">
      <c r="B678" s="445"/>
      <c r="C678" s="204"/>
      <c r="D678" s="204"/>
      <c r="E678" s="204"/>
      <c r="F678" s="368"/>
      <c r="G678" s="1134"/>
      <c r="H678" s="401"/>
      <c r="I678" s="317"/>
      <c r="N678" s="317"/>
      <c r="O678" s="1135"/>
      <c r="P678" s="1136"/>
      <c r="Q678" s="1137"/>
      <c r="R678" s="1120"/>
      <c r="S678" s="1120"/>
      <c r="T678" s="1120"/>
      <c r="U678" s="1120"/>
      <c r="V678" s="1120"/>
      <c r="W678" s="1120"/>
      <c r="Z678" s="1145"/>
      <c r="AA678" s="1120"/>
      <c r="AB678" s="1120"/>
      <c r="AC678" s="1120"/>
      <c r="AD678" s="1212"/>
      <c r="AE678" s="1212"/>
      <c r="AF678" s="1186"/>
      <c r="AG678" s="1186"/>
      <c r="AH678" s="1222"/>
      <c r="AI678" s="1222"/>
      <c r="AJ678" s="1222"/>
      <c r="AK678" s="1222"/>
      <c r="AL678" s="1222"/>
      <c r="AM678" s="1222"/>
      <c r="AN678" s="1222"/>
      <c r="AO678" s="1222"/>
      <c r="AP678" s="1222"/>
      <c r="AQ678" s="1222"/>
      <c r="AR678" s="1222"/>
      <c r="AS678" s="1222"/>
      <c r="AT678" s="1222"/>
      <c r="AU678" s="1120"/>
      <c r="AV678" s="445"/>
      <c r="AW678" s="607"/>
      <c r="AX678" s="607"/>
      <c r="AY678" s="607"/>
      <c r="AZ678" s="1209"/>
      <c r="BA678" s="1209"/>
    </row>
    <row r="679" spans="2:53" s="256" customFormat="1" ht="24.95" customHeight="1">
      <c r="B679" s="445"/>
      <c r="C679" s="204"/>
      <c r="D679" s="204"/>
      <c r="E679" s="204"/>
      <c r="F679" s="368"/>
      <c r="G679" s="1134"/>
      <c r="H679" s="401"/>
      <c r="I679" s="317"/>
      <c r="N679" s="317"/>
      <c r="O679" s="1135"/>
      <c r="P679" s="1136"/>
      <c r="Q679" s="1137"/>
      <c r="R679" s="1120"/>
      <c r="S679" s="1120"/>
      <c r="T679" s="1120"/>
      <c r="U679" s="1120"/>
      <c r="V679" s="1120"/>
      <c r="W679" s="1120"/>
      <c r="Z679" s="1145"/>
      <c r="AA679" s="1120"/>
      <c r="AB679" s="1120"/>
      <c r="AC679" s="1120"/>
      <c r="AD679" s="1212"/>
      <c r="AE679" s="1212"/>
      <c r="AF679" s="1186"/>
      <c r="AG679" s="1186"/>
      <c r="AH679" s="1222"/>
      <c r="AI679" s="1222"/>
      <c r="AJ679" s="1222"/>
      <c r="AK679" s="1222"/>
      <c r="AL679" s="1222"/>
      <c r="AM679" s="1222"/>
      <c r="AN679" s="1222"/>
      <c r="AO679" s="1222"/>
      <c r="AP679" s="1222"/>
      <c r="AQ679" s="1222"/>
      <c r="AR679" s="1222"/>
      <c r="AS679" s="1222"/>
      <c r="AT679" s="1222"/>
      <c r="AU679" s="1120"/>
      <c r="AV679" s="445"/>
      <c r="AW679" s="607"/>
      <c r="AX679" s="607"/>
      <c r="AY679" s="607"/>
      <c r="AZ679" s="1209"/>
      <c r="BA679" s="1209"/>
    </row>
    <row r="680" spans="2:53" s="256" customFormat="1" ht="24.95" customHeight="1">
      <c r="B680" s="445"/>
      <c r="C680" s="204"/>
      <c r="D680" s="204"/>
      <c r="E680" s="204"/>
      <c r="F680" s="368"/>
      <c r="G680" s="1134"/>
      <c r="H680" s="401"/>
      <c r="I680" s="317"/>
      <c r="N680" s="317"/>
      <c r="O680" s="1135"/>
      <c r="P680" s="1136"/>
      <c r="Q680" s="1137"/>
      <c r="R680" s="1120"/>
      <c r="S680" s="1120"/>
      <c r="T680" s="1120"/>
      <c r="U680" s="1120"/>
      <c r="V680" s="1120"/>
      <c r="W680" s="1120"/>
      <c r="Z680" s="1145"/>
      <c r="AA680" s="1120"/>
      <c r="AB680" s="1120"/>
      <c r="AC680" s="1120"/>
      <c r="AD680" s="1212"/>
      <c r="AE680" s="1212"/>
      <c r="AF680" s="1186"/>
      <c r="AG680" s="1186"/>
      <c r="AH680" s="1222"/>
      <c r="AI680" s="1222"/>
      <c r="AJ680" s="1222"/>
      <c r="AK680" s="1222"/>
      <c r="AL680" s="1222"/>
      <c r="AM680" s="1222"/>
      <c r="AN680" s="1222"/>
      <c r="AO680" s="1222"/>
      <c r="AP680" s="1222"/>
      <c r="AQ680" s="1222"/>
      <c r="AR680" s="1222"/>
      <c r="AS680" s="1222"/>
      <c r="AT680" s="1222"/>
      <c r="AU680" s="1120"/>
      <c r="AV680" s="445"/>
      <c r="AW680" s="607"/>
      <c r="AX680" s="607"/>
      <c r="AY680" s="607"/>
      <c r="AZ680" s="1209"/>
      <c r="BA680" s="1209"/>
    </row>
    <row r="681" spans="2:53" s="256" customFormat="1" ht="24.95" customHeight="1">
      <c r="B681" s="445"/>
      <c r="C681" s="204"/>
      <c r="D681" s="204"/>
      <c r="E681" s="204"/>
      <c r="F681" s="368"/>
      <c r="G681" s="1134"/>
      <c r="H681" s="401"/>
      <c r="I681" s="317"/>
      <c r="N681" s="317"/>
      <c r="O681" s="1135"/>
      <c r="P681" s="1136"/>
      <c r="Q681" s="1137"/>
      <c r="R681" s="1120"/>
      <c r="S681" s="1120"/>
      <c r="T681" s="1120"/>
      <c r="U681" s="1120"/>
      <c r="V681" s="1120"/>
      <c r="W681" s="1120"/>
      <c r="Z681" s="1145"/>
      <c r="AA681" s="1120"/>
      <c r="AB681" s="1120"/>
      <c r="AC681" s="1120"/>
      <c r="AD681" s="1212"/>
      <c r="AE681" s="1212"/>
      <c r="AF681" s="1186"/>
      <c r="AG681" s="1186"/>
      <c r="AH681" s="1222"/>
      <c r="AI681" s="1222"/>
      <c r="AJ681" s="1222"/>
      <c r="AK681" s="1222"/>
      <c r="AL681" s="1222"/>
      <c r="AM681" s="1222"/>
      <c r="AN681" s="1222"/>
      <c r="AO681" s="1222"/>
      <c r="AP681" s="1222"/>
      <c r="AQ681" s="1222"/>
      <c r="AR681" s="1222"/>
      <c r="AS681" s="1222"/>
      <c r="AT681" s="1222"/>
      <c r="AU681" s="1120"/>
      <c r="AV681" s="445"/>
      <c r="AW681" s="607"/>
      <c r="AX681" s="607"/>
      <c r="AY681" s="607"/>
      <c r="AZ681" s="1209"/>
      <c r="BA681" s="1209"/>
    </row>
    <row r="682" spans="2:53" s="256" customFormat="1" ht="24.95" customHeight="1">
      <c r="B682" s="445"/>
      <c r="C682" s="204"/>
      <c r="D682" s="204"/>
      <c r="E682" s="204"/>
      <c r="F682" s="368"/>
      <c r="G682" s="1134"/>
      <c r="H682" s="401"/>
      <c r="I682" s="317"/>
      <c r="N682" s="317"/>
      <c r="O682" s="1135"/>
      <c r="P682" s="1136"/>
      <c r="Q682" s="1137"/>
      <c r="R682" s="1120"/>
      <c r="S682" s="1120"/>
      <c r="T682" s="1120"/>
      <c r="U682" s="1120"/>
      <c r="V682" s="1120"/>
      <c r="W682" s="1120"/>
      <c r="Z682" s="1145"/>
      <c r="AA682" s="1120"/>
      <c r="AB682" s="1120"/>
      <c r="AC682" s="1120"/>
      <c r="AD682" s="1212"/>
      <c r="AE682" s="1212"/>
      <c r="AF682" s="1186"/>
      <c r="AG682" s="1186"/>
      <c r="AH682" s="1222"/>
      <c r="AI682" s="1222"/>
      <c r="AJ682" s="1222"/>
      <c r="AK682" s="1222"/>
      <c r="AL682" s="1222"/>
      <c r="AM682" s="1222"/>
      <c r="AN682" s="1222"/>
      <c r="AO682" s="1222"/>
      <c r="AP682" s="1222"/>
      <c r="AQ682" s="1222"/>
      <c r="AR682" s="1222"/>
      <c r="AS682" s="1222"/>
      <c r="AT682" s="1222"/>
      <c r="AU682" s="1120"/>
      <c r="AV682" s="445"/>
      <c r="AW682" s="607"/>
      <c r="AX682" s="607"/>
      <c r="AY682" s="607"/>
      <c r="AZ682" s="1209"/>
      <c r="BA682" s="1209"/>
    </row>
    <row r="683" spans="2:53" s="256" customFormat="1" ht="24.95" customHeight="1">
      <c r="B683" s="445"/>
      <c r="C683" s="204"/>
      <c r="D683" s="204"/>
      <c r="E683" s="204"/>
      <c r="F683" s="368"/>
      <c r="G683" s="1134"/>
      <c r="H683" s="401"/>
      <c r="I683" s="317"/>
      <c r="N683" s="317"/>
      <c r="O683" s="1135"/>
      <c r="P683" s="1136"/>
      <c r="Q683" s="1137"/>
      <c r="R683" s="1120"/>
      <c r="S683" s="1120"/>
      <c r="T683" s="1120"/>
      <c r="U683" s="1120"/>
      <c r="V683" s="1120"/>
      <c r="W683" s="1120"/>
      <c r="Z683" s="1145"/>
      <c r="AA683" s="1120"/>
      <c r="AB683" s="1120"/>
      <c r="AC683" s="1120"/>
      <c r="AD683" s="1212"/>
      <c r="AE683" s="1212"/>
      <c r="AF683" s="1186"/>
      <c r="AG683" s="1186"/>
      <c r="AH683" s="1222"/>
      <c r="AI683" s="1222"/>
      <c r="AJ683" s="1222"/>
      <c r="AK683" s="1222"/>
      <c r="AL683" s="1222"/>
      <c r="AM683" s="1222"/>
      <c r="AN683" s="1222"/>
      <c r="AO683" s="1222"/>
      <c r="AP683" s="1222"/>
      <c r="AQ683" s="1222"/>
      <c r="AR683" s="1222"/>
      <c r="AS683" s="1222"/>
      <c r="AT683" s="1222"/>
      <c r="AU683" s="1120"/>
      <c r="AV683" s="445"/>
      <c r="AW683" s="607"/>
      <c r="AX683" s="607"/>
      <c r="AY683" s="607"/>
      <c r="AZ683" s="1209"/>
      <c r="BA683" s="1209"/>
    </row>
    <row r="684" spans="2:53" s="256" customFormat="1" ht="24.95" customHeight="1">
      <c r="B684" s="445"/>
      <c r="C684" s="204"/>
      <c r="D684" s="204"/>
      <c r="E684" s="204"/>
      <c r="F684" s="368"/>
      <c r="G684" s="1134"/>
      <c r="H684" s="401"/>
      <c r="I684" s="317"/>
      <c r="N684" s="317"/>
      <c r="O684" s="1135"/>
      <c r="P684" s="1136"/>
      <c r="Q684" s="1137"/>
      <c r="R684" s="1120"/>
      <c r="S684" s="1120"/>
      <c r="T684" s="1120"/>
      <c r="U684" s="1120"/>
      <c r="V684" s="1120"/>
      <c r="W684" s="1120"/>
      <c r="Z684" s="1145"/>
      <c r="AA684" s="1120"/>
      <c r="AB684" s="1120"/>
      <c r="AC684" s="1120"/>
      <c r="AD684" s="1212"/>
      <c r="AE684" s="1212"/>
      <c r="AF684" s="1186"/>
      <c r="AG684" s="1186"/>
      <c r="AH684" s="1222"/>
      <c r="AI684" s="1222"/>
      <c r="AJ684" s="1222"/>
      <c r="AK684" s="1222"/>
      <c r="AL684" s="1222"/>
      <c r="AM684" s="1222"/>
      <c r="AN684" s="1222"/>
      <c r="AO684" s="1222"/>
      <c r="AP684" s="1222"/>
      <c r="AQ684" s="1222"/>
      <c r="AR684" s="1222"/>
      <c r="AS684" s="1222"/>
      <c r="AT684" s="1222"/>
      <c r="AU684" s="1120"/>
      <c r="AV684" s="445"/>
      <c r="AW684" s="607"/>
      <c r="AX684" s="607"/>
      <c r="AY684" s="607"/>
      <c r="AZ684" s="1209"/>
      <c r="BA684" s="1209"/>
    </row>
    <row r="685" spans="2:53" s="256" customFormat="1" ht="24.95" customHeight="1">
      <c r="B685" s="445"/>
      <c r="C685" s="204"/>
      <c r="D685" s="204"/>
      <c r="E685" s="204"/>
      <c r="F685" s="368"/>
      <c r="G685" s="1134"/>
      <c r="H685" s="401"/>
      <c r="I685" s="317"/>
      <c r="N685" s="317"/>
      <c r="O685" s="1135"/>
      <c r="P685" s="1136"/>
      <c r="Q685" s="1137"/>
      <c r="R685" s="1120"/>
      <c r="S685" s="1120"/>
      <c r="T685" s="1120"/>
      <c r="U685" s="1120"/>
      <c r="V685" s="1120"/>
      <c r="W685" s="1120"/>
      <c r="Z685" s="1145"/>
      <c r="AA685" s="1120"/>
      <c r="AB685" s="1120"/>
      <c r="AC685" s="1120"/>
      <c r="AD685" s="1212"/>
      <c r="AE685" s="1212"/>
      <c r="AF685" s="1186"/>
      <c r="AG685" s="1186"/>
      <c r="AH685" s="1222"/>
      <c r="AI685" s="1222"/>
      <c r="AJ685" s="1222"/>
      <c r="AK685" s="1222"/>
      <c r="AL685" s="1222"/>
      <c r="AM685" s="1222"/>
      <c r="AN685" s="1222"/>
      <c r="AO685" s="1222"/>
      <c r="AP685" s="1222"/>
      <c r="AQ685" s="1222"/>
      <c r="AR685" s="1222"/>
      <c r="AS685" s="1222"/>
      <c r="AT685" s="1222"/>
      <c r="AU685" s="1120"/>
      <c r="AV685" s="445"/>
      <c r="AW685" s="607"/>
      <c r="AX685" s="607"/>
      <c r="AY685" s="607"/>
      <c r="AZ685" s="1209"/>
      <c r="BA685" s="1209"/>
    </row>
    <row r="686" spans="2:53" s="256" customFormat="1" ht="24.95" customHeight="1">
      <c r="B686" s="445"/>
      <c r="C686" s="204"/>
      <c r="D686" s="204"/>
      <c r="E686" s="204"/>
      <c r="F686" s="368"/>
      <c r="G686" s="1134"/>
      <c r="H686" s="401"/>
      <c r="I686" s="317"/>
      <c r="N686" s="317"/>
      <c r="O686" s="1135"/>
      <c r="P686" s="1136"/>
      <c r="Q686" s="1137"/>
      <c r="R686" s="1120"/>
      <c r="S686" s="1120"/>
      <c r="T686" s="1120"/>
      <c r="U686" s="1120"/>
      <c r="V686" s="1120"/>
      <c r="W686" s="1120"/>
      <c r="Z686" s="1145"/>
      <c r="AA686" s="1120"/>
      <c r="AB686" s="1120"/>
      <c r="AC686" s="1120"/>
      <c r="AD686" s="1212"/>
      <c r="AE686" s="1212"/>
      <c r="AF686" s="1186"/>
      <c r="AG686" s="1186"/>
      <c r="AH686" s="1222"/>
      <c r="AI686" s="1222"/>
      <c r="AJ686" s="1222"/>
      <c r="AK686" s="1222"/>
      <c r="AL686" s="1222"/>
      <c r="AM686" s="1222"/>
      <c r="AN686" s="1222"/>
      <c r="AO686" s="1222"/>
      <c r="AP686" s="1222"/>
      <c r="AQ686" s="1222"/>
      <c r="AR686" s="1222"/>
      <c r="AS686" s="1222"/>
      <c r="AT686" s="1222"/>
      <c r="AU686" s="1120"/>
      <c r="AV686" s="445"/>
      <c r="AW686" s="607"/>
      <c r="AX686" s="607"/>
      <c r="AY686" s="607"/>
      <c r="AZ686" s="1209"/>
      <c r="BA686" s="1209"/>
    </row>
    <row r="687" spans="2:53" s="256" customFormat="1" ht="24.95" customHeight="1">
      <c r="B687" s="445"/>
      <c r="C687" s="204"/>
      <c r="D687" s="204"/>
      <c r="E687" s="204"/>
      <c r="F687" s="368"/>
      <c r="G687" s="1134"/>
      <c r="H687" s="401"/>
      <c r="I687" s="317"/>
      <c r="N687" s="317"/>
      <c r="O687" s="1135"/>
      <c r="P687" s="1136"/>
      <c r="Q687" s="1137"/>
      <c r="R687" s="1120"/>
      <c r="S687" s="1120"/>
      <c r="T687" s="1120"/>
      <c r="U687" s="1120"/>
      <c r="V687" s="1120"/>
      <c r="W687" s="1120"/>
      <c r="Z687" s="1145"/>
      <c r="AA687" s="1120"/>
      <c r="AB687" s="1120"/>
      <c r="AC687" s="1120"/>
      <c r="AD687" s="1212"/>
      <c r="AE687" s="1212"/>
      <c r="AF687" s="1186"/>
      <c r="AG687" s="1186"/>
      <c r="AH687" s="1222"/>
      <c r="AI687" s="1222"/>
      <c r="AJ687" s="1222"/>
      <c r="AK687" s="1222"/>
      <c r="AL687" s="1222"/>
      <c r="AM687" s="1222"/>
      <c r="AN687" s="1222"/>
      <c r="AO687" s="1222"/>
      <c r="AP687" s="1222"/>
      <c r="AQ687" s="1222"/>
      <c r="AR687" s="1222"/>
      <c r="AS687" s="1222"/>
      <c r="AT687" s="1222"/>
      <c r="AU687" s="1120"/>
      <c r="AV687" s="445"/>
      <c r="AW687" s="607"/>
      <c r="AX687" s="607"/>
      <c r="AY687" s="607"/>
      <c r="AZ687" s="1209"/>
      <c r="BA687" s="1209"/>
    </row>
    <row r="688" spans="2:53" s="256" customFormat="1" ht="24.95" customHeight="1">
      <c r="B688" s="445"/>
      <c r="C688" s="204"/>
      <c r="D688" s="204"/>
      <c r="E688" s="204"/>
      <c r="F688" s="368"/>
      <c r="G688" s="1134"/>
      <c r="H688" s="401"/>
      <c r="I688" s="317"/>
      <c r="N688" s="317"/>
      <c r="O688" s="1135"/>
      <c r="P688" s="1136"/>
      <c r="Q688" s="1137"/>
      <c r="R688" s="1120"/>
      <c r="S688" s="1120"/>
      <c r="T688" s="1120"/>
      <c r="U688" s="1120"/>
      <c r="V688" s="1120"/>
      <c r="W688" s="1120"/>
      <c r="Z688" s="1145"/>
      <c r="AA688" s="1120"/>
      <c r="AB688" s="1120"/>
      <c r="AC688" s="1120"/>
      <c r="AD688" s="1212"/>
      <c r="AE688" s="1212"/>
      <c r="AF688" s="1186"/>
      <c r="AG688" s="1186"/>
      <c r="AH688" s="1222"/>
      <c r="AI688" s="1222"/>
      <c r="AJ688" s="1222"/>
      <c r="AK688" s="1222"/>
      <c r="AL688" s="1222"/>
      <c r="AM688" s="1222"/>
      <c r="AN688" s="1222"/>
      <c r="AO688" s="1222"/>
      <c r="AP688" s="1222"/>
      <c r="AQ688" s="1222"/>
      <c r="AR688" s="1222"/>
      <c r="AS688" s="1222"/>
      <c r="AT688" s="1222"/>
      <c r="AU688" s="1120"/>
      <c r="AV688" s="445"/>
      <c r="AW688" s="607"/>
      <c r="AX688" s="607"/>
      <c r="AY688" s="607"/>
      <c r="AZ688" s="1209"/>
      <c r="BA688" s="1209"/>
    </row>
    <row r="689" spans="2:53" s="256" customFormat="1" ht="24.95" customHeight="1">
      <c r="B689" s="445"/>
      <c r="C689" s="204"/>
      <c r="D689" s="204"/>
      <c r="E689" s="204"/>
      <c r="F689" s="368"/>
      <c r="G689" s="1134"/>
      <c r="H689" s="401"/>
      <c r="I689" s="317"/>
      <c r="N689" s="317"/>
      <c r="O689" s="1135"/>
      <c r="P689" s="1136"/>
      <c r="Q689" s="1137"/>
      <c r="R689" s="1120"/>
      <c r="S689" s="1120"/>
      <c r="T689" s="1120"/>
      <c r="U689" s="1120"/>
      <c r="V689" s="1120"/>
      <c r="W689" s="1120"/>
      <c r="Z689" s="1145"/>
      <c r="AA689" s="1120"/>
      <c r="AB689" s="1120"/>
      <c r="AC689" s="1120"/>
      <c r="AD689" s="1212"/>
      <c r="AE689" s="1212"/>
      <c r="AF689" s="1186"/>
      <c r="AG689" s="1186"/>
      <c r="AH689" s="1222"/>
      <c r="AI689" s="1222"/>
      <c r="AJ689" s="1222"/>
      <c r="AK689" s="1222"/>
      <c r="AL689" s="1222"/>
      <c r="AM689" s="1222"/>
      <c r="AN689" s="1222"/>
      <c r="AO689" s="1222"/>
      <c r="AP689" s="1222"/>
      <c r="AQ689" s="1222"/>
      <c r="AR689" s="1222"/>
      <c r="AS689" s="1222"/>
      <c r="AT689" s="1222"/>
      <c r="AU689" s="1120"/>
      <c r="AV689" s="445"/>
      <c r="AW689" s="607"/>
      <c r="AX689" s="607"/>
      <c r="AY689" s="607"/>
      <c r="AZ689" s="1209"/>
      <c r="BA689" s="1209"/>
    </row>
    <row r="690" spans="2:53" s="256" customFormat="1" ht="24.95" customHeight="1">
      <c r="B690" s="445"/>
      <c r="C690" s="204"/>
      <c r="D690" s="204"/>
      <c r="E690" s="204"/>
      <c r="F690" s="368"/>
      <c r="G690" s="1134"/>
      <c r="H690" s="401"/>
      <c r="I690" s="317"/>
      <c r="N690" s="317"/>
      <c r="O690" s="1135"/>
      <c r="P690" s="1136"/>
      <c r="Q690" s="1137"/>
      <c r="R690" s="1120"/>
      <c r="S690" s="1120"/>
      <c r="T690" s="1120"/>
      <c r="U690" s="1120"/>
      <c r="V690" s="1120"/>
      <c r="W690" s="1120"/>
      <c r="Z690" s="1145"/>
      <c r="AA690" s="1120"/>
      <c r="AB690" s="1120"/>
      <c r="AC690" s="1120"/>
      <c r="AD690" s="1212"/>
      <c r="AE690" s="1212"/>
      <c r="AF690" s="1186"/>
      <c r="AG690" s="1186"/>
      <c r="AH690" s="1222"/>
      <c r="AI690" s="1222"/>
      <c r="AJ690" s="1222"/>
      <c r="AK690" s="1222"/>
      <c r="AL690" s="1222"/>
      <c r="AM690" s="1222"/>
      <c r="AN690" s="1222"/>
      <c r="AO690" s="1222"/>
      <c r="AP690" s="1222"/>
      <c r="AQ690" s="1222"/>
      <c r="AR690" s="1222"/>
      <c r="AS690" s="1222"/>
      <c r="AT690" s="1222"/>
      <c r="AU690" s="1120"/>
      <c r="AV690" s="445"/>
      <c r="AW690" s="607"/>
      <c r="AX690" s="607"/>
      <c r="AY690" s="607"/>
      <c r="AZ690" s="1209"/>
      <c r="BA690" s="1209"/>
    </row>
    <row r="691" spans="2:53" s="256" customFormat="1" ht="24.95" customHeight="1">
      <c r="B691" s="445"/>
      <c r="C691" s="204"/>
      <c r="D691" s="204"/>
      <c r="E691" s="204"/>
      <c r="F691" s="368"/>
      <c r="G691" s="1134"/>
      <c r="H691" s="401"/>
      <c r="I691" s="317"/>
      <c r="N691" s="317"/>
      <c r="O691" s="1135"/>
      <c r="P691" s="1136"/>
      <c r="Q691" s="1137"/>
      <c r="R691" s="1120"/>
      <c r="S691" s="1120"/>
      <c r="T691" s="1120"/>
      <c r="U691" s="1120"/>
      <c r="V691" s="1120"/>
      <c r="W691" s="1120"/>
      <c r="Z691" s="1145"/>
      <c r="AA691" s="1120"/>
      <c r="AB691" s="1120"/>
      <c r="AC691" s="1120"/>
      <c r="AD691" s="1212"/>
      <c r="AE691" s="1212"/>
      <c r="AF691" s="1186"/>
      <c r="AG691" s="1186"/>
      <c r="AH691" s="1222"/>
      <c r="AI691" s="1222"/>
      <c r="AJ691" s="1222"/>
      <c r="AK691" s="1222"/>
      <c r="AL691" s="1222"/>
      <c r="AM691" s="1222"/>
      <c r="AN691" s="1222"/>
      <c r="AO691" s="1222"/>
      <c r="AP691" s="1222"/>
      <c r="AQ691" s="1222"/>
      <c r="AR691" s="1222"/>
      <c r="AS691" s="1222"/>
      <c r="AT691" s="1222"/>
      <c r="AU691" s="1120"/>
      <c r="AV691" s="445"/>
      <c r="AW691" s="607"/>
      <c r="AX691" s="607"/>
      <c r="AY691" s="607"/>
      <c r="AZ691" s="1209"/>
      <c r="BA691" s="1209"/>
    </row>
    <row r="692" spans="2:53" s="256" customFormat="1" ht="24.95" customHeight="1">
      <c r="B692" s="445"/>
      <c r="C692" s="204"/>
      <c r="D692" s="204"/>
      <c r="E692" s="204"/>
      <c r="F692" s="368"/>
      <c r="G692" s="1134"/>
      <c r="H692" s="401"/>
      <c r="I692" s="317"/>
      <c r="N692" s="317"/>
      <c r="O692" s="1135"/>
      <c r="P692" s="1136"/>
      <c r="Q692" s="1137"/>
      <c r="R692" s="1120"/>
      <c r="S692" s="1120"/>
      <c r="T692" s="1120"/>
      <c r="U692" s="1120"/>
      <c r="V692" s="1120"/>
      <c r="W692" s="1120"/>
      <c r="Z692" s="1145"/>
      <c r="AA692" s="1120"/>
      <c r="AB692" s="1120"/>
      <c r="AC692" s="1120"/>
      <c r="AD692" s="1212"/>
      <c r="AE692" s="1212"/>
      <c r="AF692" s="1186"/>
      <c r="AG692" s="1186"/>
      <c r="AH692" s="1222"/>
      <c r="AI692" s="1222"/>
      <c r="AJ692" s="1222"/>
      <c r="AK692" s="1222"/>
      <c r="AL692" s="1222"/>
      <c r="AM692" s="1222"/>
      <c r="AN692" s="1222"/>
      <c r="AO692" s="1222"/>
      <c r="AP692" s="1222"/>
      <c r="AQ692" s="1222"/>
      <c r="AR692" s="1222"/>
      <c r="AS692" s="1222"/>
      <c r="AT692" s="1222"/>
      <c r="AU692" s="1120"/>
      <c r="AV692" s="445"/>
      <c r="AW692" s="607"/>
      <c r="AX692" s="607"/>
      <c r="AY692" s="607"/>
      <c r="AZ692" s="1209"/>
      <c r="BA692" s="1209"/>
    </row>
    <row r="693" spans="2:53" s="256" customFormat="1" ht="24.95" customHeight="1">
      <c r="B693" s="445"/>
      <c r="C693" s="204"/>
      <c r="D693" s="204"/>
      <c r="E693" s="204"/>
      <c r="F693" s="368"/>
      <c r="G693" s="1134"/>
      <c r="H693" s="401"/>
      <c r="I693" s="317"/>
      <c r="N693" s="317"/>
      <c r="O693" s="1135"/>
      <c r="P693" s="1136"/>
      <c r="Q693" s="1137"/>
      <c r="R693" s="1120"/>
      <c r="S693" s="1120"/>
      <c r="T693" s="1120"/>
      <c r="U693" s="1120"/>
      <c r="V693" s="1120"/>
      <c r="W693" s="1120"/>
      <c r="Z693" s="1145"/>
      <c r="AA693" s="1120"/>
      <c r="AB693" s="1120"/>
      <c r="AC693" s="1120"/>
      <c r="AD693" s="1212"/>
      <c r="AE693" s="1212"/>
      <c r="AF693" s="1186"/>
      <c r="AG693" s="1186"/>
      <c r="AH693" s="1222"/>
      <c r="AI693" s="1222"/>
      <c r="AJ693" s="1222"/>
      <c r="AK693" s="1222"/>
      <c r="AL693" s="1222"/>
      <c r="AM693" s="1222"/>
      <c r="AN693" s="1222"/>
      <c r="AO693" s="1222"/>
      <c r="AP693" s="1222"/>
      <c r="AQ693" s="1222"/>
      <c r="AR693" s="1222"/>
      <c r="AS693" s="1222"/>
      <c r="AT693" s="1222"/>
      <c r="AU693" s="1120"/>
      <c r="AV693" s="445"/>
      <c r="AW693" s="607"/>
      <c r="AX693" s="607"/>
      <c r="AY693" s="607"/>
      <c r="AZ693" s="1209"/>
      <c r="BA693" s="1209"/>
    </row>
    <row r="694" spans="2:53" s="256" customFormat="1" ht="24.95" customHeight="1">
      <c r="B694" s="445"/>
      <c r="C694" s="204"/>
      <c r="D694" s="204"/>
      <c r="E694" s="204"/>
      <c r="F694" s="368"/>
      <c r="G694" s="1134"/>
      <c r="H694" s="401"/>
      <c r="I694" s="317"/>
      <c r="N694" s="317"/>
      <c r="O694" s="1135"/>
      <c r="P694" s="1136"/>
      <c r="Q694" s="1137"/>
      <c r="R694" s="1120"/>
      <c r="S694" s="1120"/>
      <c r="T694" s="1120"/>
      <c r="U694" s="1120"/>
      <c r="V694" s="1120"/>
      <c r="W694" s="1120"/>
      <c r="Z694" s="1145"/>
      <c r="AA694" s="1120"/>
      <c r="AB694" s="1120"/>
      <c r="AC694" s="1120"/>
      <c r="AD694" s="1212"/>
      <c r="AE694" s="1212"/>
      <c r="AF694" s="1186"/>
      <c r="AG694" s="1186"/>
      <c r="AH694" s="1222"/>
      <c r="AI694" s="1222"/>
      <c r="AJ694" s="1222"/>
      <c r="AK694" s="1222"/>
      <c r="AL694" s="1222"/>
      <c r="AM694" s="1222"/>
      <c r="AN694" s="1222"/>
      <c r="AO694" s="1222"/>
      <c r="AP694" s="1222"/>
      <c r="AQ694" s="1222"/>
      <c r="AR694" s="1222"/>
      <c r="AS694" s="1222"/>
      <c r="AT694" s="1222"/>
      <c r="AU694" s="1120"/>
      <c r="AV694" s="445"/>
      <c r="AW694" s="607"/>
      <c r="AX694" s="607"/>
      <c r="AY694" s="607"/>
      <c r="AZ694" s="1209"/>
      <c r="BA694" s="1209"/>
    </row>
    <row r="695" spans="2:53" s="256" customFormat="1" ht="24.95" customHeight="1">
      <c r="B695" s="445"/>
      <c r="C695" s="204"/>
      <c r="D695" s="204"/>
      <c r="E695" s="204"/>
      <c r="F695" s="368"/>
      <c r="G695" s="1134"/>
      <c r="H695" s="401"/>
      <c r="I695" s="317"/>
      <c r="N695" s="317"/>
      <c r="O695" s="1135"/>
      <c r="P695" s="1136"/>
      <c r="Q695" s="1137"/>
      <c r="R695" s="1120"/>
      <c r="S695" s="1120"/>
      <c r="T695" s="1120"/>
      <c r="U695" s="1120"/>
      <c r="V695" s="1120"/>
      <c r="W695" s="1120"/>
      <c r="Z695" s="1145"/>
      <c r="AA695" s="1120"/>
      <c r="AB695" s="1120"/>
      <c r="AC695" s="1120"/>
      <c r="AD695" s="1212"/>
      <c r="AE695" s="1212"/>
      <c r="AF695" s="1186"/>
      <c r="AG695" s="1186"/>
      <c r="AH695" s="1222"/>
      <c r="AI695" s="1222"/>
      <c r="AJ695" s="1222"/>
      <c r="AK695" s="1222"/>
      <c r="AL695" s="1222"/>
      <c r="AM695" s="1222"/>
      <c r="AN695" s="1222"/>
      <c r="AO695" s="1222"/>
      <c r="AP695" s="1222"/>
      <c r="AQ695" s="1222"/>
      <c r="AR695" s="1222"/>
      <c r="AS695" s="1222"/>
      <c r="AT695" s="1222"/>
      <c r="AU695" s="1120"/>
      <c r="AV695" s="445"/>
      <c r="AW695" s="607"/>
      <c r="AX695" s="607"/>
      <c r="AY695" s="607"/>
      <c r="AZ695" s="1209"/>
      <c r="BA695" s="1209"/>
    </row>
    <row r="696" spans="2:53" s="256" customFormat="1" ht="24.95" customHeight="1">
      <c r="B696" s="445"/>
      <c r="C696" s="204"/>
      <c r="D696" s="204"/>
      <c r="E696" s="204"/>
      <c r="F696" s="368"/>
      <c r="G696" s="1134"/>
      <c r="H696" s="401"/>
      <c r="I696" s="317"/>
      <c r="N696" s="317"/>
      <c r="O696" s="1135"/>
      <c r="P696" s="1136"/>
      <c r="Q696" s="1137"/>
      <c r="R696" s="1120"/>
      <c r="S696" s="1120"/>
      <c r="T696" s="1120"/>
      <c r="U696" s="1120"/>
      <c r="V696" s="1120"/>
      <c r="W696" s="1120"/>
      <c r="Z696" s="1145"/>
      <c r="AA696" s="1120"/>
      <c r="AB696" s="1120"/>
      <c r="AC696" s="1120"/>
      <c r="AD696" s="1212"/>
      <c r="AE696" s="1212"/>
      <c r="AF696" s="1186"/>
      <c r="AG696" s="1186"/>
      <c r="AH696" s="1222"/>
      <c r="AI696" s="1222"/>
      <c r="AJ696" s="1222"/>
      <c r="AK696" s="1222"/>
      <c r="AL696" s="1222"/>
      <c r="AM696" s="1222"/>
      <c r="AN696" s="1222"/>
      <c r="AO696" s="1222"/>
      <c r="AP696" s="1222"/>
      <c r="AQ696" s="1222"/>
      <c r="AR696" s="1222"/>
      <c r="AS696" s="1222"/>
      <c r="AT696" s="1222"/>
      <c r="AU696" s="1120"/>
      <c r="AV696" s="445"/>
      <c r="AW696" s="607"/>
      <c r="AX696" s="607"/>
      <c r="AY696" s="607"/>
      <c r="AZ696" s="1209"/>
      <c r="BA696" s="1209"/>
    </row>
    <row r="697" spans="2:53" s="256" customFormat="1" ht="24.95" customHeight="1">
      <c r="B697" s="445"/>
      <c r="C697" s="204"/>
      <c r="D697" s="204"/>
      <c r="E697" s="204"/>
      <c r="F697" s="368"/>
      <c r="G697" s="1134"/>
      <c r="H697" s="401"/>
      <c r="I697" s="317"/>
      <c r="N697" s="317"/>
      <c r="O697" s="1135"/>
      <c r="P697" s="1136"/>
      <c r="Q697" s="1137"/>
      <c r="R697" s="1120"/>
      <c r="S697" s="1120"/>
      <c r="T697" s="1120"/>
      <c r="U697" s="1120"/>
      <c r="V697" s="1120"/>
      <c r="W697" s="1120"/>
      <c r="Z697" s="1145"/>
      <c r="AA697" s="1120"/>
      <c r="AB697" s="1120"/>
      <c r="AC697" s="1120"/>
      <c r="AD697" s="1212"/>
      <c r="AE697" s="1212"/>
      <c r="AF697" s="1186"/>
      <c r="AG697" s="1186"/>
      <c r="AH697" s="1222"/>
      <c r="AI697" s="1222"/>
      <c r="AJ697" s="1222"/>
      <c r="AK697" s="1222"/>
      <c r="AL697" s="1222"/>
      <c r="AM697" s="1222"/>
      <c r="AN697" s="1222"/>
      <c r="AO697" s="1222"/>
      <c r="AP697" s="1222"/>
      <c r="AQ697" s="1222"/>
      <c r="AR697" s="1222"/>
      <c r="AS697" s="1222"/>
      <c r="AT697" s="1222"/>
      <c r="AU697" s="1120"/>
      <c r="AV697" s="445"/>
      <c r="AW697" s="607"/>
      <c r="AX697" s="607"/>
      <c r="AY697" s="607"/>
      <c r="AZ697" s="1209"/>
      <c r="BA697" s="1209"/>
    </row>
    <row r="698" spans="2:53" s="256" customFormat="1" ht="24.95" customHeight="1">
      <c r="B698" s="445"/>
      <c r="C698" s="204"/>
      <c r="D698" s="204"/>
      <c r="E698" s="204"/>
      <c r="F698" s="368"/>
      <c r="G698" s="1134"/>
      <c r="H698" s="401"/>
      <c r="I698" s="317"/>
      <c r="N698" s="317"/>
      <c r="O698" s="1135"/>
      <c r="P698" s="1136"/>
      <c r="Q698" s="1137"/>
      <c r="R698" s="1120"/>
      <c r="S698" s="1120"/>
      <c r="T698" s="1120"/>
      <c r="U698" s="1120"/>
      <c r="V698" s="1120"/>
      <c r="W698" s="1120"/>
      <c r="Z698" s="1145"/>
      <c r="AA698" s="1120"/>
      <c r="AB698" s="1120"/>
      <c r="AC698" s="1120"/>
      <c r="AD698" s="1212"/>
      <c r="AE698" s="1212"/>
      <c r="AF698" s="1186"/>
      <c r="AG698" s="1186"/>
      <c r="AH698" s="1222"/>
      <c r="AI698" s="1222"/>
      <c r="AJ698" s="1222"/>
      <c r="AK698" s="1222"/>
      <c r="AL698" s="1222"/>
      <c r="AM698" s="1222"/>
      <c r="AN698" s="1222"/>
      <c r="AO698" s="1222"/>
      <c r="AP698" s="1222"/>
      <c r="AQ698" s="1222"/>
      <c r="AR698" s="1222"/>
      <c r="AS698" s="1222"/>
      <c r="AT698" s="1222"/>
      <c r="AU698" s="1120"/>
      <c r="AV698" s="445"/>
      <c r="AW698" s="607"/>
      <c r="AX698" s="607"/>
      <c r="AY698" s="607"/>
      <c r="AZ698" s="1209"/>
      <c r="BA698" s="1209"/>
    </row>
    <row r="699" spans="2:53" s="256" customFormat="1" ht="24.95" customHeight="1">
      <c r="B699" s="445"/>
      <c r="C699" s="204"/>
      <c r="D699" s="204"/>
      <c r="E699" s="204"/>
      <c r="F699" s="368"/>
      <c r="G699" s="1134"/>
      <c r="H699" s="401"/>
      <c r="I699" s="317"/>
      <c r="N699" s="317"/>
      <c r="O699" s="1135"/>
      <c r="P699" s="1136"/>
      <c r="Q699" s="1137"/>
      <c r="R699" s="1120"/>
      <c r="S699" s="1120"/>
      <c r="T699" s="1120"/>
      <c r="U699" s="1120"/>
      <c r="V699" s="1120"/>
      <c r="W699" s="1120"/>
      <c r="Z699" s="1145"/>
      <c r="AA699" s="1120"/>
      <c r="AB699" s="1120"/>
      <c r="AC699" s="1120"/>
      <c r="AD699" s="1212"/>
      <c r="AE699" s="1212"/>
      <c r="AF699" s="1186"/>
      <c r="AG699" s="1186"/>
      <c r="AH699" s="1222"/>
      <c r="AI699" s="1222"/>
      <c r="AJ699" s="1222"/>
      <c r="AK699" s="1222"/>
      <c r="AL699" s="1222"/>
      <c r="AM699" s="1222"/>
      <c r="AN699" s="1222"/>
      <c r="AO699" s="1222"/>
      <c r="AP699" s="1222"/>
      <c r="AQ699" s="1222"/>
      <c r="AR699" s="1222"/>
      <c r="AS699" s="1222"/>
      <c r="AT699" s="1222"/>
      <c r="AU699" s="1120"/>
      <c r="AV699" s="445"/>
      <c r="AW699" s="607"/>
      <c r="AX699" s="607"/>
      <c r="AY699" s="607"/>
      <c r="AZ699" s="1209"/>
      <c r="BA699" s="1209"/>
    </row>
    <row r="700" spans="2:53" s="256" customFormat="1" ht="24.95" customHeight="1">
      <c r="B700" s="445"/>
      <c r="C700" s="204"/>
      <c r="D700" s="204"/>
      <c r="E700" s="204"/>
      <c r="F700" s="368"/>
      <c r="G700" s="1134"/>
      <c r="H700" s="401"/>
      <c r="I700" s="317"/>
      <c r="N700" s="317"/>
      <c r="O700" s="1135"/>
      <c r="P700" s="1136"/>
      <c r="Q700" s="1137"/>
      <c r="R700" s="1120"/>
      <c r="S700" s="1120"/>
      <c r="T700" s="1120"/>
      <c r="U700" s="1120"/>
      <c r="V700" s="1120"/>
      <c r="W700" s="1120"/>
      <c r="Z700" s="1145"/>
      <c r="AA700" s="1120"/>
      <c r="AB700" s="1120"/>
      <c r="AC700" s="1120"/>
      <c r="AD700" s="1212"/>
      <c r="AE700" s="1212"/>
      <c r="AF700" s="1186"/>
      <c r="AG700" s="1186"/>
      <c r="AH700" s="1222"/>
      <c r="AI700" s="1222"/>
      <c r="AJ700" s="1222"/>
      <c r="AK700" s="1222"/>
      <c r="AL700" s="1222"/>
      <c r="AM700" s="1222"/>
      <c r="AN700" s="1222"/>
      <c r="AO700" s="1222"/>
      <c r="AP700" s="1222"/>
      <c r="AQ700" s="1222"/>
      <c r="AR700" s="1222"/>
      <c r="AS700" s="1222"/>
      <c r="AT700" s="1222"/>
      <c r="AU700" s="1120"/>
      <c r="AV700" s="445"/>
      <c r="AW700" s="607"/>
      <c r="AX700" s="607"/>
      <c r="AY700" s="607"/>
      <c r="AZ700" s="1209"/>
      <c r="BA700" s="1209"/>
    </row>
    <row r="701" spans="2:53" s="256" customFormat="1" ht="24.95" customHeight="1">
      <c r="B701" s="445"/>
      <c r="C701" s="204"/>
      <c r="D701" s="204"/>
      <c r="E701" s="204"/>
      <c r="F701" s="368"/>
      <c r="G701" s="1134"/>
      <c r="H701" s="401"/>
      <c r="I701" s="317"/>
      <c r="N701" s="317"/>
      <c r="O701" s="1135"/>
      <c r="P701" s="1136"/>
      <c r="Q701" s="1137"/>
      <c r="R701" s="1120"/>
      <c r="S701" s="1120"/>
      <c r="T701" s="1120"/>
      <c r="U701" s="1120"/>
      <c r="V701" s="1120"/>
      <c r="W701" s="1120"/>
      <c r="Z701" s="1145"/>
      <c r="AA701" s="1120"/>
      <c r="AB701" s="1120"/>
      <c r="AC701" s="1120"/>
      <c r="AD701" s="1212"/>
      <c r="AE701" s="1212"/>
      <c r="AF701" s="1186"/>
      <c r="AG701" s="1186"/>
      <c r="AH701" s="1222"/>
      <c r="AI701" s="1222"/>
      <c r="AJ701" s="1222"/>
      <c r="AK701" s="1222"/>
      <c r="AL701" s="1222"/>
      <c r="AM701" s="1222"/>
      <c r="AN701" s="1222"/>
      <c r="AO701" s="1222"/>
      <c r="AP701" s="1222"/>
      <c r="AQ701" s="1222"/>
      <c r="AR701" s="1222"/>
      <c r="AS701" s="1222"/>
      <c r="AT701" s="1222"/>
      <c r="AU701" s="1120"/>
      <c r="AV701" s="445"/>
      <c r="AW701" s="607"/>
      <c r="AX701" s="607"/>
      <c r="AY701" s="607"/>
      <c r="AZ701" s="1209"/>
      <c r="BA701" s="1209"/>
    </row>
    <row r="702" spans="2:53" s="256" customFormat="1" ht="24.95" customHeight="1">
      <c r="B702" s="445"/>
      <c r="C702" s="204"/>
      <c r="D702" s="204"/>
      <c r="E702" s="204"/>
      <c r="F702" s="368"/>
      <c r="G702" s="1134"/>
      <c r="H702" s="401"/>
      <c r="I702" s="317"/>
      <c r="N702" s="317"/>
      <c r="O702" s="1135"/>
      <c r="P702" s="1136"/>
      <c r="Q702" s="1137"/>
      <c r="R702" s="1120"/>
      <c r="S702" s="1120"/>
      <c r="T702" s="1120"/>
      <c r="U702" s="1120"/>
      <c r="V702" s="1120"/>
      <c r="W702" s="1120"/>
      <c r="Z702" s="1145"/>
      <c r="AA702" s="1120"/>
      <c r="AB702" s="1120"/>
      <c r="AC702" s="1120"/>
      <c r="AD702" s="1212"/>
      <c r="AE702" s="1212"/>
      <c r="AF702" s="1186"/>
      <c r="AG702" s="1186"/>
      <c r="AH702" s="1222"/>
      <c r="AI702" s="1222"/>
      <c r="AJ702" s="1222"/>
      <c r="AK702" s="1222"/>
      <c r="AL702" s="1222"/>
      <c r="AM702" s="1222"/>
      <c r="AN702" s="1222"/>
      <c r="AO702" s="1222"/>
      <c r="AP702" s="1222"/>
      <c r="AQ702" s="1222"/>
      <c r="AR702" s="1222"/>
      <c r="AS702" s="1222"/>
      <c r="AT702" s="1222"/>
      <c r="AU702" s="1120"/>
      <c r="AV702" s="445"/>
      <c r="AW702" s="607"/>
      <c r="AX702" s="607"/>
      <c r="AY702" s="607"/>
      <c r="AZ702" s="1209"/>
      <c r="BA702" s="1209"/>
    </row>
    <row r="703" spans="2:53" s="256" customFormat="1" ht="24.95" customHeight="1">
      <c r="B703" s="445"/>
      <c r="C703" s="204"/>
      <c r="D703" s="204"/>
      <c r="E703" s="204"/>
      <c r="F703" s="368"/>
      <c r="G703" s="1134"/>
      <c r="H703" s="401"/>
      <c r="I703" s="317"/>
      <c r="N703" s="317"/>
      <c r="O703" s="1135"/>
      <c r="P703" s="1136"/>
      <c r="Q703" s="1137"/>
      <c r="R703" s="1120"/>
      <c r="S703" s="1120"/>
      <c r="T703" s="1120"/>
      <c r="U703" s="1120"/>
      <c r="V703" s="1120"/>
      <c r="W703" s="1120"/>
      <c r="Z703" s="1145"/>
      <c r="AA703" s="1120"/>
      <c r="AB703" s="1120"/>
      <c r="AC703" s="1120"/>
      <c r="AD703" s="1212"/>
      <c r="AE703" s="1212"/>
      <c r="AF703" s="1186"/>
      <c r="AG703" s="1186"/>
      <c r="AH703" s="1222"/>
      <c r="AI703" s="1222"/>
      <c r="AJ703" s="1222"/>
      <c r="AK703" s="1222"/>
      <c r="AL703" s="1222"/>
      <c r="AM703" s="1222"/>
      <c r="AN703" s="1222"/>
      <c r="AO703" s="1222"/>
      <c r="AP703" s="1222"/>
      <c r="AQ703" s="1222"/>
      <c r="AR703" s="1222"/>
      <c r="AS703" s="1222"/>
      <c r="AT703" s="1222"/>
      <c r="AU703" s="1120"/>
      <c r="AV703" s="445"/>
      <c r="AW703" s="607"/>
      <c r="AX703" s="607"/>
      <c r="AY703" s="607"/>
      <c r="AZ703" s="1209"/>
      <c r="BA703" s="1209"/>
    </row>
    <row r="704" spans="2:53" s="256" customFormat="1" ht="24.95" customHeight="1">
      <c r="B704" s="445"/>
      <c r="C704" s="204"/>
      <c r="D704" s="204"/>
      <c r="E704" s="204"/>
      <c r="F704" s="368"/>
      <c r="G704" s="1134"/>
      <c r="H704" s="401"/>
      <c r="I704" s="317"/>
      <c r="N704" s="317"/>
      <c r="O704" s="1135"/>
      <c r="P704" s="1136"/>
      <c r="Q704" s="1137"/>
      <c r="R704" s="1120"/>
      <c r="S704" s="1120"/>
      <c r="T704" s="1120"/>
      <c r="U704" s="1120"/>
      <c r="V704" s="1120"/>
      <c r="W704" s="1120"/>
      <c r="Z704" s="1145"/>
      <c r="AA704" s="1120"/>
      <c r="AB704" s="1120"/>
      <c r="AC704" s="1120"/>
      <c r="AD704" s="1212"/>
      <c r="AE704" s="1212"/>
      <c r="AF704" s="1186"/>
      <c r="AG704" s="1186"/>
      <c r="AH704" s="1222"/>
      <c r="AI704" s="1222"/>
      <c r="AJ704" s="1222"/>
      <c r="AK704" s="1222"/>
      <c r="AL704" s="1222"/>
      <c r="AM704" s="1222"/>
      <c r="AN704" s="1222"/>
      <c r="AO704" s="1222"/>
      <c r="AP704" s="1222"/>
      <c r="AQ704" s="1222"/>
      <c r="AR704" s="1222"/>
      <c r="AS704" s="1222"/>
      <c r="AT704" s="1222"/>
      <c r="AU704" s="1120"/>
      <c r="AV704" s="445"/>
      <c r="AW704" s="607"/>
      <c r="AX704" s="607"/>
      <c r="AY704" s="607"/>
      <c r="AZ704" s="1209"/>
      <c r="BA704" s="1209"/>
    </row>
    <row r="705" spans="2:53" s="256" customFormat="1" ht="24.95" customHeight="1">
      <c r="B705" s="445"/>
      <c r="C705" s="204"/>
      <c r="D705" s="204"/>
      <c r="E705" s="204"/>
      <c r="F705" s="368"/>
      <c r="G705" s="1134"/>
      <c r="H705" s="401"/>
      <c r="I705" s="317"/>
      <c r="N705" s="317"/>
      <c r="O705" s="1135"/>
      <c r="P705" s="1136"/>
      <c r="Q705" s="1137"/>
      <c r="R705" s="1120"/>
      <c r="S705" s="1120"/>
      <c r="T705" s="1120"/>
      <c r="U705" s="1120"/>
      <c r="V705" s="1120"/>
      <c r="W705" s="1120"/>
      <c r="Z705" s="1145"/>
      <c r="AA705" s="1120"/>
      <c r="AB705" s="1120"/>
      <c r="AC705" s="1120"/>
      <c r="AD705" s="1212"/>
      <c r="AE705" s="1212"/>
      <c r="AF705" s="1186"/>
      <c r="AG705" s="1186"/>
      <c r="AH705" s="1222"/>
      <c r="AI705" s="1222"/>
      <c r="AJ705" s="1222"/>
      <c r="AK705" s="1222"/>
      <c r="AL705" s="1222"/>
      <c r="AM705" s="1222"/>
      <c r="AN705" s="1222"/>
      <c r="AO705" s="1222"/>
      <c r="AP705" s="1222"/>
      <c r="AQ705" s="1222"/>
      <c r="AR705" s="1222"/>
      <c r="AS705" s="1222"/>
      <c r="AT705" s="1222"/>
      <c r="AU705" s="1120"/>
      <c r="AV705" s="445"/>
      <c r="AW705" s="607"/>
      <c r="AX705" s="607"/>
      <c r="AY705" s="607"/>
      <c r="AZ705" s="1209"/>
      <c r="BA705" s="1209"/>
    </row>
    <row r="706" spans="2:53" s="256" customFormat="1" ht="24.95" customHeight="1">
      <c r="B706" s="445"/>
      <c r="C706" s="204"/>
      <c r="D706" s="204"/>
      <c r="E706" s="204"/>
      <c r="F706" s="368"/>
      <c r="G706" s="1134"/>
      <c r="H706" s="401"/>
      <c r="I706" s="317"/>
      <c r="N706" s="317"/>
      <c r="O706" s="1135"/>
      <c r="P706" s="1136"/>
      <c r="Q706" s="1137"/>
      <c r="R706" s="1120"/>
      <c r="S706" s="1120"/>
      <c r="T706" s="1120"/>
      <c r="U706" s="1120"/>
      <c r="V706" s="1120"/>
      <c r="W706" s="1120"/>
      <c r="Z706" s="1145"/>
      <c r="AA706" s="1120"/>
      <c r="AB706" s="1120"/>
      <c r="AC706" s="1120"/>
      <c r="AD706" s="1212"/>
      <c r="AE706" s="1212"/>
      <c r="AF706" s="1186"/>
      <c r="AG706" s="1186"/>
      <c r="AH706" s="1222"/>
      <c r="AI706" s="1222"/>
      <c r="AJ706" s="1222"/>
      <c r="AK706" s="1222"/>
      <c r="AL706" s="1222"/>
      <c r="AM706" s="1222"/>
      <c r="AN706" s="1222"/>
      <c r="AO706" s="1222"/>
      <c r="AP706" s="1222"/>
      <c r="AQ706" s="1222"/>
      <c r="AR706" s="1222"/>
      <c r="AS706" s="1222"/>
      <c r="AT706" s="1222"/>
      <c r="AU706" s="1120"/>
      <c r="AV706" s="445"/>
      <c r="AW706" s="607"/>
      <c r="AX706" s="607"/>
      <c r="AY706" s="607"/>
      <c r="AZ706" s="1209"/>
      <c r="BA706" s="1209"/>
    </row>
    <row r="707" spans="2:53" s="256" customFormat="1" ht="24.95" customHeight="1">
      <c r="B707" s="445"/>
      <c r="C707" s="204"/>
      <c r="D707" s="204"/>
      <c r="E707" s="204"/>
      <c r="F707" s="368"/>
      <c r="G707" s="1134"/>
      <c r="H707" s="401"/>
      <c r="I707" s="317"/>
      <c r="N707" s="317"/>
      <c r="O707" s="1135"/>
      <c r="P707" s="1136"/>
      <c r="Q707" s="1137"/>
      <c r="R707" s="1120"/>
      <c r="S707" s="1120"/>
      <c r="T707" s="1120"/>
      <c r="U707" s="1120"/>
      <c r="V707" s="1120"/>
      <c r="W707" s="1120"/>
      <c r="Z707" s="1145"/>
      <c r="AA707" s="1120"/>
      <c r="AB707" s="1120"/>
      <c r="AC707" s="1120"/>
      <c r="AD707" s="1212"/>
      <c r="AE707" s="1212"/>
      <c r="AF707" s="1186"/>
      <c r="AG707" s="1186"/>
      <c r="AH707" s="1222"/>
      <c r="AI707" s="1222"/>
      <c r="AJ707" s="1222"/>
      <c r="AK707" s="1222"/>
      <c r="AL707" s="1222"/>
      <c r="AM707" s="1222"/>
      <c r="AN707" s="1222"/>
      <c r="AO707" s="1222"/>
      <c r="AP707" s="1222"/>
      <c r="AQ707" s="1222"/>
      <c r="AR707" s="1222"/>
      <c r="AS707" s="1222"/>
      <c r="AT707" s="1222"/>
      <c r="AU707" s="1120"/>
      <c r="AV707" s="445"/>
      <c r="AW707" s="607"/>
      <c r="AX707" s="607"/>
      <c r="AY707" s="607"/>
      <c r="AZ707" s="1209"/>
      <c r="BA707" s="1209"/>
    </row>
    <row r="708" spans="2:53" s="256" customFormat="1" ht="24.95" customHeight="1">
      <c r="B708" s="445"/>
      <c r="C708" s="204"/>
      <c r="D708" s="204"/>
      <c r="E708" s="204"/>
      <c r="F708" s="368"/>
      <c r="G708" s="1134"/>
      <c r="H708" s="401"/>
      <c r="I708" s="317"/>
      <c r="N708" s="317"/>
      <c r="O708" s="1135"/>
      <c r="P708" s="1136"/>
      <c r="Q708" s="1137"/>
      <c r="R708" s="1120"/>
      <c r="S708" s="1120"/>
      <c r="T708" s="1120"/>
      <c r="U708" s="1120"/>
      <c r="V708" s="1120"/>
      <c r="W708" s="1120"/>
      <c r="Z708" s="1145"/>
      <c r="AA708" s="1120"/>
      <c r="AB708" s="1120"/>
      <c r="AC708" s="1120"/>
      <c r="AD708" s="1212"/>
      <c r="AE708" s="1212"/>
      <c r="AF708" s="1186"/>
      <c r="AG708" s="1186"/>
      <c r="AH708" s="1222"/>
      <c r="AI708" s="1222"/>
      <c r="AJ708" s="1222"/>
      <c r="AK708" s="1222"/>
      <c r="AL708" s="1222"/>
      <c r="AM708" s="1222"/>
      <c r="AN708" s="1222"/>
      <c r="AO708" s="1222"/>
      <c r="AP708" s="1222"/>
      <c r="AQ708" s="1222"/>
      <c r="AR708" s="1222"/>
      <c r="AS708" s="1222"/>
      <c r="AT708" s="1222"/>
      <c r="AU708" s="1120"/>
      <c r="AV708" s="445"/>
      <c r="AW708" s="607"/>
      <c r="AX708" s="607"/>
      <c r="AY708" s="607"/>
      <c r="AZ708" s="1209"/>
      <c r="BA708" s="1209"/>
    </row>
    <row r="709" spans="2:53" s="256" customFormat="1" ht="24.95" customHeight="1">
      <c r="B709" s="445"/>
      <c r="C709" s="204"/>
      <c r="D709" s="204"/>
      <c r="E709" s="204"/>
      <c r="F709" s="368"/>
      <c r="G709" s="1134"/>
      <c r="H709" s="401"/>
      <c r="I709" s="317"/>
      <c r="N709" s="317"/>
      <c r="O709" s="1135"/>
      <c r="P709" s="1136"/>
      <c r="Q709" s="1137"/>
      <c r="R709" s="1120"/>
      <c r="S709" s="1120"/>
      <c r="T709" s="1120"/>
      <c r="U709" s="1120"/>
      <c r="V709" s="1120"/>
      <c r="W709" s="1120"/>
      <c r="Z709" s="1145"/>
      <c r="AA709" s="1120"/>
      <c r="AB709" s="1120"/>
      <c r="AC709" s="1120"/>
      <c r="AD709" s="1212"/>
      <c r="AE709" s="1212"/>
      <c r="AF709" s="1186"/>
      <c r="AG709" s="1186"/>
      <c r="AH709" s="1222"/>
      <c r="AI709" s="1222"/>
      <c r="AJ709" s="1222"/>
      <c r="AK709" s="1222"/>
      <c r="AL709" s="1222"/>
      <c r="AM709" s="1222"/>
      <c r="AN709" s="1222"/>
      <c r="AO709" s="1222"/>
      <c r="AP709" s="1222"/>
      <c r="AQ709" s="1222"/>
      <c r="AR709" s="1222"/>
      <c r="AS709" s="1222"/>
      <c r="AT709" s="1222"/>
      <c r="AU709" s="1120"/>
      <c r="AV709" s="445"/>
      <c r="AW709" s="607"/>
      <c r="AX709" s="607"/>
      <c r="AY709" s="607"/>
      <c r="AZ709" s="1209"/>
      <c r="BA709" s="1209"/>
    </row>
    <row r="710" spans="2:53" s="256" customFormat="1" ht="24.95" customHeight="1">
      <c r="B710" s="445"/>
      <c r="C710" s="204"/>
      <c r="D710" s="204"/>
      <c r="E710" s="204"/>
      <c r="F710" s="368"/>
      <c r="G710" s="1134"/>
      <c r="H710" s="401"/>
      <c r="I710" s="317"/>
      <c r="N710" s="317"/>
      <c r="O710" s="1135"/>
      <c r="P710" s="1136"/>
      <c r="Q710" s="1137"/>
      <c r="R710" s="1120"/>
      <c r="S710" s="1120"/>
      <c r="T710" s="1120"/>
      <c r="U710" s="1120"/>
      <c r="V710" s="1120"/>
      <c r="W710" s="1120"/>
      <c r="Z710" s="1145"/>
      <c r="AA710" s="1120"/>
      <c r="AB710" s="1120"/>
      <c r="AC710" s="1120"/>
      <c r="AD710" s="1212"/>
      <c r="AE710" s="1212"/>
      <c r="AF710" s="1186"/>
      <c r="AG710" s="1186"/>
      <c r="AH710" s="1222"/>
      <c r="AI710" s="1222"/>
      <c r="AJ710" s="1222"/>
      <c r="AK710" s="1222"/>
      <c r="AL710" s="1222"/>
      <c r="AM710" s="1222"/>
      <c r="AN710" s="1222"/>
      <c r="AO710" s="1222"/>
      <c r="AP710" s="1222"/>
      <c r="AQ710" s="1222"/>
      <c r="AR710" s="1222"/>
      <c r="AS710" s="1222"/>
      <c r="AT710" s="1222"/>
      <c r="AU710" s="1120"/>
      <c r="AV710" s="445"/>
      <c r="AW710" s="607"/>
      <c r="AX710" s="607"/>
      <c r="AY710" s="607"/>
      <c r="AZ710" s="1209"/>
      <c r="BA710" s="1209"/>
    </row>
    <row r="711" spans="2:53" s="256" customFormat="1" ht="24.95" customHeight="1">
      <c r="B711" s="445"/>
      <c r="C711" s="204"/>
      <c r="D711" s="204"/>
      <c r="E711" s="204"/>
      <c r="F711" s="368"/>
      <c r="G711" s="1134"/>
      <c r="H711" s="401"/>
      <c r="I711" s="317"/>
      <c r="N711" s="317"/>
      <c r="O711" s="1135"/>
      <c r="P711" s="1136"/>
      <c r="Q711" s="1137"/>
      <c r="R711" s="1120"/>
      <c r="S711" s="1120"/>
      <c r="T711" s="1120"/>
      <c r="U711" s="1120"/>
      <c r="V711" s="1120"/>
      <c r="W711" s="1120"/>
      <c r="Z711" s="1145"/>
      <c r="AA711" s="1120"/>
      <c r="AB711" s="1120"/>
      <c r="AC711" s="1120"/>
      <c r="AD711" s="1212"/>
      <c r="AE711" s="1212"/>
      <c r="AF711" s="1186"/>
      <c r="AG711" s="1186"/>
      <c r="AH711" s="1222"/>
      <c r="AI711" s="1222"/>
      <c r="AJ711" s="1222"/>
      <c r="AK711" s="1222"/>
      <c r="AL711" s="1222"/>
      <c r="AM711" s="1222"/>
      <c r="AN711" s="1222"/>
      <c r="AO711" s="1222"/>
      <c r="AP711" s="1222"/>
      <c r="AQ711" s="1222"/>
      <c r="AR711" s="1222"/>
      <c r="AS711" s="1222"/>
      <c r="AT711" s="1222"/>
      <c r="AU711" s="1120"/>
      <c r="AV711" s="445"/>
      <c r="AW711" s="607"/>
      <c r="AX711" s="607"/>
      <c r="AY711" s="607"/>
      <c r="AZ711" s="1209"/>
      <c r="BA711" s="1209"/>
    </row>
    <row r="712" spans="2:53" s="256" customFormat="1" ht="24.95" customHeight="1">
      <c r="B712" s="445"/>
      <c r="C712" s="204"/>
      <c r="D712" s="204"/>
      <c r="E712" s="204"/>
      <c r="F712" s="368"/>
      <c r="G712" s="1134"/>
      <c r="H712" s="401"/>
      <c r="I712" s="317"/>
      <c r="N712" s="317"/>
      <c r="O712" s="1135"/>
      <c r="P712" s="1136"/>
      <c r="Q712" s="1137"/>
      <c r="R712" s="1120"/>
      <c r="S712" s="1120"/>
      <c r="T712" s="1120"/>
      <c r="U712" s="1120"/>
      <c r="V712" s="1120"/>
      <c r="W712" s="1120"/>
      <c r="Z712" s="1145"/>
      <c r="AA712" s="1120"/>
      <c r="AB712" s="1120"/>
      <c r="AC712" s="1120"/>
      <c r="AD712" s="1212"/>
      <c r="AE712" s="1212"/>
      <c r="AF712" s="1186"/>
      <c r="AG712" s="1186"/>
      <c r="AH712" s="1222"/>
      <c r="AI712" s="1222"/>
      <c r="AJ712" s="1222"/>
      <c r="AK712" s="1222"/>
      <c r="AL712" s="1222"/>
      <c r="AM712" s="1222"/>
      <c r="AN712" s="1222"/>
      <c r="AO712" s="1222"/>
      <c r="AP712" s="1222"/>
      <c r="AQ712" s="1222"/>
      <c r="AR712" s="1222"/>
      <c r="AS712" s="1222"/>
      <c r="AT712" s="1222"/>
      <c r="AU712" s="1120"/>
      <c r="AV712" s="445"/>
      <c r="AW712" s="607"/>
      <c r="AX712" s="607"/>
      <c r="AY712" s="607"/>
      <c r="AZ712" s="1209"/>
      <c r="BA712" s="1209"/>
    </row>
    <row r="713" spans="2:53" s="256" customFormat="1" ht="24.95" customHeight="1">
      <c r="B713" s="445"/>
      <c r="C713" s="204"/>
      <c r="D713" s="204"/>
      <c r="E713" s="204"/>
      <c r="F713" s="368"/>
      <c r="G713" s="1134"/>
      <c r="H713" s="401"/>
      <c r="I713" s="317"/>
      <c r="N713" s="317"/>
      <c r="O713" s="1135"/>
      <c r="P713" s="1136"/>
      <c r="Q713" s="1137"/>
      <c r="R713" s="1120"/>
      <c r="S713" s="1120"/>
      <c r="T713" s="1120"/>
      <c r="U713" s="1120"/>
      <c r="V713" s="1120"/>
      <c r="W713" s="1120"/>
      <c r="Z713" s="1145"/>
      <c r="AA713" s="1120"/>
      <c r="AB713" s="1120"/>
      <c r="AC713" s="1120"/>
      <c r="AD713" s="1212"/>
      <c r="AE713" s="1212"/>
      <c r="AF713" s="1186"/>
      <c r="AG713" s="1186"/>
      <c r="AH713" s="1222"/>
      <c r="AI713" s="1222"/>
      <c r="AJ713" s="1222"/>
      <c r="AK713" s="1222"/>
      <c r="AL713" s="1222"/>
      <c r="AM713" s="1222"/>
      <c r="AN713" s="1222"/>
      <c r="AO713" s="1222"/>
      <c r="AP713" s="1222"/>
      <c r="AQ713" s="1222"/>
      <c r="AR713" s="1222"/>
      <c r="AS713" s="1222"/>
      <c r="AT713" s="1222"/>
      <c r="AU713" s="1120"/>
      <c r="AV713" s="445"/>
      <c r="AW713" s="607"/>
      <c r="AX713" s="607"/>
      <c r="AY713" s="607"/>
      <c r="AZ713" s="1209"/>
      <c r="BA713" s="1209"/>
    </row>
    <row r="714" spans="2:53" s="256" customFormat="1" ht="24.95" customHeight="1">
      <c r="B714" s="445"/>
      <c r="C714" s="204"/>
      <c r="D714" s="204"/>
      <c r="E714" s="204"/>
      <c r="F714" s="368"/>
      <c r="G714" s="1134"/>
      <c r="H714" s="401"/>
      <c r="I714" s="317"/>
      <c r="N714" s="317"/>
      <c r="O714" s="1135"/>
      <c r="P714" s="1136"/>
      <c r="Q714" s="1137"/>
      <c r="R714" s="1120"/>
      <c r="S714" s="1120"/>
      <c r="T714" s="1120"/>
      <c r="U714" s="1120"/>
      <c r="V714" s="1120"/>
      <c r="W714" s="1120"/>
      <c r="Z714" s="1145"/>
      <c r="AA714" s="1120"/>
      <c r="AB714" s="1120"/>
      <c r="AC714" s="1120"/>
      <c r="AD714" s="1212"/>
      <c r="AE714" s="1212"/>
      <c r="AF714" s="1186"/>
      <c r="AG714" s="1186"/>
      <c r="AH714" s="1222"/>
      <c r="AI714" s="1222"/>
      <c r="AJ714" s="1222"/>
      <c r="AK714" s="1222"/>
      <c r="AL714" s="1222"/>
      <c r="AM714" s="1222"/>
      <c r="AN714" s="1222"/>
      <c r="AO714" s="1222"/>
      <c r="AP714" s="1222"/>
      <c r="AQ714" s="1222"/>
      <c r="AR714" s="1222"/>
      <c r="AS714" s="1222"/>
      <c r="AT714" s="1222"/>
      <c r="AU714" s="1120"/>
      <c r="AV714" s="445"/>
      <c r="AW714" s="607"/>
      <c r="AX714" s="607"/>
      <c r="AY714" s="607"/>
      <c r="AZ714" s="1209"/>
      <c r="BA714" s="1209"/>
    </row>
    <row r="715" spans="2:53" s="256" customFormat="1" ht="24.95" customHeight="1">
      <c r="B715" s="445"/>
      <c r="C715" s="204"/>
      <c r="D715" s="204"/>
      <c r="E715" s="204"/>
      <c r="F715" s="368"/>
      <c r="G715" s="1134"/>
      <c r="H715" s="401"/>
      <c r="I715" s="317"/>
      <c r="N715" s="317"/>
      <c r="O715" s="1135"/>
      <c r="P715" s="1136"/>
      <c r="Q715" s="1137"/>
      <c r="R715" s="1120"/>
      <c r="S715" s="1120"/>
      <c r="T715" s="1120"/>
      <c r="U715" s="1120"/>
      <c r="V715" s="1120"/>
      <c r="W715" s="1120"/>
      <c r="Z715" s="1145"/>
      <c r="AA715" s="1120"/>
      <c r="AB715" s="1120"/>
      <c r="AC715" s="1120"/>
      <c r="AD715" s="1212"/>
      <c r="AE715" s="1212"/>
      <c r="AF715" s="1186"/>
      <c r="AG715" s="1186"/>
      <c r="AH715" s="1222"/>
      <c r="AI715" s="1222"/>
      <c r="AJ715" s="1222"/>
      <c r="AK715" s="1222"/>
      <c r="AL715" s="1222"/>
      <c r="AM715" s="1222"/>
      <c r="AN715" s="1222"/>
      <c r="AO715" s="1222"/>
      <c r="AP715" s="1222"/>
      <c r="AQ715" s="1222"/>
      <c r="AR715" s="1222"/>
      <c r="AS715" s="1222"/>
      <c r="AT715" s="1222"/>
      <c r="AU715" s="1120"/>
      <c r="AV715" s="445"/>
      <c r="AW715" s="607"/>
      <c r="AX715" s="607"/>
      <c r="AY715" s="607"/>
      <c r="AZ715" s="1209"/>
      <c r="BA715" s="1209"/>
    </row>
    <row r="716" spans="2:53" s="256" customFormat="1" ht="24.95" customHeight="1">
      <c r="B716" s="445"/>
      <c r="C716" s="204"/>
      <c r="D716" s="204"/>
      <c r="E716" s="204"/>
      <c r="F716" s="368"/>
      <c r="G716" s="1134"/>
      <c r="H716" s="401"/>
      <c r="I716" s="317"/>
      <c r="N716" s="317"/>
      <c r="O716" s="1135"/>
      <c r="P716" s="1136"/>
      <c r="Q716" s="1137"/>
      <c r="R716" s="1120"/>
      <c r="S716" s="1120"/>
      <c r="T716" s="1120"/>
      <c r="U716" s="1120"/>
      <c r="V716" s="1120"/>
      <c r="W716" s="1120"/>
      <c r="Z716" s="1145"/>
      <c r="AA716" s="1120"/>
      <c r="AB716" s="1120"/>
      <c r="AC716" s="1120"/>
      <c r="AD716" s="1212"/>
      <c r="AE716" s="1212"/>
      <c r="AF716" s="1186"/>
      <c r="AG716" s="1186"/>
      <c r="AH716" s="1222"/>
      <c r="AI716" s="1222"/>
      <c r="AJ716" s="1222"/>
      <c r="AK716" s="1222"/>
      <c r="AL716" s="1222"/>
      <c r="AM716" s="1222"/>
      <c r="AN716" s="1222"/>
      <c r="AO716" s="1222"/>
      <c r="AP716" s="1222"/>
      <c r="AQ716" s="1222"/>
      <c r="AR716" s="1222"/>
      <c r="AS716" s="1222"/>
      <c r="AT716" s="1222"/>
      <c r="AU716" s="1120"/>
      <c r="AV716" s="445"/>
      <c r="AW716" s="607"/>
      <c r="AX716" s="607"/>
      <c r="AY716" s="607"/>
      <c r="AZ716" s="1209"/>
      <c r="BA716" s="1209"/>
    </row>
    <row r="717" spans="2:53" s="256" customFormat="1" ht="24.95" customHeight="1">
      <c r="B717" s="445"/>
      <c r="C717" s="204"/>
      <c r="D717" s="204"/>
      <c r="E717" s="204"/>
      <c r="F717" s="368"/>
      <c r="G717" s="1134"/>
      <c r="H717" s="401"/>
      <c r="I717" s="317"/>
      <c r="N717" s="317"/>
      <c r="O717" s="1135"/>
      <c r="P717" s="1136"/>
      <c r="Q717" s="1137"/>
      <c r="R717" s="1120"/>
      <c r="S717" s="1120"/>
      <c r="T717" s="1120"/>
      <c r="U717" s="1120"/>
      <c r="V717" s="1120"/>
      <c r="W717" s="1120"/>
      <c r="Z717" s="1145"/>
      <c r="AA717" s="1120"/>
      <c r="AB717" s="1120"/>
      <c r="AC717" s="1120"/>
      <c r="AD717" s="1212"/>
      <c r="AE717" s="1212"/>
      <c r="AF717" s="1186"/>
      <c r="AG717" s="1186"/>
      <c r="AH717" s="1222"/>
      <c r="AI717" s="1222"/>
      <c r="AJ717" s="1222"/>
      <c r="AK717" s="1222"/>
      <c r="AL717" s="1222"/>
      <c r="AM717" s="1222"/>
      <c r="AN717" s="1222"/>
      <c r="AO717" s="1222"/>
      <c r="AP717" s="1222"/>
      <c r="AQ717" s="1222"/>
      <c r="AR717" s="1222"/>
      <c r="AS717" s="1222"/>
      <c r="AT717" s="1222"/>
      <c r="AU717" s="1120"/>
      <c r="AV717" s="445"/>
      <c r="AW717" s="607"/>
      <c r="AX717" s="607"/>
      <c r="AY717" s="607"/>
      <c r="AZ717" s="1209"/>
      <c r="BA717" s="1209"/>
    </row>
    <row r="718" spans="2:53" s="256" customFormat="1" ht="24.95" customHeight="1">
      <c r="B718" s="445"/>
      <c r="C718" s="204"/>
      <c r="D718" s="204"/>
      <c r="E718" s="204"/>
      <c r="F718" s="368"/>
      <c r="G718" s="1134"/>
      <c r="H718" s="401"/>
      <c r="I718" s="317"/>
      <c r="N718" s="317"/>
      <c r="O718" s="1135"/>
      <c r="P718" s="1136"/>
      <c r="Q718" s="1137"/>
      <c r="R718" s="1120"/>
      <c r="S718" s="1120"/>
      <c r="T718" s="1120"/>
      <c r="U718" s="1120"/>
      <c r="V718" s="1120"/>
      <c r="W718" s="1120"/>
      <c r="Z718" s="1145"/>
      <c r="AA718" s="1120"/>
      <c r="AB718" s="1120"/>
      <c r="AC718" s="1120"/>
      <c r="AD718" s="1212"/>
      <c r="AE718" s="1212"/>
      <c r="AF718" s="1186"/>
      <c r="AG718" s="1186"/>
      <c r="AH718" s="1222"/>
      <c r="AI718" s="1222"/>
      <c r="AJ718" s="1222"/>
      <c r="AK718" s="1222"/>
      <c r="AL718" s="1222"/>
      <c r="AM718" s="1222"/>
      <c r="AN718" s="1222"/>
      <c r="AO718" s="1222"/>
      <c r="AP718" s="1222"/>
      <c r="AQ718" s="1222"/>
      <c r="AR718" s="1222"/>
      <c r="AS718" s="1222"/>
      <c r="AT718" s="1222"/>
      <c r="AU718" s="1120"/>
      <c r="AV718" s="445"/>
      <c r="AW718" s="607"/>
      <c r="AX718" s="607"/>
      <c r="AY718" s="607"/>
      <c r="AZ718" s="1209"/>
      <c r="BA718" s="1209"/>
    </row>
    <row r="719" spans="2:53" s="256" customFormat="1" ht="24.95" customHeight="1">
      <c r="B719" s="445"/>
      <c r="C719" s="204"/>
      <c r="D719" s="204"/>
      <c r="E719" s="204"/>
      <c r="F719" s="368"/>
      <c r="G719" s="1134"/>
      <c r="H719" s="401"/>
      <c r="I719" s="317"/>
      <c r="N719" s="317"/>
      <c r="O719" s="1135"/>
      <c r="P719" s="1136"/>
      <c r="Q719" s="1137"/>
      <c r="R719" s="1120"/>
      <c r="S719" s="1120"/>
      <c r="T719" s="1120"/>
      <c r="U719" s="1120"/>
      <c r="V719" s="1120"/>
      <c r="W719" s="1120"/>
      <c r="Z719" s="1145"/>
      <c r="AA719" s="1120"/>
      <c r="AB719" s="1120"/>
      <c r="AC719" s="1120"/>
      <c r="AD719" s="1212"/>
      <c r="AE719" s="1212"/>
      <c r="AF719" s="1186"/>
      <c r="AG719" s="1186"/>
      <c r="AH719" s="1222"/>
      <c r="AI719" s="1222"/>
      <c r="AJ719" s="1222"/>
      <c r="AK719" s="1222"/>
      <c r="AL719" s="1222"/>
      <c r="AM719" s="1222"/>
      <c r="AN719" s="1222"/>
      <c r="AO719" s="1222"/>
      <c r="AP719" s="1222"/>
      <c r="AQ719" s="1222"/>
      <c r="AR719" s="1222"/>
      <c r="AS719" s="1222"/>
      <c r="AT719" s="1222"/>
      <c r="AU719" s="1120"/>
      <c r="AV719" s="445"/>
      <c r="AW719" s="607"/>
      <c r="AX719" s="607"/>
      <c r="AY719" s="607"/>
      <c r="AZ719" s="1209"/>
      <c r="BA719" s="1209"/>
    </row>
    <row r="720" spans="2:53" s="256" customFormat="1" ht="24.95" customHeight="1">
      <c r="B720" s="445"/>
      <c r="C720" s="204"/>
      <c r="D720" s="204"/>
      <c r="E720" s="204"/>
      <c r="F720" s="368"/>
      <c r="G720" s="1134"/>
      <c r="H720" s="401"/>
      <c r="I720" s="317"/>
      <c r="N720" s="317"/>
      <c r="O720" s="1135"/>
      <c r="P720" s="1136"/>
      <c r="Q720" s="1137"/>
      <c r="R720" s="1120"/>
      <c r="S720" s="1120"/>
      <c r="T720" s="1120"/>
      <c r="U720" s="1120"/>
      <c r="V720" s="1120"/>
      <c r="W720" s="1120"/>
      <c r="Z720" s="1145"/>
      <c r="AA720" s="1120"/>
      <c r="AB720" s="1120"/>
      <c r="AC720" s="1120"/>
      <c r="AD720" s="1212"/>
      <c r="AE720" s="1212"/>
      <c r="AF720" s="1186"/>
      <c r="AG720" s="1186"/>
      <c r="AH720" s="1222"/>
      <c r="AI720" s="1222"/>
      <c r="AJ720" s="1222"/>
      <c r="AK720" s="1222"/>
      <c r="AL720" s="1222"/>
      <c r="AM720" s="1222"/>
      <c r="AN720" s="1222"/>
      <c r="AO720" s="1222"/>
      <c r="AP720" s="1222"/>
      <c r="AQ720" s="1222"/>
      <c r="AR720" s="1222"/>
      <c r="AS720" s="1222"/>
      <c r="AT720" s="1222"/>
      <c r="AU720" s="1120"/>
      <c r="AV720" s="445"/>
      <c r="AW720" s="607"/>
      <c r="AX720" s="607"/>
      <c r="AY720" s="607"/>
      <c r="AZ720" s="1209"/>
      <c r="BA720" s="1209"/>
    </row>
    <row r="721" spans="2:53" s="256" customFormat="1" ht="24.95" customHeight="1">
      <c r="B721" s="445"/>
      <c r="C721" s="204"/>
      <c r="D721" s="204"/>
      <c r="E721" s="204"/>
      <c r="F721" s="368"/>
      <c r="G721" s="1134"/>
      <c r="H721" s="401"/>
      <c r="I721" s="317"/>
      <c r="N721" s="317"/>
      <c r="O721" s="1135"/>
      <c r="P721" s="1136"/>
      <c r="Q721" s="1137"/>
      <c r="R721" s="1120"/>
      <c r="S721" s="1120"/>
      <c r="T721" s="1120"/>
      <c r="U721" s="1120"/>
      <c r="V721" s="1120"/>
      <c r="W721" s="1120"/>
      <c r="Z721" s="1145"/>
      <c r="AA721" s="1120"/>
      <c r="AB721" s="1120"/>
      <c r="AC721" s="1120"/>
      <c r="AD721" s="1212"/>
      <c r="AE721" s="1212"/>
      <c r="AF721" s="1186"/>
      <c r="AG721" s="1186"/>
      <c r="AH721" s="1222"/>
      <c r="AI721" s="1222"/>
      <c r="AJ721" s="1222"/>
      <c r="AK721" s="1222"/>
      <c r="AL721" s="1222"/>
      <c r="AM721" s="1222"/>
      <c r="AN721" s="1222"/>
      <c r="AO721" s="1222"/>
      <c r="AP721" s="1222"/>
      <c r="AQ721" s="1222"/>
      <c r="AR721" s="1222"/>
      <c r="AS721" s="1222"/>
      <c r="AT721" s="1222"/>
      <c r="AU721" s="1120"/>
      <c r="AV721" s="445"/>
      <c r="AW721" s="607"/>
      <c r="AX721" s="607"/>
      <c r="AY721" s="607"/>
      <c r="AZ721" s="1209"/>
      <c r="BA721" s="1209"/>
    </row>
    <row r="722" spans="2:53" s="256" customFormat="1" ht="24.95" customHeight="1">
      <c r="B722" s="445"/>
      <c r="C722" s="204"/>
      <c r="D722" s="204"/>
      <c r="E722" s="204"/>
      <c r="F722" s="368"/>
      <c r="G722" s="1134"/>
      <c r="H722" s="401"/>
      <c r="I722" s="317"/>
      <c r="N722" s="317"/>
      <c r="O722" s="1135"/>
      <c r="P722" s="1136"/>
      <c r="Q722" s="1137"/>
      <c r="R722" s="1120"/>
      <c r="S722" s="1120"/>
      <c r="T722" s="1120"/>
      <c r="U722" s="1120"/>
      <c r="V722" s="1120"/>
      <c r="W722" s="1120"/>
      <c r="Z722" s="1145"/>
      <c r="AA722" s="1120"/>
      <c r="AB722" s="1120"/>
      <c r="AC722" s="1120"/>
      <c r="AD722" s="1212"/>
      <c r="AE722" s="1212"/>
      <c r="AF722" s="1186"/>
      <c r="AG722" s="1186"/>
      <c r="AH722" s="1222"/>
      <c r="AI722" s="1222"/>
      <c r="AJ722" s="1222"/>
      <c r="AK722" s="1222"/>
      <c r="AL722" s="1222"/>
      <c r="AM722" s="1222"/>
      <c r="AN722" s="1222"/>
      <c r="AO722" s="1222"/>
      <c r="AP722" s="1222"/>
      <c r="AQ722" s="1222"/>
      <c r="AR722" s="1222"/>
      <c r="AS722" s="1222"/>
      <c r="AT722" s="1222"/>
      <c r="AU722" s="1120"/>
      <c r="AV722" s="445"/>
      <c r="AW722" s="607"/>
      <c r="AX722" s="607"/>
      <c r="AY722" s="607"/>
      <c r="AZ722" s="1209"/>
      <c r="BA722" s="1209"/>
    </row>
    <row r="723" spans="2:53" s="256" customFormat="1" ht="24.95" customHeight="1">
      <c r="B723" s="445"/>
      <c r="C723" s="204"/>
      <c r="D723" s="204"/>
      <c r="E723" s="204"/>
      <c r="F723" s="368"/>
      <c r="G723" s="1134"/>
      <c r="H723" s="401"/>
      <c r="I723" s="317"/>
      <c r="N723" s="317"/>
      <c r="O723" s="1135"/>
      <c r="P723" s="1136"/>
      <c r="Q723" s="1137"/>
      <c r="R723" s="1120"/>
      <c r="S723" s="1120"/>
      <c r="T723" s="1120"/>
      <c r="U723" s="1120"/>
      <c r="V723" s="1120"/>
      <c r="W723" s="1120"/>
      <c r="Z723" s="1145"/>
      <c r="AA723" s="1120"/>
      <c r="AB723" s="1120"/>
      <c r="AC723" s="1120"/>
      <c r="AD723" s="1212"/>
      <c r="AE723" s="1212"/>
      <c r="AF723" s="1186"/>
      <c r="AG723" s="1186"/>
      <c r="AH723" s="1222"/>
      <c r="AI723" s="1222"/>
      <c r="AJ723" s="1222"/>
      <c r="AK723" s="1222"/>
      <c r="AL723" s="1222"/>
      <c r="AM723" s="1222"/>
      <c r="AN723" s="1222"/>
      <c r="AO723" s="1222"/>
      <c r="AP723" s="1222"/>
      <c r="AQ723" s="1222"/>
      <c r="AR723" s="1222"/>
      <c r="AS723" s="1222"/>
      <c r="AT723" s="1222"/>
      <c r="AU723" s="1120"/>
      <c r="AV723" s="445"/>
      <c r="AW723" s="607"/>
      <c r="AX723" s="607"/>
      <c r="AY723" s="607"/>
      <c r="AZ723" s="1209"/>
      <c r="BA723" s="1209"/>
    </row>
    <row r="724" spans="2:53" s="256" customFormat="1" ht="24.95" customHeight="1">
      <c r="B724" s="445"/>
      <c r="C724" s="204"/>
      <c r="D724" s="204"/>
      <c r="E724" s="204"/>
      <c r="F724" s="368"/>
      <c r="G724" s="1134"/>
      <c r="H724" s="401"/>
      <c r="I724" s="317"/>
      <c r="N724" s="317"/>
      <c r="O724" s="1135"/>
      <c r="P724" s="1136"/>
      <c r="Q724" s="1137"/>
      <c r="R724" s="1120"/>
      <c r="S724" s="1120"/>
      <c r="T724" s="1120"/>
      <c r="U724" s="1120"/>
      <c r="V724" s="1120"/>
      <c r="W724" s="1120"/>
      <c r="Z724" s="1145"/>
      <c r="AA724" s="1120"/>
      <c r="AB724" s="1120"/>
      <c r="AC724" s="1120"/>
      <c r="AD724" s="1212"/>
      <c r="AE724" s="1212"/>
      <c r="AF724" s="1186"/>
      <c r="AG724" s="1186"/>
      <c r="AH724" s="1222"/>
      <c r="AI724" s="1222"/>
      <c r="AJ724" s="1222"/>
      <c r="AK724" s="1222"/>
      <c r="AL724" s="1222"/>
      <c r="AM724" s="1222"/>
      <c r="AN724" s="1222"/>
      <c r="AO724" s="1222"/>
      <c r="AP724" s="1222"/>
      <c r="AQ724" s="1222"/>
      <c r="AR724" s="1222"/>
      <c r="AS724" s="1222"/>
      <c r="AT724" s="1222"/>
      <c r="AU724" s="1120"/>
      <c r="AV724" s="445"/>
      <c r="AW724" s="607"/>
      <c r="AX724" s="607"/>
      <c r="AY724" s="607"/>
      <c r="AZ724" s="1209"/>
      <c r="BA724" s="1209"/>
    </row>
    <row r="725" spans="2:53" s="256" customFormat="1" ht="24.95" customHeight="1">
      <c r="B725" s="445"/>
      <c r="C725" s="204"/>
      <c r="D725" s="204"/>
      <c r="E725" s="204"/>
      <c r="F725" s="368"/>
      <c r="G725" s="1134"/>
      <c r="H725" s="401"/>
      <c r="I725" s="317"/>
      <c r="N725" s="317"/>
      <c r="O725" s="1135"/>
      <c r="P725" s="1136"/>
      <c r="Q725" s="1137"/>
      <c r="R725" s="1120"/>
      <c r="S725" s="1120"/>
      <c r="T725" s="1120"/>
      <c r="U725" s="1120"/>
      <c r="V725" s="1120"/>
      <c r="W725" s="1120"/>
      <c r="Z725" s="1145"/>
      <c r="AA725" s="1120"/>
      <c r="AB725" s="1120"/>
      <c r="AC725" s="1120"/>
      <c r="AD725" s="1212"/>
      <c r="AE725" s="1212"/>
      <c r="AF725" s="1186"/>
      <c r="AG725" s="1186"/>
      <c r="AH725" s="1222"/>
      <c r="AI725" s="1222"/>
      <c r="AJ725" s="1222"/>
      <c r="AK725" s="1222"/>
      <c r="AL725" s="1222"/>
      <c r="AM725" s="1222"/>
      <c r="AN725" s="1222"/>
      <c r="AO725" s="1222"/>
      <c r="AP725" s="1222"/>
      <c r="AQ725" s="1222"/>
      <c r="AR725" s="1222"/>
      <c r="AS725" s="1222"/>
      <c r="AT725" s="1222"/>
      <c r="AU725" s="1120"/>
      <c r="AV725" s="445"/>
      <c r="AW725" s="607"/>
      <c r="AX725" s="607"/>
      <c r="AY725" s="607"/>
      <c r="AZ725" s="1209"/>
      <c r="BA725" s="1209"/>
    </row>
    <row r="726" spans="2:53" s="256" customFormat="1" ht="24.95" customHeight="1">
      <c r="B726" s="445"/>
      <c r="C726" s="204"/>
      <c r="D726" s="204"/>
      <c r="E726" s="204"/>
      <c r="F726" s="368"/>
      <c r="G726" s="1134"/>
      <c r="H726" s="401"/>
      <c r="I726" s="317"/>
      <c r="N726" s="317"/>
      <c r="O726" s="1135"/>
      <c r="P726" s="1136"/>
      <c r="Q726" s="1137"/>
      <c r="R726" s="1120"/>
      <c r="S726" s="1120"/>
      <c r="T726" s="1120"/>
      <c r="U726" s="1120"/>
      <c r="V726" s="1120"/>
      <c r="W726" s="1120"/>
      <c r="Z726" s="1145"/>
      <c r="AA726" s="1120"/>
      <c r="AB726" s="1120"/>
      <c r="AC726" s="1120"/>
      <c r="AD726" s="1212"/>
      <c r="AE726" s="1212"/>
      <c r="AF726" s="1186"/>
      <c r="AG726" s="1186"/>
      <c r="AH726" s="1222"/>
      <c r="AI726" s="1222"/>
      <c r="AJ726" s="1222"/>
      <c r="AK726" s="1222"/>
      <c r="AL726" s="1222"/>
      <c r="AM726" s="1222"/>
      <c r="AN726" s="1222"/>
      <c r="AO726" s="1222"/>
      <c r="AP726" s="1222"/>
      <c r="AQ726" s="1222"/>
      <c r="AR726" s="1222"/>
      <c r="AS726" s="1222"/>
      <c r="AT726" s="1222"/>
      <c r="AU726" s="1120"/>
      <c r="AV726" s="445"/>
      <c r="AW726" s="607"/>
      <c r="AX726" s="607"/>
      <c r="AY726" s="607"/>
      <c r="AZ726" s="1209"/>
      <c r="BA726" s="1209"/>
    </row>
    <row r="727" spans="2:53" s="256" customFormat="1" ht="24.95" customHeight="1">
      <c r="B727" s="445"/>
      <c r="C727" s="204"/>
      <c r="D727" s="204"/>
      <c r="E727" s="204"/>
      <c r="F727" s="368"/>
      <c r="G727" s="1134"/>
      <c r="H727" s="401"/>
      <c r="I727" s="317"/>
      <c r="N727" s="317"/>
      <c r="O727" s="1135"/>
      <c r="P727" s="1136"/>
      <c r="Q727" s="1137"/>
      <c r="R727" s="1120"/>
      <c r="S727" s="1120"/>
      <c r="T727" s="1120"/>
      <c r="U727" s="1120"/>
      <c r="V727" s="1120"/>
      <c r="W727" s="1120"/>
      <c r="Z727" s="1145"/>
      <c r="AA727" s="1120"/>
      <c r="AB727" s="1120"/>
      <c r="AC727" s="1120"/>
      <c r="AD727" s="1212"/>
      <c r="AE727" s="1212"/>
      <c r="AF727" s="1186"/>
      <c r="AG727" s="1186"/>
      <c r="AH727" s="1222"/>
      <c r="AI727" s="1222"/>
      <c r="AJ727" s="1222"/>
      <c r="AK727" s="1222"/>
      <c r="AL727" s="1222"/>
      <c r="AM727" s="1222"/>
      <c r="AN727" s="1222"/>
      <c r="AO727" s="1222"/>
      <c r="AP727" s="1222"/>
      <c r="AQ727" s="1222"/>
      <c r="AR727" s="1222"/>
      <c r="AS727" s="1222"/>
      <c r="AT727" s="1222"/>
      <c r="AU727" s="1120"/>
      <c r="AV727" s="445"/>
      <c r="AW727" s="607"/>
      <c r="AX727" s="607"/>
      <c r="AY727" s="607"/>
      <c r="AZ727" s="1209"/>
      <c r="BA727" s="1209"/>
    </row>
    <row r="728" spans="2:53" s="256" customFormat="1" ht="24.95" customHeight="1">
      <c r="B728" s="445"/>
      <c r="C728" s="204"/>
      <c r="D728" s="204"/>
      <c r="E728" s="204"/>
      <c r="F728" s="368"/>
      <c r="G728" s="1134"/>
      <c r="H728" s="401"/>
      <c r="I728" s="317"/>
      <c r="N728" s="317"/>
      <c r="O728" s="1135"/>
      <c r="P728" s="1136"/>
      <c r="Q728" s="1137"/>
      <c r="R728" s="1120"/>
      <c r="S728" s="1120"/>
      <c r="T728" s="1120"/>
      <c r="U728" s="1120"/>
      <c r="V728" s="1120"/>
      <c r="W728" s="1120"/>
      <c r="Z728" s="1145"/>
      <c r="AA728" s="1120"/>
      <c r="AB728" s="1120"/>
      <c r="AC728" s="1120"/>
      <c r="AD728" s="1212"/>
      <c r="AE728" s="1212"/>
      <c r="AF728" s="1186"/>
      <c r="AG728" s="1186"/>
      <c r="AH728" s="1222"/>
      <c r="AI728" s="1222"/>
      <c r="AJ728" s="1222"/>
      <c r="AK728" s="1222"/>
      <c r="AL728" s="1222"/>
      <c r="AM728" s="1222"/>
      <c r="AN728" s="1222"/>
      <c r="AO728" s="1222"/>
      <c r="AP728" s="1222"/>
      <c r="AQ728" s="1222"/>
      <c r="AR728" s="1222"/>
      <c r="AS728" s="1222"/>
      <c r="AT728" s="1222"/>
      <c r="AU728" s="1120"/>
      <c r="AV728" s="445"/>
      <c r="AW728" s="607"/>
      <c r="AX728" s="607"/>
      <c r="AY728" s="607"/>
      <c r="AZ728" s="1209"/>
      <c r="BA728" s="1209"/>
    </row>
    <row r="729" spans="2:53" s="256" customFormat="1" ht="24.95" customHeight="1">
      <c r="B729" s="445"/>
      <c r="C729" s="204"/>
      <c r="D729" s="204"/>
      <c r="E729" s="204"/>
      <c r="F729" s="368"/>
      <c r="G729" s="1134"/>
      <c r="H729" s="401"/>
      <c r="I729" s="317"/>
      <c r="N729" s="317"/>
      <c r="O729" s="1135"/>
      <c r="P729" s="1136"/>
      <c r="Q729" s="1137"/>
      <c r="R729" s="1120"/>
      <c r="S729" s="1120"/>
      <c r="T729" s="1120"/>
      <c r="U729" s="1120"/>
      <c r="V729" s="1120"/>
      <c r="W729" s="1120"/>
      <c r="Z729" s="1145"/>
      <c r="AA729" s="1120"/>
      <c r="AB729" s="1120"/>
      <c r="AC729" s="1120"/>
      <c r="AD729" s="1212"/>
      <c r="AE729" s="1212"/>
      <c r="AF729" s="1186"/>
      <c r="AG729" s="1186"/>
      <c r="AH729" s="1222"/>
      <c r="AI729" s="1222"/>
      <c r="AJ729" s="1222"/>
      <c r="AK729" s="1222"/>
      <c r="AL729" s="1222"/>
      <c r="AM729" s="1222"/>
      <c r="AN729" s="1222"/>
      <c r="AO729" s="1222"/>
      <c r="AP729" s="1222"/>
      <c r="AQ729" s="1222"/>
      <c r="AR729" s="1222"/>
      <c r="AS729" s="1222"/>
      <c r="AT729" s="1222"/>
      <c r="AU729" s="1120"/>
      <c r="AV729" s="445"/>
      <c r="AW729" s="607"/>
      <c r="AX729" s="607"/>
      <c r="AY729" s="607"/>
      <c r="AZ729" s="1209"/>
      <c r="BA729" s="1209"/>
    </row>
    <row r="730" spans="2:53" s="256" customFormat="1" ht="24.95" customHeight="1">
      <c r="B730" s="445"/>
      <c r="C730" s="204"/>
      <c r="D730" s="204"/>
      <c r="E730" s="204"/>
      <c r="F730" s="368"/>
      <c r="G730" s="1134"/>
      <c r="H730" s="401"/>
      <c r="I730" s="317"/>
      <c r="N730" s="317"/>
      <c r="O730" s="1135"/>
      <c r="P730" s="1136"/>
      <c r="Q730" s="1137"/>
      <c r="R730" s="1120"/>
      <c r="S730" s="1120"/>
      <c r="T730" s="1120"/>
      <c r="U730" s="1120"/>
      <c r="V730" s="1120"/>
      <c r="W730" s="1120"/>
      <c r="Z730" s="1145"/>
      <c r="AA730" s="1120"/>
      <c r="AB730" s="1120"/>
      <c r="AC730" s="1120"/>
      <c r="AD730" s="1212"/>
      <c r="AE730" s="1212"/>
      <c r="AF730" s="1186"/>
      <c r="AG730" s="1186"/>
      <c r="AH730" s="1222"/>
      <c r="AI730" s="1222"/>
      <c r="AJ730" s="1222"/>
      <c r="AK730" s="1222"/>
      <c r="AL730" s="1222"/>
      <c r="AM730" s="1222"/>
      <c r="AN730" s="1222"/>
      <c r="AO730" s="1222"/>
      <c r="AP730" s="1222"/>
      <c r="AQ730" s="1222"/>
      <c r="AR730" s="1222"/>
      <c r="AS730" s="1222"/>
      <c r="AT730" s="1222"/>
      <c r="AU730" s="1120"/>
      <c r="AV730" s="445"/>
      <c r="AW730" s="607"/>
      <c r="AX730" s="607"/>
      <c r="AY730" s="607"/>
      <c r="AZ730" s="1209"/>
      <c r="BA730" s="1209"/>
    </row>
    <row r="731" spans="2:53" s="256" customFormat="1" ht="24.95" customHeight="1">
      <c r="B731" s="445"/>
      <c r="C731" s="204"/>
      <c r="D731" s="204"/>
      <c r="E731" s="204"/>
      <c r="F731" s="368"/>
      <c r="G731" s="1134"/>
      <c r="H731" s="401"/>
      <c r="I731" s="317"/>
      <c r="N731" s="317"/>
      <c r="O731" s="1135"/>
      <c r="P731" s="1136"/>
      <c r="Q731" s="1137"/>
      <c r="R731" s="1120"/>
      <c r="S731" s="1120"/>
      <c r="T731" s="1120"/>
      <c r="U731" s="1120"/>
      <c r="V731" s="1120"/>
      <c r="W731" s="1120"/>
      <c r="Z731" s="1145"/>
      <c r="AA731" s="1120"/>
      <c r="AB731" s="1120"/>
      <c r="AC731" s="1120"/>
      <c r="AD731" s="1212"/>
      <c r="AE731" s="1212"/>
      <c r="AF731" s="1186"/>
      <c r="AG731" s="1186"/>
      <c r="AH731" s="1222"/>
      <c r="AI731" s="1222"/>
      <c r="AJ731" s="1222"/>
      <c r="AK731" s="1222"/>
      <c r="AL731" s="1222"/>
      <c r="AM731" s="1222"/>
      <c r="AN731" s="1222"/>
      <c r="AO731" s="1222"/>
      <c r="AP731" s="1222"/>
      <c r="AQ731" s="1222"/>
      <c r="AR731" s="1222"/>
      <c r="AS731" s="1222"/>
      <c r="AT731" s="1222"/>
      <c r="AU731" s="1120"/>
      <c r="AV731" s="445"/>
      <c r="AW731" s="607"/>
      <c r="AX731" s="607"/>
      <c r="AY731" s="607"/>
      <c r="AZ731" s="1209"/>
      <c r="BA731" s="1209"/>
    </row>
    <row r="732" spans="2:53" s="256" customFormat="1" ht="24.95" customHeight="1">
      <c r="B732" s="445"/>
      <c r="C732" s="204"/>
      <c r="D732" s="204"/>
      <c r="E732" s="204"/>
      <c r="F732" s="368"/>
      <c r="G732" s="1134"/>
      <c r="H732" s="401"/>
      <c r="I732" s="317"/>
      <c r="N732" s="317"/>
      <c r="O732" s="1135"/>
      <c r="P732" s="1136"/>
      <c r="Q732" s="1137"/>
      <c r="R732" s="1120"/>
      <c r="S732" s="1120"/>
      <c r="T732" s="1120"/>
      <c r="U732" s="1120"/>
      <c r="V732" s="1120"/>
      <c r="W732" s="1120"/>
      <c r="Z732" s="1145"/>
      <c r="AA732" s="1120"/>
      <c r="AB732" s="1120"/>
      <c r="AC732" s="1120"/>
      <c r="AD732" s="1212"/>
      <c r="AE732" s="1212"/>
      <c r="AF732" s="1186"/>
      <c r="AG732" s="1186"/>
      <c r="AH732" s="1222"/>
      <c r="AI732" s="1222"/>
      <c r="AJ732" s="1222"/>
      <c r="AK732" s="1222"/>
      <c r="AL732" s="1222"/>
      <c r="AM732" s="1222"/>
      <c r="AN732" s="1222"/>
      <c r="AO732" s="1222"/>
      <c r="AP732" s="1222"/>
      <c r="AQ732" s="1222"/>
      <c r="AR732" s="1222"/>
      <c r="AS732" s="1222"/>
      <c r="AT732" s="1222"/>
      <c r="AU732" s="1120"/>
      <c r="AV732" s="445"/>
      <c r="AW732" s="607"/>
      <c r="AX732" s="607"/>
      <c r="AY732" s="607"/>
      <c r="AZ732" s="1209"/>
      <c r="BA732" s="1209"/>
    </row>
    <row r="733" spans="2:53" s="256" customFormat="1" ht="24.95" customHeight="1">
      <c r="B733" s="445"/>
      <c r="C733" s="204"/>
      <c r="D733" s="204"/>
      <c r="E733" s="204"/>
      <c r="F733" s="368"/>
      <c r="G733" s="1134"/>
      <c r="H733" s="401"/>
      <c r="I733" s="317"/>
      <c r="N733" s="317"/>
      <c r="O733" s="1135"/>
      <c r="P733" s="1136"/>
      <c r="Q733" s="1137"/>
      <c r="R733" s="1120"/>
      <c r="S733" s="1120"/>
      <c r="T733" s="1120"/>
      <c r="U733" s="1120"/>
      <c r="V733" s="1120"/>
      <c r="W733" s="1120"/>
      <c r="Z733" s="1145"/>
      <c r="AA733" s="1120"/>
      <c r="AB733" s="1120"/>
      <c r="AC733" s="1120"/>
      <c r="AD733" s="1212"/>
      <c r="AE733" s="1212"/>
      <c r="AF733" s="1186"/>
      <c r="AG733" s="1186"/>
      <c r="AH733" s="1222"/>
      <c r="AI733" s="1222"/>
      <c r="AJ733" s="1222"/>
      <c r="AK733" s="1222"/>
      <c r="AL733" s="1222"/>
      <c r="AM733" s="1222"/>
      <c r="AN733" s="1222"/>
      <c r="AO733" s="1222"/>
      <c r="AP733" s="1222"/>
      <c r="AQ733" s="1222"/>
      <c r="AR733" s="1222"/>
      <c r="AS733" s="1222"/>
      <c r="AT733" s="1222"/>
      <c r="AU733" s="1120"/>
      <c r="AV733" s="445"/>
      <c r="AW733" s="607"/>
      <c r="AX733" s="607"/>
      <c r="AY733" s="607"/>
      <c r="AZ733" s="1209"/>
      <c r="BA733" s="1209"/>
    </row>
    <row r="734" spans="2:53" s="256" customFormat="1" ht="24.95" customHeight="1">
      <c r="B734" s="445"/>
      <c r="C734" s="204"/>
      <c r="D734" s="204"/>
      <c r="E734" s="204"/>
      <c r="F734" s="368"/>
      <c r="G734" s="1134"/>
      <c r="H734" s="401"/>
      <c r="I734" s="317"/>
      <c r="N734" s="317"/>
      <c r="O734" s="1135"/>
      <c r="P734" s="1136"/>
      <c r="Q734" s="1137"/>
      <c r="R734" s="1120"/>
      <c r="S734" s="1120"/>
      <c r="T734" s="1120"/>
      <c r="U734" s="1120"/>
      <c r="V734" s="1120"/>
      <c r="W734" s="1120"/>
      <c r="Z734" s="1145"/>
      <c r="AA734" s="1120"/>
      <c r="AB734" s="1120"/>
      <c r="AC734" s="1120"/>
      <c r="AD734" s="1212"/>
      <c r="AE734" s="1212"/>
      <c r="AF734" s="1186"/>
      <c r="AG734" s="1186"/>
      <c r="AH734" s="1222"/>
      <c r="AI734" s="1222"/>
      <c r="AJ734" s="1222"/>
      <c r="AK734" s="1222"/>
      <c r="AL734" s="1222"/>
      <c r="AM734" s="1222"/>
      <c r="AN734" s="1222"/>
      <c r="AO734" s="1222"/>
      <c r="AP734" s="1222"/>
      <c r="AQ734" s="1222"/>
      <c r="AR734" s="1222"/>
      <c r="AS734" s="1222"/>
      <c r="AT734" s="1222"/>
      <c r="AU734" s="1120"/>
      <c r="AV734" s="445"/>
      <c r="AW734" s="607"/>
      <c r="AX734" s="607"/>
      <c r="AY734" s="607"/>
      <c r="AZ734" s="1209"/>
      <c r="BA734" s="1209"/>
    </row>
    <row r="735" spans="2:53" s="256" customFormat="1" ht="24.95" customHeight="1">
      <c r="B735" s="445"/>
      <c r="C735" s="204"/>
      <c r="D735" s="204"/>
      <c r="E735" s="204"/>
      <c r="F735" s="368"/>
      <c r="G735" s="1134"/>
      <c r="H735" s="401"/>
      <c r="I735" s="317"/>
      <c r="N735" s="317"/>
      <c r="O735" s="1135"/>
      <c r="P735" s="1136"/>
      <c r="Q735" s="1137"/>
      <c r="R735" s="1120"/>
      <c r="S735" s="1120"/>
      <c r="T735" s="1120"/>
      <c r="U735" s="1120"/>
      <c r="V735" s="1120"/>
      <c r="W735" s="1120"/>
      <c r="Z735" s="1145"/>
      <c r="AA735" s="1120"/>
      <c r="AB735" s="1120"/>
      <c r="AC735" s="1120"/>
      <c r="AD735" s="1212"/>
      <c r="AE735" s="1212"/>
      <c r="AF735" s="1186"/>
      <c r="AG735" s="1186"/>
      <c r="AH735" s="1222"/>
      <c r="AI735" s="1222"/>
      <c r="AJ735" s="1222"/>
      <c r="AK735" s="1222"/>
      <c r="AL735" s="1222"/>
      <c r="AM735" s="1222"/>
      <c r="AN735" s="1222"/>
      <c r="AO735" s="1222"/>
      <c r="AP735" s="1222"/>
      <c r="AQ735" s="1222"/>
      <c r="AR735" s="1222"/>
      <c r="AS735" s="1222"/>
      <c r="AT735" s="1222"/>
      <c r="AU735" s="1120"/>
      <c r="AV735" s="445"/>
      <c r="AW735" s="607"/>
      <c r="AX735" s="607"/>
      <c r="AY735" s="607"/>
      <c r="AZ735" s="1209"/>
      <c r="BA735" s="1209"/>
    </row>
    <row r="736" spans="2:53" s="256" customFormat="1" ht="24.95" customHeight="1">
      <c r="B736" s="445"/>
      <c r="C736" s="204"/>
      <c r="D736" s="204"/>
      <c r="E736" s="204"/>
      <c r="F736" s="368"/>
      <c r="G736" s="1134"/>
      <c r="H736" s="401"/>
      <c r="I736" s="317"/>
      <c r="N736" s="317"/>
      <c r="O736" s="1135"/>
      <c r="P736" s="1136"/>
      <c r="Q736" s="1137"/>
      <c r="R736" s="1120"/>
      <c r="S736" s="1120"/>
      <c r="T736" s="1120"/>
      <c r="U736" s="1120"/>
      <c r="V736" s="1120"/>
      <c r="W736" s="1120"/>
      <c r="Z736" s="1145"/>
      <c r="AA736" s="1120"/>
      <c r="AB736" s="1120"/>
      <c r="AC736" s="1120"/>
      <c r="AD736" s="1212"/>
      <c r="AE736" s="1212"/>
      <c r="AF736" s="1186"/>
      <c r="AG736" s="1186"/>
      <c r="AH736" s="1222"/>
      <c r="AI736" s="1222"/>
      <c r="AJ736" s="1222"/>
      <c r="AK736" s="1222"/>
      <c r="AL736" s="1222"/>
      <c r="AM736" s="1222"/>
      <c r="AN736" s="1222"/>
      <c r="AO736" s="1222"/>
      <c r="AP736" s="1222"/>
      <c r="AQ736" s="1222"/>
      <c r="AR736" s="1222"/>
      <c r="AS736" s="1222"/>
      <c r="AT736" s="1222"/>
      <c r="AU736" s="1120"/>
      <c r="AV736" s="445"/>
      <c r="AW736" s="607"/>
      <c r="AX736" s="607"/>
      <c r="AY736" s="607"/>
      <c r="AZ736" s="1209"/>
      <c r="BA736" s="1209"/>
    </row>
    <row r="737" spans="2:53" s="256" customFormat="1" ht="24.95" customHeight="1">
      <c r="B737" s="445"/>
      <c r="C737" s="204"/>
      <c r="D737" s="204"/>
      <c r="E737" s="204"/>
      <c r="F737" s="368"/>
      <c r="G737" s="1134"/>
      <c r="H737" s="401"/>
      <c r="I737" s="317"/>
      <c r="N737" s="317"/>
      <c r="O737" s="1135"/>
      <c r="P737" s="1136"/>
      <c r="Q737" s="1137"/>
      <c r="R737" s="1120"/>
      <c r="S737" s="1120"/>
      <c r="T737" s="1120"/>
      <c r="U737" s="1120"/>
      <c r="V737" s="1120"/>
      <c r="W737" s="1120"/>
      <c r="Z737" s="1145"/>
      <c r="AA737" s="1120"/>
      <c r="AB737" s="1120"/>
      <c r="AC737" s="1120"/>
      <c r="AD737" s="1212"/>
      <c r="AE737" s="1212"/>
      <c r="AF737" s="1186"/>
      <c r="AG737" s="1186"/>
      <c r="AH737" s="1222"/>
      <c r="AI737" s="1222"/>
      <c r="AJ737" s="1222"/>
      <c r="AK737" s="1222"/>
      <c r="AL737" s="1222"/>
      <c r="AM737" s="1222"/>
      <c r="AN737" s="1222"/>
      <c r="AO737" s="1222"/>
      <c r="AP737" s="1222"/>
      <c r="AQ737" s="1222"/>
      <c r="AR737" s="1222"/>
      <c r="AS737" s="1222"/>
      <c r="AT737" s="1222"/>
      <c r="AU737" s="1120"/>
      <c r="AV737" s="445"/>
      <c r="AW737" s="607"/>
      <c r="AX737" s="607"/>
      <c r="AY737" s="607"/>
      <c r="AZ737" s="1209"/>
      <c r="BA737" s="1209"/>
    </row>
    <row r="738" spans="2:53" s="256" customFormat="1" ht="24.95" customHeight="1">
      <c r="B738" s="445"/>
      <c r="C738" s="204"/>
      <c r="D738" s="204"/>
      <c r="E738" s="204"/>
      <c r="F738" s="368"/>
      <c r="G738" s="1134"/>
      <c r="H738" s="401"/>
      <c r="I738" s="317"/>
      <c r="N738" s="317"/>
      <c r="O738" s="1135"/>
      <c r="P738" s="1136"/>
      <c r="Q738" s="1137"/>
      <c r="R738" s="1120"/>
      <c r="S738" s="1120"/>
      <c r="T738" s="1120"/>
      <c r="U738" s="1120"/>
      <c r="V738" s="1120"/>
      <c r="W738" s="1120"/>
      <c r="Z738" s="1145"/>
      <c r="AA738" s="1120"/>
      <c r="AB738" s="1120"/>
      <c r="AC738" s="1120"/>
      <c r="AD738" s="1212"/>
      <c r="AE738" s="1212"/>
      <c r="AF738" s="1186"/>
      <c r="AG738" s="1186"/>
      <c r="AH738" s="1222"/>
      <c r="AI738" s="1222"/>
      <c r="AJ738" s="1222"/>
      <c r="AK738" s="1222"/>
      <c r="AL738" s="1222"/>
      <c r="AM738" s="1222"/>
      <c r="AN738" s="1222"/>
      <c r="AO738" s="1222"/>
      <c r="AP738" s="1222"/>
      <c r="AQ738" s="1222"/>
      <c r="AR738" s="1222"/>
      <c r="AS738" s="1222"/>
      <c r="AT738" s="1222"/>
      <c r="AU738" s="1120"/>
      <c r="AV738" s="445"/>
      <c r="AW738" s="607"/>
      <c r="AX738" s="607"/>
      <c r="AY738" s="607"/>
      <c r="AZ738" s="1209"/>
      <c r="BA738" s="1209"/>
    </row>
    <row r="739" spans="2:53" s="256" customFormat="1" ht="24.95" customHeight="1">
      <c r="B739" s="445"/>
      <c r="C739" s="204"/>
      <c r="D739" s="204"/>
      <c r="E739" s="204"/>
      <c r="F739" s="368"/>
      <c r="G739" s="1134"/>
      <c r="H739" s="401"/>
      <c r="I739" s="317"/>
      <c r="N739" s="317"/>
      <c r="O739" s="1135"/>
      <c r="P739" s="1136"/>
      <c r="Q739" s="1137"/>
      <c r="R739" s="1120"/>
      <c r="S739" s="1120"/>
      <c r="T739" s="1120"/>
      <c r="U739" s="1120"/>
      <c r="V739" s="1120"/>
      <c r="W739" s="1120"/>
      <c r="Z739" s="1145"/>
      <c r="AA739" s="1120"/>
      <c r="AB739" s="1120"/>
      <c r="AC739" s="1120"/>
      <c r="AD739" s="1212"/>
      <c r="AE739" s="1212"/>
      <c r="AF739" s="1186"/>
      <c r="AG739" s="1186"/>
      <c r="AH739" s="1222"/>
      <c r="AI739" s="1222"/>
      <c r="AJ739" s="1222"/>
      <c r="AK739" s="1222"/>
      <c r="AL739" s="1222"/>
      <c r="AM739" s="1222"/>
      <c r="AN739" s="1222"/>
      <c r="AO739" s="1222"/>
      <c r="AP739" s="1222"/>
      <c r="AQ739" s="1222"/>
      <c r="AR739" s="1222"/>
      <c r="AS739" s="1222"/>
      <c r="AT739" s="1222"/>
      <c r="AU739" s="1120"/>
      <c r="AV739" s="445"/>
      <c r="AW739" s="607"/>
      <c r="AX739" s="607"/>
      <c r="AY739" s="607"/>
      <c r="AZ739" s="1209"/>
      <c r="BA739" s="1209"/>
    </row>
    <row r="740" spans="2:53" s="256" customFormat="1" ht="24.95" customHeight="1">
      <c r="B740" s="445"/>
      <c r="C740" s="204"/>
      <c r="D740" s="204"/>
      <c r="E740" s="204"/>
      <c r="F740" s="368"/>
      <c r="G740" s="1134"/>
      <c r="H740" s="401"/>
      <c r="I740" s="317"/>
      <c r="N740" s="317"/>
      <c r="O740" s="1135"/>
      <c r="P740" s="1136"/>
      <c r="Q740" s="1137"/>
      <c r="R740" s="1120"/>
      <c r="S740" s="1120"/>
      <c r="T740" s="1120"/>
      <c r="U740" s="1120"/>
      <c r="V740" s="1120"/>
      <c r="W740" s="1120"/>
      <c r="Z740" s="1145"/>
      <c r="AA740" s="1120"/>
      <c r="AB740" s="1120"/>
      <c r="AC740" s="1120"/>
      <c r="AD740" s="1212"/>
      <c r="AE740" s="1212"/>
      <c r="AF740" s="1186"/>
      <c r="AG740" s="1186"/>
      <c r="AH740" s="1222"/>
      <c r="AI740" s="1222"/>
      <c r="AJ740" s="1222"/>
      <c r="AK740" s="1222"/>
      <c r="AL740" s="1222"/>
      <c r="AM740" s="1222"/>
      <c r="AN740" s="1222"/>
      <c r="AO740" s="1222"/>
      <c r="AP740" s="1222"/>
      <c r="AQ740" s="1222"/>
      <c r="AR740" s="1222"/>
      <c r="AS740" s="1222"/>
      <c r="AT740" s="1222"/>
      <c r="AU740" s="1120"/>
      <c r="AV740" s="445"/>
      <c r="AW740" s="607"/>
      <c r="AX740" s="607"/>
      <c r="AY740" s="607"/>
      <c r="AZ740" s="1209"/>
      <c r="BA740" s="1209"/>
    </row>
    <row r="741" spans="2:53" s="256" customFormat="1" ht="24.95" customHeight="1">
      <c r="B741" s="445"/>
      <c r="C741" s="204"/>
      <c r="D741" s="204"/>
      <c r="E741" s="204"/>
      <c r="F741" s="368"/>
      <c r="G741" s="1134"/>
      <c r="H741" s="401"/>
      <c r="I741" s="317"/>
      <c r="N741" s="317"/>
      <c r="O741" s="1135"/>
      <c r="P741" s="1136"/>
      <c r="Q741" s="1137"/>
      <c r="R741" s="1120"/>
      <c r="S741" s="1120"/>
      <c r="T741" s="1120"/>
      <c r="U741" s="1120"/>
      <c r="V741" s="1120"/>
      <c r="W741" s="1120"/>
      <c r="Z741" s="1145"/>
      <c r="AA741" s="1120"/>
      <c r="AB741" s="1120"/>
      <c r="AC741" s="1120"/>
      <c r="AD741" s="1212"/>
      <c r="AE741" s="1212"/>
      <c r="AF741" s="1186"/>
      <c r="AG741" s="1186"/>
      <c r="AH741" s="1222"/>
      <c r="AI741" s="1222"/>
      <c r="AJ741" s="1222"/>
      <c r="AK741" s="1222"/>
      <c r="AL741" s="1222"/>
      <c r="AM741" s="1222"/>
      <c r="AN741" s="1222"/>
      <c r="AO741" s="1222"/>
      <c r="AP741" s="1222"/>
      <c r="AQ741" s="1222"/>
      <c r="AR741" s="1222"/>
      <c r="AS741" s="1222"/>
      <c r="AT741" s="1222"/>
      <c r="AU741" s="1120"/>
      <c r="AV741" s="445"/>
      <c r="AW741" s="607"/>
      <c r="AX741" s="607"/>
      <c r="AY741" s="607"/>
      <c r="AZ741" s="1209"/>
      <c r="BA741" s="1209"/>
    </row>
    <row r="742" spans="2:53" s="256" customFormat="1" ht="24.95" customHeight="1">
      <c r="B742" s="445"/>
      <c r="C742" s="204"/>
      <c r="D742" s="204"/>
      <c r="E742" s="204"/>
      <c r="F742" s="368"/>
      <c r="G742" s="1134"/>
      <c r="H742" s="401"/>
      <c r="I742" s="317"/>
      <c r="N742" s="317"/>
      <c r="O742" s="1135"/>
      <c r="P742" s="1136"/>
      <c r="Q742" s="1137"/>
      <c r="R742" s="1120"/>
      <c r="S742" s="1120"/>
      <c r="T742" s="1120"/>
      <c r="U742" s="1120"/>
      <c r="V742" s="1120"/>
      <c r="W742" s="1120"/>
      <c r="Z742" s="1145"/>
      <c r="AA742" s="1120"/>
      <c r="AB742" s="1120"/>
      <c r="AC742" s="1120"/>
      <c r="AD742" s="1212"/>
      <c r="AE742" s="1212"/>
      <c r="AF742" s="1186"/>
      <c r="AG742" s="1186"/>
      <c r="AH742" s="1222"/>
      <c r="AI742" s="1222"/>
      <c r="AJ742" s="1222"/>
      <c r="AK742" s="1222"/>
      <c r="AL742" s="1222"/>
      <c r="AM742" s="1222"/>
      <c r="AN742" s="1222"/>
      <c r="AO742" s="1222"/>
      <c r="AP742" s="1222"/>
      <c r="AQ742" s="1222"/>
      <c r="AR742" s="1222"/>
      <c r="AS742" s="1222"/>
      <c r="AT742" s="1222"/>
      <c r="AU742" s="1120"/>
      <c r="AV742" s="445"/>
      <c r="AW742" s="607"/>
      <c r="AX742" s="607"/>
      <c r="AY742" s="607"/>
      <c r="AZ742" s="1209"/>
      <c r="BA742" s="1209"/>
    </row>
    <row r="743" spans="2:53" s="256" customFormat="1" ht="24.95" customHeight="1">
      <c r="B743" s="445"/>
      <c r="C743" s="204"/>
      <c r="D743" s="204"/>
      <c r="E743" s="204"/>
      <c r="F743" s="368"/>
      <c r="G743" s="1134"/>
      <c r="H743" s="401"/>
      <c r="I743" s="317"/>
      <c r="N743" s="317"/>
      <c r="O743" s="1135"/>
      <c r="P743" s="1136"/>
      <c r="Q743" s="1137"/>
      <c r="R743" s="1120"/>
      <c r="S743" s="1120"/>
      <c r="T743" s="1120"/>
      <c r="U743" s="1120"/>
      <c r="V743" s="1120"/>
      <c r="W743" s="1120"/>
      <c r="Z743" s="1145"/>
      <c r="AA743" s="1120"/>
      <c r="AB743" s="1120"/>
      <c r="AC743" s="1120"/>
      <c r="AD743" s="1212"/>
      <c r="AE743" s="1212"/>
      <c r="AF743" s="1186"/>
      <c r="AG743" s="1186"/>
      <c r="AH743" s="1222"/>
      <c r="AI743" s="1222"/>
      <c r="AJ743" s="1222"/>
      <c r="AK743" s="1222"/>
      <c r="AL743" s="1222"/>
      <c r="AM743" s="1222"/>
      <c r="AN743" s="1222"/>
      <c r="AO743" s="1222"/>
      <c r="AP743" s="1222"/>
      <c r="AQ743" s="1222"/>
      <c r="AR743" s="1222"/>
      <c r="AS743" s="1222"/>
      <c r="AT743" s="1222"/>
      <c r="AU743" s="1120"/>
      <c r="AV743" s="445"/>
      <c r="AW743" s="607"/>
      <c r="AX743" s="607"/>
      <c r="AY743" s="607"/>
      <c r="AZ743" s="1209"/>
      <c r="BA743" s="1209"/>
    </row>
    <row r="744" spans="2:53" s="256" customFormat="1" ht="24.95" customHeight="1">
      <c r="B744" s="445"/>
      <c r="C744" s="204"/>
      <c r="D744" s="204"/>
      <c r="E744" s="204"/>
      <c r="F744" s="368"/>
      <c r="G744" s="1134"/>
      <c r="H744" s="401"/>
      <c r="I744" s="317"/>
      <c r="N744" s="317"/>
      <c r="O744" s="1135"/>
      <c r="P744" s="1136"/>
      <c r="Q744" s="1137"/>
      <c r="R744" s="1120"/>
      <c r="S744" s="1120"/>
      <c r="T744" s="1120"/>
      <c r="U744" s="1120"/>
      <c r="V744" s="1120"/>
      <c r="W744" s="1120"/>
      <c r="Z744" s="1145"/>
      <c r="AA744" s="1120"/>
      <c r="AB744" s="1120"/>
      <c r="AC744" s="1120"/>
      <c r="AD744" s="1212"/>
      <c r="AE744" s="1212"/>
      <c r="AF744" s="1186"/>
      <c r="AG744" s="1186"/>
      <c r="AH744" s="1222"/>
      <c r="AI744" s="1222"/>
      <c r="AJ744" s="1222"/>
      <c r="AK744" s="1222"/>
      <c r="AL744" s="1222"/>
      <c r="AM744" s="1222"/>
      <c r="AN744" s="1222"/>
      <c r="AO744" s="1222"/>
      <c r="AP744" s="1222"/>
      <c r="AQ744" s="1222"/>
      <c r="AR744" s="1222"/>
      <c r="AS744" s="1222"/>
      <c r="AT744" s="1222"/>
      <c r="AU744" s="1120"/>
      <c r="AV744" s="445"/>
      <c r="AW744" s="607"/>
      <c r="AX744" s="607"/>
      <c r="AY744" s="607"/>
      <c r="AZ744" s="1209"/>
      <c r="BA744" s="1209"/>
    </row>
    <row r="745" spans="2:53" s="256" customFormat="1" ht="24.95" customHeight="1">
      <c r="B745" s="445"/>
      <c r="C745" s="204"/>
      <c r="D745" s="204"/>
      <c r="E745" s="204"/>
      <c r="F745" s="368"/>
      <c r="G745" s="1134"/>
      <c r="H745" s="401"/>
      <c r="I745" s="317"/>
      <c r="N745" s="317"/>
      <c r="O745" s="1135"/>
      <c r="P745" s="1136"/>
      <c r="Q745" s="1137"/>
      <c r="R745" s="1120"/>
      <c r="S745" s="1120"/>
      <c r="T745" s="1120"/>
      <c r="U745" s="1120"/>
      <c r="V745" s="1120"/>
      <c r="W745" s="1120"/>
      <c r="Z745" s="1145"/>
      <c r="AA745" s="1120"/>
      <c r="AB745" s="1120"/>
      <c r="AC745" s="1120"/>
      <c r="AD745" s="1212"/>
      <c r="AE745" s="1212"/>
      <c r="AF745" s="1186"/>
      <c r="AG745" s="1186"/>
      <c r="AH745" s="1222"/>
      <c r="AI745" s="1222"/>
      <c r="AJ745" s="1222"/>
      <c r="AK745" s="1222"/>
      <c r="AL745" s="1222"/>
      <c r="AM745" s="1222"/>
      <c r="AN745" s="1222"/>
      <c r="AO745" s="1222"/>
      <c r="AP745" s="1222"/>
      <c r="AQ745" s="1222"/>
      <c r="AR745" s="1222"/>
      <c r="AS745" s="1222"/>
      <c r="AT745" s="1222"/>
      <c r="AU745" s="1120"/>
      <c r="AV745" s="445"/>
      <c r="AW745" s="607"/>
      <c r="AX745" s="607"/>
      <c r="AY745" s="607"/>
      <c r="AZ745" s="1209"/>
      <c r="BA745" s="1209"/>
    </row>
    <row r="746" spans="2:53" s="256" customFormat="1" ht="24.95" customHeight="1">
      <c r="B746" s="445"/>
      <c r="C746" s="204"/>
      <c r="D746" s="204"/>
      <c r="E746" s="204"/>
      <c r="F746" s="368"/>
      <c r="G746" s="1134"/>
      <c r="H746" s="401"/>
      <c r="I746" s="317"/>
      <c r="N746" s="317"/>
      <c r="O746" s="1135"/>
      <c r="P746" s="1136"/>
      <c r="Q746" s="1137"/>
      <c r="R746" s="1120"/>
      <c r="S746" s="1120"/>
      <c r="T746" s="1120"/>
      <c r="U746" s="1120"/>
      <c r="V746" s="1120"/>
      <c r="W746" s="1120"/>
      <c r="Z746" s="1145"/>
      <c r="AA746" s="1120"/>
      <c r="AB746" s="1120"/>
      <c r="AC746" s="1120"/>
      <c r="AD746" s="1212"/>
      <c r="AE746" s="1212"/>
      <c r="AF746" s="1186"/>
      <c r="AG746" s="1186"/>
      <c r="AH746" s="1222"/>
      <c r="AI746" s="1222"/>
      <c r="AJ746" s="1222"/>
      <c r="AK746" s="1222"/>
      <c r="AL746" s="1222"/>
      <c r="AM746" s="1222"/>
      <c r="AN746" s="1222"/>
      <c r="AO746" s="1222"/>
      <c r="AP746" s="1222"/>
      <c r="AQ746" s="1222"/>
      <c r="AR746" s="1222"/>
      <c r="AS746" s="1222"/>
      <c r="AT746" s="1222"/>
      <c r="AU746" s="1120"/>
      <c r="AV746" s="445"/>
      <c r="AW746" s="607"/>
      <c r="AX746" s="607"/>
      <c r="AY746" s="607"/>
      <c r="AZ746" s="1209"/>
      <c r="BA746" s="1209"/>
    </row>
    <row r="747" spans="2:53" s="256" customFormat="1" ht="24.95" customHeight="1">
      <c r="B747" s="445"/>
      <c r="C747" s="204"/>
      <c r="D747" s="204"/>
      <c r="E747" s="204"/>
      <c r="F747" s="368"/>
      <c r="G747" s="1134"/>
      <c r="H747" s="401"/>
      <c r="I747" s="317"/>
      <c r="N747" s="317"/>
      <c r="O747" s="1135"/>
      <c r="P747" s="1136"/>
      <c r="Q747" s="1137"/>
      <c r="R747" s="1120"/>
      <c r="S747" s="1120"/>
      <c r="T747" s="1120"/>
      <c r="U747" s="1120"/>
      <c r="V747" s="1120"/>
      <c r="W747" s="1120"/>
      <c r="Z747" s="1145"/>
      <c r="AA747" s="1120"/>
      <c r="AB747" s="1120"/>
      <c r="AC747" s="1120"/>
      <c r="AD747" s="1212"/>
      <c r="AE747" s="1212"/>
      <c r="AF747" s="1186"/>
      <c r="AG747" s="1186"/>
      <c r="AH747" s="1222"/>
      <c r="AI747" s="1222"/>
      <c r="AJ747" s="1222"/>
      <c r="AK747" s="1222"/>
      <c r="AL747" s="1222"/>
      <c r="AM747" s="1222"/>
      <c r="AN747" s="1222"/>
      <c r="AO747" s="1222"/>
      <c r="AP747" s="1222"/>
      <c r="AQ747" s="1222"/>
      <c r="AR747" s="1222"/>
      <c r="AS747" s="1222"/>
      <c r="AT747" s="1222"/>
      <c r="AU747" s="1120"/>
      <c r="AV747" s="445"/>
      <c r="AW747" s="607"/>
      <c r="AX747" s="607"/>
      <c r="AY747" s="607"/>
      <c r="AZ747" s="1209"/>
      <c r="BA747" s="1209"/>
    </row>
    <row r="748" spans="2:53" s="256" customFormat="1" ht="24.95" customHeight="1">
      <c r="B748" s="445"/>
      <c r="C748" s="204"/>
      <c r="D748" s="204"/>
      <c r="E748" s="204"/>
      <c r="F748" s="368"/>
      <c r="G748" s="1134"/>
      <c r="H748" s="401"/>
      <c r="I748" s="317"/>
      <c r="N748" s="317"/>
      <c r="O748" s="1135"/>
      <c r="P748" s="1136"/>
      <c r="Q748" s="1137"/>
      <c r="R748" s="1120"/>
      <c r="S748" s="1120"/>
      <c r="T748" s="1120"/>
      <c r="U748" s="1120"/>
      <c r="V748" s="1120"/>
      <c r="W748" s="1120"/>
      <c r="Z748" s="1145"/>
      <c r="AA748" s="1120"/>
      <c r="AB748" s="1120"/>
      <c r="AC748" s="1120"/>
      <c r="AD748" s="1212"/>
      <c r="AE748" s="1212"/>
      <c r="AF748" s="1186"/>
      <c r="AG748" s="1186"/>
      <c r="AH748" s="1222"/>
      <c r="AI748" s="1222"/>
      <c r="AJ748" s="1222"/>
      <c r="AK748" s="1222"/>
      <c r="AL748" s="1222"/>
      <c r="AM748" s="1222"/>
      <c r="AN748" s="1222"/>
      <c r="AO748" s="1222"/>
      <c r="AP748" s="1222"/>
      <c r="AQ748" s="1222"/>
      <c r="AR748" s="1222"/>
      <c r="AS748" s="1222"/>
      <c r="AT748" s="1222"/>
      <c r="AU748" s="1120"/>
      <c r="AV748" s="445"/>
      <c r="AW748" s="607"/>
      <c r="AX748" s="607"/>
      <c r="AY748" s="607"/>
      <c r="AZ748" s="1209"/>
      <c r="BA748" s="1209"/>
    </row>
    <row r="749" spans="2:53" s="256" customFormat="1" ht="24.95" customHeight="1">
      <c r="B749" s="445"/>
      <c r="C749" s="204"/>
      <c r="D749" s="204"/>
      <c r="E749" s="204"/>
      <c r="F749" s="368"/>
      <c r="G749" s="1134"/>
      <c r="H749" s="401"/>
      <c r="I749" s="317"/>
      <c r="N749" s="317"/>
      <c r="O749" s="1135"/>
      <c r="P749" s="1136"/>
      <c r="Q749" s="1137"/>
      <c r="R749" s="1120"/>
      <c r="S749" s="1120"/>
      <c r="T749" s="1120"/>
      <c r="U749" s="1120"/>
      <c r="V749" s="1120"/>
      <c r="W749" s="1120"/>
      <c r="Z749" s="1145"/>
      <c r="AA749" s="1120"/>
      <c r="AB749" s="1120"/>
      <c r="AC749" s="1120"/>
      <c r="AD749" s="1212"/>
      <c r="AE749" s="1212"/>
      <c r="AF749" s="1186"/>
      <c r="AG749" s="1186"/>
      <c r="AH749" s="1222"/>
      <c r="AI749" s="1222"/>
      <c r="AJ749" s="1222"/>
      <c r="AK749" s="1222"/>
      <c r="AL749" s="1222"/>
      <c r="AM749" s="1222"/>
      <c r="AN749" s="1222"/>
      <c r="AO749" s="1222"/>
      <c r="AP749" s="1222"/>
      <c r="AQ749" s="1222"/>
      <c r="AR749" s="1222"/>
      <c r="AS749" s="1222"/>
      <c r="AT749" s="1222"/>
      <c r="AU749" s="1120"/>
      <c r="AV749" s="445"/>
      <c r="AW749" s="607"/>
      <c r="AX749" s="607"/>
      <c r="AY749" s="607"/>
      <c r="AZ749" s="1209"/>
      <c r="BA749" s="1209"/>
    </row>
    <row r="750" spans="2:53" s="256" customFormat="1" ht="24.95" customHeight="1">
      <c r="B750" s="445"/>
      <c r="C750" s="204"/>
      <c r="D750" s="204"/>
      <c r="E750" s="204"/>
      <c r="F750" s="368"/>
      <c r="G750" s="1134"/>
      <c r="H750" s="401"/>
      <c r="I750" s="317"/>
      <c r="N750" s="317"/>
      <c r="O750" s="1135"/>
      <c r="P750" s="1136"/>
      <c r="Q750" s="1137"/>
      <c r="R750" s="1120"/>
      <c r="S750" s="1120"/>
      <c r="T750" s="1120"/>
      <c r="U750" s="1120"/>
      <c r="V750" s="1120"/>
      <c r="W750" s="1120"/>
      <c r="Z750" s="1145"/>
      <c r="AA750" s="1120"/>
      <c r="AB750" s="1120"/>
      <c r="AC750" s="1120"/>
      <c r="AD750" s="1212"/>
      <c r="AE750" s="1212"/>
      <c r="AF750" s="1186"/>
      <c r="AG750" s="1186"/>
      <c r="AH750" s="1222"/>
      <c r="AI750" s="1222"/>
      <c r="AJ750" s="1222"/>
      <c r="AK750" s="1222"/>
      <c r="AL750" s="1222"/>
      <c r="AM750" s="1222"/>
      <c r="AN750" s="1222"/>
      <c r="AO750" s="1222"/>
      <c r="AP750" s="1222"/>
      <c r="AQ750" s="1222"/>
      <c r="AR750" s="1222"/>
      <c r="AS750" s="1222"/>
      <c r="AT750" s="1222"/>
      <c r="AU750" s="1120"/>
      <c r="AV750" s="445"/>
      <c r="AW750" s="607"/>
      <c r="AX750" s="607"/>
      <c r="AY750" s="607"/>
      <c r="AZ750" s="1209"/>
      <c r="BA750" s="1209"/>
    </row>
    <row r="751" spans="2:53" s="256" customFormat="1" ht="24.95" customHeight="1">
      <c r="B751" s="445"/>
      <c r="C751" s="204"/>
      <c r="D751" s="204"/>
      <c r="E751" s="204"/>
      <c r="F751" s="368"/>
      <c r="G751" s="1134"/>
      <c r="H751" s="401"/>
      <c r="I751" s="317"/>
      <c r="N751" s="317"/>
      <c r="O751" s="1135"/>
      <c r="P751" s="1136"/>
      <c r="Q751" s="1137"/>
      <c r="R751" s="1120"/>
      <c r="S751" s="1120"/>
      <c r="T751" s="1120"/>
      <c r="U751" s="1120"/>
      <c r="V751" s="1120"/>
      <c r="W751" s="1120"/>
      <c r="Z751" s="1145"/>
      <c r="AA751" s="1120"/>
      <c r="AB751" s="1120"/>
      <c r="AC751" s="1120"/>
      <c r="AD751" s="1212"/>
      <c r="AE751" s="1212"/>
      <c r="AF751" s="1186"/>
      <c r="AG751" s="1186"/>
      <c r="AH751" s="1222"/>
      <c r="AI751" s="1222"/>
      <c r="AJ751" s="1222"/>
      <c r="AK751" s="1222"/>
      <c r="AL751" s="1222"/>
      <c r="AM751" s="1222"/>
      <c r="AN751" s="1222"/>
      <c r="AO751" s="1222"/>
      <c r="AP751" s="1222"/>
      <c r="AQ751" s="1222"/>
      <c r="AR751" s="1222"/>
      <c r="AS751" s="1222"/>
      <c r="AT751" s="1222"/>
      <c r="AU751" s="1120"/>
      <c r="AV751" s="445"/>
      <c r="AW751" s="607"/>
      <c r="AX751" s="607"/>
      <c r="AY751" s="607"/>
      <c r="AZ751" s="1209"/>
      <c r="BA751" s="1209"/>
    </row>
    <row r="752" spans="2:53" s="256" customFormat="1" ht="24.95" customHeight="1">
      <c r="B752" s="445"/>
      <c r="C752" s="204"/>
      <c r="D752" s="204"/>
      <c r="E752" s="204"/>
      <c r="F752" s="368"/>
      <c r="G752" s="1134"/>
      <c r="H752" s="401"/>
      <c r="I752" s="317"/>
      <c r="N752" s="317"/>
      <c r="O752" s="1135"/>
      <c r="P752" s="1136"/>
      <c r="Q752" s="1137"/>
      <c r="R752" s="1120"/>
      <c r="S752" s="1120"/>
      <c r="T752" s="1120"/>
      <c r="U752" s="1120"/>
      <c r="V752" s="1120"/>
      <c r="W752" s="1120"/>
      <c r="Z752" s="1145"/>
      <c r="AA752" s="1120"/>
      <c r="AB752" s="1120"/>
      <c r="AC752" s="1120"/>
      <c r="AD752" s="1212"/>
      <c r="AE752" s="1212"/>
      <c r="AF752" s="1186"/>
      <c r="AG752" s="1186"/>
      <c r="AH752" s="1222"/>
      <c r="AI752" s="1222"/>
      <c r="AJ752" s="1222"/>
      <c r="AK752" s="1222"/>
      <c r="AL752" s="1222"/>
      <c r="AM752" s="1222"/>
      <c r="AN752" s="1222"/>
      <c r="AO752" s="1222"/>
      <c r="AP752" s="1222"/>
      <c r="AQ752" s="1222"/>
      <c r="AR752" s="1222"/>
      <c r="AS752" s="1222"/>
      <c r="AT752" s="1222"/>
      <c r="AU752" s="1120"/>
      <c r="AV752" s="445"/>
      <c r="AW752" s="607"/>
      <c r="AX752" s="607"/>
      <c r="AY752" s="607"/>
      <c r="AZ752" s="1209"/>
      <c r="BA752" s="1209"/>
    </row>
    <row r="753" spans="2:53" s="256" customFormat="1" ht="24.95" customHeight="1">
      <c r="B753" s="445"/>
      <c r="C753" s="204"/>
      <c r="D753" s="204"/>
      <c r="E753" s="204"/>
      <c r="F753" s="368"/>
      <c r="G753" s="1134"/>
      <c r="H753" s="401"/>
      <c r="I753" s="317"/>
      <c r="N753" s="317"/>
      <c r="O753" s="1135"/>
      <c r="P753" s="1136"/>
      <c r="Q753" s="1137"/>
      <c r="R753" s="1120"/>
      <c r="S753" s="1120"/>
      <c r="T753" s="1120"/>
      <c r="U753" s="1120"/>
      <c r="V753" s="1120"/>
      <c r="W753" s="1120"/>
      <c r="Z753" s="1145"/>
      <c r="AA753" s="1120"/>
      <c r="AB753" s="1120"/>
      <c r="AC753" s="1120"/>
      <c r="AD753" s="1212"/>
      <c r="AE753" s="1212"/>
      <c r="AF753" s="1186"/>
      <c r="AG753" s="1186"/>
      <c r="AH753" s="1222"/>
      <c r="AI753" s="1222"/>
      <c r="AJ753" s="1222"/>
      <c r="AK753" s="1222"/>
      <c r="AL753" s="1222"/>
      <c r="AM753" s="1222"/>
      <c r="AN753" s="1222"/>
      <c r="AO753" s="1222"/>
      <c r="AP753" s="1222"/>
      <c r="AQ753" s="1222"/>
      <c r="AR753" s="1222"/>
      <c r="AS753" s="1222"/>
      <c r="AT753" s="1222"/>
      <c r="AU753" s="1120"/>
      <c r="AV753" s="445"/>
      <c r="AW753" s="607"/>
      <c r="AX753" s="607"/>
      <c r="AY753" s="607"/>
      <c r="AZ753" s="1209"/>
      <c r="BA753" s="1209"/>
    </row>
    <row r="754" spans="2:53" s="256" customFormat="1" ht="24.95" customHeight="1">
      <c r="B754" s="445"/>
      <c r="C754" s="204"/>
      <c r="D754" s="204"/>
      <c r="E754" s="204"/>
      <c r="F754" s="368"/>
      <c r="G754" s="1134"/>
      <c r="H754" s="401"/>
      <c r="I754" s="317"/>
      <c r="N754" s="317"/>
      <c r="O754" s="1135"/>
      <c r="P754" s="1136"/>
      <c r="Q754" s="1137"/>
      <c r="R754" s="1120"/>
      <c r="S754" s="1120"/>
      <c r="T754" s="1120"/>
      <c r="U754" s="1120"/>
      <c r="V754" s="1120"/>
      <c r="W754" s="1120"/>
      <c r="Z754" s="1145"/>
      <c r="AA754" s="1120"/>
      <c r="AB754" s="1120"/>
      <c r="AC754" s="1120"/>
      <c r="AD754" s="1212"/>
      <c r="AE754" s="1212"/>
      <c r="AF754" s="1186"/>
      <c r="AG754" s="1186"/>
      <c r="AH754" s="1222"/>
      <c r="AI754" s="1222"/>
      <c r="AJ754" s="1222"/>
      <c r="AK754" s="1222"/>
      <c r="AL754" s="1222"/>
      <c r="AM754" s="1222"/>
      <c r="AN754" s="1222"/>
      <c r="AO754" s="1222"/>
      <c r="AP754" s="1222"/>
      <c r="AQ754" s="1222"/>
      <c r="AR754" s="1222"/>
      <c r="AS754" s="1222"/>
      <c r="AT754" s="1222"/>
      <c r="AU754" s="1120"/>
      <c r="AV754" s="445"/>
      <c r="AW754" s="607"/>
      <c r="AX754" s="607"/>
      <c r="AY754" s="607"/>
      <c r="AZ754" s="1209"/>
      <c r="BA754" s="1209"/>
    </row>
    <row r="755" spans="2:53" s="256" customFormat="1" ht="24.95" customHeight="1">
      <c r="B755" s="445"/>
      <c r="C755" s="204"/>
      <c r="D755" s="204"/>
      <c r="E755" s="204"/>
      <c r="F755" s="368"/>
      <c r="G755" s="1134"/>
      <c r="H755" s="401"/>
      <c r="I755" s="317"/>
      <c r="N755" s="317"/>
      <c r="O755" s="1135"/>
      <c r="P755" s="1136"/>
      <c r="Q755" s="1137"/>
      <c r="R755" s="1120"/>
      <c r="S755" s="1120"/>
      <c r="T755" s="1120"/>
      <c r="U755" s="1120"/>
      <c r="V755" s="1120"/>
      <c r="W755" s="1120"/>
      <c r="Z755" s="1145"/>
      <c r="AA755" s="1120"/>
      <c r="AB755" s="1120"/>
      <c r="AC755" s="1120"/>
      <c r="AD755" s="1212"/>
      <c r="AE755" s="1212"/>
      <c r="AF755" s="1186"/>
      <c r="AG755" s="1186"/>
      <c r="AH755" s="1222"/>
      <c r="AI755" s="1222"/>
      <c r="AJ755" s="1222"/>
      <c r="AK755" s="1222"/>
      <c r="AL755" s="1222"/>
      <c r="AM755" s="1222"/>
      <c r="AN755" s="1222"/>
      <c r="AO755" s="1222"/>
      <c r="AP755" s="1222"/>
      <c r="AQ755" s="1222"/>
      <c r="AR755" s="1222"/>
      <c r="AS755" s="1222"/>
      <c r="AT755" s="1222"/>
      <c r="AU755" s="1120"/>
      <c r="AV755" s="445"/>
      <c r="AW755" s="607"/>
      <c r="AX755" s="607"/>
      <c r="AY755" s="607"/>
      <c r="AZ755" s="1209"/>
      <c r="BA755" s="1209"/>
    </row>
    <row r="756" spans="2:53" s="256" customFormat="1" ht="24.95" customHeight="1">
      <c r="B756" s="445"/>
      <c r="C756" s="204"/>
      <c r="D756" s="204"/>
      <c r="E756" s="204"/>
      <c r="F756" s="368"/>
      <c r="G756" s="1134"/>
      <c r="H756" s="401"/>
      <c r="I756" s="317"/>
      <c r="N756" s="317"/>
      <c r="O756" s="1135"/>
      <c r="P756" s="1136"/>
      <c r="Q756" s="1137"/>
      <c r="R756" s="1120"/>
      <c r="S756" s="1120"/>
      <c r="T756" s="1120"/>
      <c r="U756" s="1120"/>
      <c r="V756" s="1120"/>
      <c r="W756" s="1120"/>
      <c r="Z756" s="1145"/>
      <c r="AA756" s="1120"/>
      <c r="AB756" s="1120"/>
      <c r="AC756" s="1120"/>
      <c r="AD756" s="1212"/>
      <c r="AE756" s="1212"/>
      <c r="AF756" s="1186"/>
      <c r="AG756" s="1186"/>
      <c r="AH756" s="1222"/>
      <c r="AI756" s="1222"/>
      <c r="AJ756" s="1222"/>
      <c r="AK756" s="1222"/>
      <c r="AL756" s="1222"/>
      <c r="AM756" s="1222"/>
      <c r="AN756" s="1222"/>
      <c r="AO756" s="1222"/>
      <c r="AP756" s="1222"/>
      <c r="AQ756" s="1222"/>
      <c r="AR756" s="1222"/>
      <c r="AS756" s="1222"/>
      <c r="AT756" s="1222"/>
      <c r="AU756" s="1120"/>
      <c r="AV756" s="445"/>
      <c r="AW756" s="607"/>
      <c r="AX756" s="607"/>
      <c r="AY756" s="607"/>
      <c r="AZ756" s="1209"/>
      <c r="BA756" s="1209"/>
    </row>
    <row r="757" spans="2:53" s="256" customFormat="1" ht="24.95" customHeight="1">
      <c r="B757" s="445"/>
      <c r="C757" s="204"/>
      <c r="D757" s="204"/>
      <c r="E757" s="204"/>
      <c r="F757" s="368"/>
      <c r="G757" s="1134"/>
      <c r="H757" s="401"/>
      <c r="I757" s="317"/>
      <c r="N757" s="317"/>
      <c r="O757" s="1135"/>
      <c r="P757" s="1136"/>
      <c r="Q757" s="1137"/>
      <c r="R757" s="1120"/>
      <c r="S757" s="1120"/>
      <c r="T757" s="1120"/>
      <c r="U757" s="1120"/>
      <c r="V757" s="1120"/>
      <c r="W757" s="1120"/>
      <c r="Z757" s="1145"/>
      <c r="AA757" s="1120"/>
      <c r="AB757" s="1120"/>
      <c r="AC757" s="1120"/>
      <c r="AD757" s="1212"/>
      <c r="AE757" s="1212"/>
      <c r="AF757" s="1186"/>
      <c r="AG757" s="1186"/>
      <c r="AH757" s="1222"/>
      <c r="AI757" s="1222"/>
      <c r="AJ757" s="1222"/>
      <c r="AK757" s="1222"/>
      <c r="AL757" s="1222"/>
      <c r="AM757" s="1222"/>
      <c r="AN757" s="1222"/>
      <c r="AO757" s="1222"/>
      <c r="AP757" s="1222"/>
      <c r="AQ757" s="1222"/>
      <c r="AR757" s="1222"/>
      <c r="AS757" s="1222"/>
      <c r="AT757" s="1222"/>
      <c r="AU757" s="1120"/>
      <c r="AV757" s="445"/>
      <c r="AW757" s="607"/>
      <c r="AX757" s="607"/>
      <c r="AY757" s="607"/>
      <c r="AZ757" s="1209"/>
      <c r="BA757" s="1209"/>
    </row>
    <row r="758" spans="2:53" s="256" customFormat="1" ht="24.95" customHeight="1">
      <c r="B758" s="445"/>
      <c r="C758" s="204"/>
      <c r="D758" s="204"/>
      <c r="E758" s="204"/>
      <c r="F758" s="368"/>
      <c r="G758" s="1134"/>
      <c r="H758" s="401"/>
      <c r="I758" s="317"/>
      <c r="N758" s="317"/>
      <c r="O758" s="1135"/>
      <c r="P758" s="1136"/>
      <c r="Q758" s="1137"/>
      <c r="R758" s="1120"/>
      <c r="S758" s="1120"/>
      <c r="T758" s="1120"/>
      <c r="U758" s="1120"/>
      <c r="V758" s="1120"/>
      <c r="W758" s="1120"/>
      <c r="Z758" s="1145"/>
      <c r="AA758" s="1120"/>
      <c r="AB758" s="1120"/>
      <c r="AC758" s="1120"/>
      <c r="AD758" s="1212"/>
      <c r="AE758" s="1212"/>
      <c r="AF758" s="1186"/>
      <c r="AG758" s="1186"/>
      <c r="AH758" s="1222"/>
      <c r="AI758" s="1222"/>
      <c r="AJ758" s="1222"/>
      <c r="AK758" s="1222"/>
      <c r="AL758" s="1222"/>
      <c r="AM758" s="1222"/>
      <c r="AN758" s="1222"/>
      <c r="AO758" s="1222"/>
      <c r="AP758" s="1222"/>
      <c r="AQ758" s="1222"/>
      <c r="AR758" s="1222"/>
      <c r="AS758" s="1222"/>
      <c r="AT758" s="1222"/>
      <c r="AU758" s="1120"/>
      <c r="AV758" s="445"/>
      <c r="AW758" s="607"/>
      <c r="AX758" s="607"/>
      <c r="AY758" s="607"/>
      <c r="AZ758" s="1209"/>
      <c r="BA758" s="1209"/>
    </row>
    <row r="759" spans="2:53" s="256" customFormat="1" ht="24.95" customHeight="1">
      <c r="B759" s="445"/>
      <c r="C759" s="204"/>
      <c r="D759" s="204"/>
      <c r="E759" s="204"/>
      <c r="F759" s="368"/>
      <c r="G759" s="1134"/>
      <c r="H759" s="401"/>
      <c r="I759" s="317"/>
      <c r="N759" s="317"/>
      <c r="O759" s="1135"/>
      <c r="P759" s="1136"/>
      <c r="Q759" s="1137"/>
      <c r="R759" s="1120"/>
      <c r="S759" s="1120"/>
      <c r="T759" s="1120"/>
      <c r="U759" s="1120"/>
      <c r="V759" s="1120"/>
      <c r="W759" s="1120"/>
      <c r="Z759" s="1145"/>
      <c r="AA759" s="1120"/>
      <c r="AB759" s="1120"/>
      <c r="AC759" s="1120"/>
      <c r="AD759" s="1212"/>
      <c r="AE759" s="1212"/>
      <c r="AF759" s="1186"/>
      <c r="AG759" s="1186"/>
      <c r="AH759" s="1222"/>
      <c r="AI759" s="1222"/>
      <c r="AJ759" s="1222"/>
      <c r="AK759" s="1222"/>
      <c r="AL759" s="1222"/>
      <c r="AM759" s="1222"/>
      <c r="AN759" s="1222"/>
      <c r="AO759" s="1222"/>
      <c r="AP759" s="1222"/>
      <c r="AQ759" s="1222"/>
      <c r="AR759" s="1222"/>
      <c r="AS759" s="1222"/>
      <c r="AT759" s="1222"/>
      <c r="AU759" s="1120"/>
      <c r="AV759" s="445"/>
      <c r="AW759" s="607"/>
      <c r="AX759" s="607"/>
      <c r="AY759" s="607"/>
      <c r="AZ759" s="1209"/>
      <c r="BA759" s="1209"/>
    </row>
    <row r="760" spans="2:53" s="256" customFormat="1" ht="24.95" customHeight="1">
      <c r="B760" s="445"/>
      <c r="C760" s="204"/>
      <c r="D760" s="204"/>
      <c r="E760" s="204"/>
      <c r="F760" s="368"/>
      <c r="G760" s="1134"/>
      <c r="H760" s="401"/>
      <c r="I760" s="317"/>
      <c r="N760" s="317"/>
      <c r="O760" s="1135"/>
      <c r="P760" s="1136"/>
      <c r="Q760" s="1137"/>
      <c r="R760" s="1120"/>
      <c r="S760" s="1120"/>
      <c r="T760" s="1120"/>
      <c r="U760" s="1120"/>
      <c r="V760" s="1120"/>
      <c r="W760" s="1120"/>
      <c r="Z760" s="1145"/>
      <c r="AA760" s="1120"/>
      <c r="AB760" s="1120"/>
      <c r="AC760" s="1120"/>
      <c r="AD760" s="1212"/>
      <c r="AE760" s="1212"/>
      <c r="AF760" s="1186"/>
      <c r="AG760" s="1186"/>
      <c r="AH760" s="1222"/>
      <c r="AI760" s="1222"/>
      <c r="AJ760" s="1222"/>
      <c r="AK760" s="1222"/>
      <c r="AL760" s="1222"/>
      <c r="AM760" s="1222"/>
      <c r="AN760" s="1222"/>
      <c r="AO760" s="1222"/>
      <c r="AP760" s="1222"/>
      <c r="AQ760" s="1222"/>
      <c r="AR760" s="1222"/>
      <c r="AS760" s="1222"/>
      <c r="AT760" s="1222"/>
      <c r="AU760" s="1120"/>
      <c r="AV760" s="445"/>
      <c r="AW760" s="607"/>
      <c r="AX760" s="607"/>
      <c r="AY760" s="607"/>
      <c r="AZ760" s="1209"/>
      <c r="BA760" s="1209"/>
    </row>
    <row r="761" spans="2:53" s="256" customFormat="1" ht="24.95" customHeight="1">
      <c r="B761" s="445"/>
      <c r="C761" s="204"/>
      <c r="D761" s="204"/>
      <c r="E761" s="204"/>
      <c r="F761" s="368"/>
      <c r="G761" s="1134"/>
      <c r="H761" s="401"/>
      <c r="I761" s="317"/>
      <c r="N761" s="317"/>
      <c r="O761" s="1135"/>
      <c r="P761" s="1136"/>
      <c r="Q761" s="1137"/>
      <c r="R761" s="1120"/>
      <c r="S761" s="1120"/>
      <c r="T761" s="1120"/>
      <c r="U761" s="1120"/>
      <c r="V761" s="1120"/>
      <c r="W761" s="1120"/>
      <c r="Z761" s="1145"/>
      <c r="AA761" s="1120"/>
      <c r="AB761" s="1120"/>
      <c r="AC761" s="1120"/>
      <c r="AD761" s="1212"/>
      <c r="AE761" s="1212"/>
      <c r="AF761" s="1186"/>
      <c r="AG761" s="1186"/>
      <c r="AH761" s="1222"/>
      <c r="AI761" s="1222"/>
      <c r="AJ761" s="1222"/>
      <c r="AK761" s="1222"/>
      <c r="AL761" s="1222"/>
      <c r="AM761" s="1222"/>
      <c r="AN761" s="1222"/>
      <c r="AO761" s="1222"/>
      <c r="AP761" s="1222"/>
      <c r="AQ761" s="1222"/>
      <c r="AR761" s="1222"/>
      <c r="AS761" s="1222"/>
      <c r="AT761" s="1222"/>
      <c r="AU761" s="1120"/>
      <c r="AV761" s="445"/>
      <c r="AW761" s="607"/>
      <c r="AX761" s="607"/>
      <c r="AY761" s="607"/>
      <c r="AZ761" s="1209"/>
      <c r="BA761" s="1209"/>
    </row>
    <row r="762" spans="2:53" s="256" customFormat="1" ht="24.95" customHeight="1">
      <c r="B762" s="445"/>
      <c r="C762" s="204"/>
      <c r="D762" s="204"/>
      <c r="E762" s="204"/>
      <c r="F762" s="368"/>
      <c r="G762" s="1134"/>
      <c r="H762" s="401"/>
      <c r="I762" s="317"/>
      <c r="N762" s="317"/>
      <c r="O762" s="1135"/>
      <c r="P762" s="1136"/>
      <c r="Q762" s="1137"/>
      <c r="R762" s="1120"/>
      <c r="S762" s="1120"/>
      <c r="T762" s="1120"/>
      <c r="U762" s="1120"/>
      <c r="V762" s="1120"/>
      <c r="W762" s="1120"/>
      <c r="Z762" s="1145"/>
      <c r="AA762" s="1120"/>
      <c r="AB762" s="1120"/>
      <c r="AC762" s="1120"/>
      <c r="AD762" s="1212"/>
      <c r="AE762" s="1212"/>
      <c r="AF762" s="1186"/>
      <c r="AG762" s="1186"/>
      <c r="AH762" s="1222"/>
      <c r="AI762" s="1222"/>
      <c r="AJ762" s="1222"/>
      <c r="AK762" s="1222"/>
      <c r="AL762" s="1222"/>
      <c r="AM762" s="1222"/>
      <c r="AN762" s="1222"/>
      <c r="AO762" s="1222"/>
      <c r="AP762" s="1222"/>
      <c r="AQ762" s="1222"/>
      <c r="AR762" s="1222"/>
      <c r="AS762" s="1222"/>
      <c r="AT762" s="1222"/>
      <c r="AU762" s="1120"/>
      <c r="AV762" s="445"/>
      <c r="AW762" s="607"/>
      <c r="AX762" s="607"/>
      <c r="AY762" s="607"/>
      <c r="AZ762" s="1209"/>
      <c r="BA762" s="1209"/>
    </row>
    <row r="763" spans="2:53" s="256" customFormat="1" ht="24.95" customHeight="1">
      <c r="B763" s="445"/>
      <c r="C763" s="204"/>
      <c r="D763" s="204"/>
      <c r="E763" s="204"/>
      <c r="F763" s="368"/>
      <c r="G763" s="1134"/>
      <c r="H763" s="401"/>
      <c r="I763" s="317"/>
      <c r="N763" s="317"/>
      <c r="O763" s="1135"/>
      <c r="P763" s="1136"/>
      <c r="Q763" s="1137"/>
      <c r="R763" s="1120"/>
      <c r="S763" s="1120"/>
      <c r="T763" s="1120"/>
      <c r="U763" s="1120"/>
      <c r="V763" s="1120"/>
      <c r="W763" s="1120"/>
      <c r="Z763" s="1145"/>
      <c r="AA763" s="1120"/>
      <c r="AB763" s="1120"/>
      <c r="AC763" s="1120"/>
      <c r="AD763" s="1212"/>
      <c r="AE763" s="1212"/>
      <c r="AF763" s="1186"/>
      <c r="AG763" s="1186"/>
      <c r="AH763" s="1222"/>
      <c r="AI763" s="1222"/>
      <c r="AJ763" s="1222"/>
      <c r="AK763" s="1222"/>
      <c r="AL763" s="1222"/>
      <c r="AM763" s="1222"/>
      <c r="AN763" s="1222"/>
      <c r="AO763" s="1222"/>
      <c r="AP763" s="1222"/>
      <c r="AQ763" s="1222"/>
      <c r="AR763" s="1222"/>
      <c r="AS763" s="1222"/>
      <c r="AT763" s="1222"/>
      <c r="AU763" s="1120"/>
      <c r="AV763" s="445"/>
      <c r="AW763" s="607"/>
      <c r="AX763" s="607"/>
      <c r="AY763" s="607"/>
      <c r="AZ763" s="1209"/>
      <c r="BA763" s="1209"/>
    </row>
    <row r="764" spans="2:53" s="256" customFormat="1" ht="24.95" customHeight="1">
      <c r="B764" s="445"/>
      <c r="C764" s="204"/>
      <c r="D764" s="204"/>
      <c r="E764" s="204"/>
      <c r="F764" s="368"/>
      <c r="G764" s="1134"/>
      <c r="H764" s="401"/>
      <c r="I764" s="317"/>
      <c r="N764" s="317"/>
      <c r="O764" s="1135"/>
      <c r="P764" s="1136"/>
      <c r="Q764" s="1137"/>
      <c r="R764" s="1120"/>
      <c r="S764" s="1120"/>
      <c r="T764" s="1120"/>
      <c r="U764" s="1120"/>
      <c r="V764" s="1120"/>
      <c r="W764" s="1120"/>
      <c r="Z764" s="1145"/>
      <c r="AA764" s="1120"/>
      <c r="AB764" s="1120"/>
      <c r="AC764" s="1120"/>
      <c r="AD764" s="1212"/>
      <c r="AE764" s="1212"/>
      <c r="AF764" s="1186"/>
      <c r="AG764" s="1186"/>
      <c r="AH764" s="1222"/>
      <c r="AI764" s="1222"/>
      <c r="AJ764" s="1222"/>
      <c r="AK764" s="1222"/>
      <c r="AL764" s="1222"/>
      <c r="AM764" s="1222"/>
      <c r="AN764" s="1222"/>
      <c r="AO764" s="1222"/>
      <c r="AP764" s="1222"/>
      <c r="AQ764" s="1222"/>
      <c r="AR764" s="1222"/>
      <c r="AS764" s="1222"/>
      <c r="AT764" s="1222"/>
      <c r="AU764" s="1120"/>
      <c r="AV764" s="445"/>
      <c r="AW764" s="607"/>
      <c r="AX764" s="607"/>
      <c r="AY764" s="607"/>
      <c r="AZ764" s="1209"/>
      <c r="BA764" s="1209"/>
    </row>
    <row r="765" spans="2:53" s="256" customFormat="1" ht="24.95" customHeight="1">
      <c r="B765" s="445"/>
      <c r="C765" s="204"/>
      <c r="D765" s="204"/>
      <c r="E765" s="204"/>
      <c r="F765" s="368"/>
      <c r="G765" s="1134"/>
      <c r="H765" s="401"/>
      <c r="I765" s="317"/>
      <c r="N765" s="317"/>
      <c r="O765" s="1135"/>
      <c r="P765" s="1136"/>
      <c r="Q765" s="1137"/>
      <c r="R765" s="1120"/>
      <c r="S765" s="1120"/>
      <c r="T765" s="1120"/>
      <c r="U765" s="1120"/>
      <c r="V765" s="1120"/>
      <c r="W765" s="1120"/>
      <c r="Z765" s="1145"/>
      <c r="AA765" s="1120"/>
      <c r="AB765" s="1120"/>
      <c r="AC765" s="1120"/>
      <c r="AD765" s="1212"/>
      <c r="AE765" s="1212"/>
      <c r="AF765" s="1186"/>
      <c r="AG765" s="1186"/>
      <c r="AH765" s="1222"/>
      <c r="AI765" s="1222"/>
      <c r="AJ765" s="1222"/>
      <c r="AK765" s="1222"/>
      <c r="AL765" s="1222"/>
      <c r="AM765" s="1222"/>
      <c r="AN765" s="1222"/>
      <c r="AO765" s="1222"/>
      <c r="AP765" s="1222"/>
      <c r="AQ765" s="1222"/>
      <c r="AR765" s="1222"/>
      <c r="AS765" s="1222"/>
      <c r="AT765" s="1222"/>
      <c r="AU765" s="1120"/>
      <c r="AV765" s="445"/>
      <c r="AW765" s="607"/>
      <c r="AX765" s="607"/>
      <c r="AY765" s="607"/>
      <c r="AZ765" s="1209"/>
      <c r="BA765" s="1209"/>
    </row>
    <row r="766" spans="2:53" s="256" customFormat="1" ht="24.95" customHeight="1">
      <c r="B766" s="445"/>
      <c r="C766" s="204"/>
      <c r="D766" s="204"/>
      <c r="E766" s="204"/>
      <c r="F766" s="368"/>
      <c r="G766" s="1134"/>
      <c r="H766" s="401"/>
      <c r="I766" s="317"/>
      <c r="N766" s="317"/>
      <c r="O766" s="1135"/>
      <c r="P766" s="1136"/>
      <c r="Q766" s="1137"/>
      <c r="R766" s="1120"/>
      <c r="S766" s="1120"/>
      <c r="T766" s="1120"/>
      <c r="U766" s="1120"/>
      <c r="V766" s="1120"/>
      <c r="W766" s="1120"/>
      <c r="Z766" s="1145"/>
      <c r="AA766" s="1120"/>
      <c r="AB766" s="1120"/>
      <c r="AC766" s="1120"/>
      <c r="AD766" s="1212"/>
      <c r="AE766" s="1212"/>
      <c r="AF766" s="1186"/>
      <c r="AG766" s="1186"/>
      <c r="AH766" s="1222"/>
      <c r="AI766" s="1222"/>
      <c r="AJ766" s="1222"/>
      <c r="AK766" s="1222"/>
      <c r="AL766" s="1222"/>
      <c r="AM766" s="1222"/>
      <c r="AN766" s="1222"/>
      <c r="AO766" s="1222"/>
      <c r="AP766" s="1222"/>
      <c r="AQ766" s="1222"/>
      <c r="AR766" s="1222"/>
      <c r="AS766" s="1222"/>
      <c r="AT766" s="1222"/>
      <c r="AU766" s="1120"/>
      <c r="AV766" s="445"/>
      <c r="AW766" s="607"/>
      <c r="AX766" s="607"/>
      <c r="AY766" s="607"/>
      <c r="AZ766" s="1209"/>
      <c r="BA766" s="1209"/>
    </row>
    <row r="767" spans="2:53" s="256" customFormat="1" ht="24.95" customHeight="1">
      <c r="B767" s="445"/>
      <c r="C767" s="204"/>
      <c r="D767" s="204"/>
      <c r="E767" s="204"/>
      <c r="F767" s="368"/>
      <c r="G767" s="1134"/>
      <c r="H767" s="401"/>
      <c r="I767" s="317"/>
      <c r="N767" s="317"/>
      <c r="O767" s="1135"/>
      <c r="P767" s="1136"/>
      <c r="Q767" s="1137"/>
      <c r="R767" s="1120"/>
      <c r="S767" s="1120"/>
      <c r="T767" s="1120"/>
      <c r="U767" s="1120"/>
      <c r="V767" s="1120"/>
      <c r="W767" s="1120"/>
      <c r="Z767" s="1145"/>
      <c r="AA767" s="1120"/>
      <c r="AB767" s="1120"/>
      <c r="AC767" s="1120"/>
      <c r="AD767" s="1212"/>
      <c r="AE767" s="1212"/>
      <c r="AF767" s="1186"/>
      <c r="AG767" s="1186"/>
      <c r="AH767" s="1222"/>
      <c r="AI767" s="1222"/>
      <c r="AJ767" s="1222"/>
      <c r="AK767" s="1222"/>
      <c r="AL767" s="1222"/>
      <c r="AM767" s="1222"/>
      <c r="AN767" s="1222"/>
      <c r="AO767" s="1222"/>
      <c r="AP767" s="1222"/>
      <c r="AQ767" s="1222"/>
      <c r="AR767" s="1222"/>
      <c r="AS767" s="1222"/>
      <c r="AT767" s="1222"/>
      <c r="AU767" s="1120"/>
      <c r="AV767" s="445"/>
      <c r="AW767" s="607"/>
      <c r="AX767" s="607"/>
      <c r="AY767" s="607"/>
      <c r="AZ767" s="1209"/>
      <c r="BA767" s="1209"/>
    </row>
    <row r="768" spans="2:53" s="256" customFormat="1" ht="24.95" customHeight="1">
      <c r="B768" s="445"/>
      <c r="C768" s="204"/>
      <c r="D768" s="204"/>
      <c r="E768" s="204"/>
      <c r="F768" s="368"/>
      <c r="G768" s="1134"/>
      <c r="H768" s="401"/>
      <c r="I768" s="317"/>
      <c r="N768" s="317"/>
      <c r="O768" s="1135"/>
      <c r="P768" s="1136"/>
      <c r="Q768" s="1137"/>
      <c r="R768" s="1120"/>
      <c r="S768" s="1120"/>
      <c r="T768" s="1120"/>
      <c r="U768" s="1120"/>
      <c r="V768" s="1120"/>
      <c r="W768" s="1120"/>
      <c r="Z768" s="1145"/>
      <c r="AA768" s="1120"/>
      <c r="AB768" s="1120"/>
      <c r="AC768" s="1120"/>
      <c r="AD768" s="1212"/>
      <c r="AE768" s="1212"/>
      <c r="AF768" s="1186"/>
      <c r="AG768" s="1186"/>
      <c r="AH768" s="1222"/>
      <c r="AI768" s="1222"/>
      <c r="AJ768" s="1222"/>
      <c r="AK768" s="1222"/>
      <c r="AL768" s="1222"/>
      <c r="AM768" s="1222"/>
      <c r="AN768" s="1222"/>
      <c r="AO768" s="1222"/>
      <c r="AP768" s="1222"/>
      <c r="AQ768" s="1222"/>
      <c r="AR768" s="1222"/>
      <c r="AS768" s="1222"/>
      <c r="AT768" s="1222"/>
      <c r="AU768" s="1120"/>
      <c r="AV768" s="445"/>
      <c r="AW768" s="607"/>
      <c r="AX768" s="607"/>
      <c r="AY768" s="607"/>
      <c r="AZ768" s="1209"/>
      <c r="BA768" s="1209"/>
    </row>
    <row r="769" spans="2:53" s="256" customFormat="1" ht="24.95" customHeight="1">
      <c r="B769" s="445"/>
      <c r="C769" s="204"/>
      <c r="D769" s="204"/>
      <c r="E769" s="204"/>
      <c r="F769" s="368"/>
      <c r="G769" s="1134"/>
      <c r="H769" s="401"/>
      <c r="I769" s="317"/>
      <c r="N769" s="317"/>
      <c r="O769" s="1135"/>
      <c r="P769" s="1136"/>
      <c r="Q769" s="1137"/>
      <c r="R769" s="1120"/>
      <c r="S769" s="1120"/>
      <c r="T769" s="1120"/>
      <c r="U769" s="1120"/>
      <c r="V769" s="1120"/>
      <c r="W769" s="1120"/>
      <c r="Z769" s="1145"/>
      <c r="AA769" s="1120"/>
      <c r="AB769" s="1120"/>
      <c r="AC769" s="1120"/>
      <c r="AD769" s="1212"/>
      <c r="AE769" s="1212"/>
      <c r="AF769" s="1186"/>
      <c r="AG769" s="1186"/>
      <c r="AH769" s="1222"/>
      <c r="AI769" s="1222"/>
      <c r="AJ769" s="1222"/>
      <c r="AK769" s="1222"/>
      <c r="AL769" s="1222"/>
      <c r="AM769" s="1222"/>
      <c r="AN769" s="1222"/>
      <c r="AO769" s="1222"/>
      <c r="AP769" s="1222"/>
      <c r="AQ769" s="1222"/>
      <c r="AR769" s="1222"/>
      <c r="AS769" s="1222"/>
      <c r="AT769" s="1222"/>
      <c r="AU769" s="1120"/>
      <c r="AV769" s="445"/>
      <c r="AW769" s="607"/>
      <c r="AX769" s="607"/>
      <c r="AY769" s="607"/>
      <c r="AZ769" s="1209"/>
      <c r="BA769" s="1209"/>
    </row>
    <row r="770" spans="2:53" s="256" customFormat="1" ht="24.95" customHeight="1">
      <c r="B770" s="445"/>
      <c r="C770" s="204"/>
      <c r="D770" s="204"/>
      <c r="E770" s="204"/>
      <c r="F770" s="368"/>
      <c r="G770" s="1134"/>
      <c r="H770" s="401"/>
      <c r="I770" s="317"/>
      <c r="N770" s="317"/>
      <c r="O770" s="1135"/>
      <c r="P770" s="1136"/>
      <c r="Q770" s="1137"/>
      <c r="R770" s="1120"/>
      <c r="S770" s="1120"/>
      <c r="T770" s="1120"/>
      <c r="U770" s="1120"/>
      <c r="V770" s="1120"/>
      <c r="W770" s="1120"/>
      <c r="Z770" s="1145"/>
      <c r="AA770" s="1120"/>
      <c r="AB770" s="1120"/>
      <c r="AC770" s="1120"/>
      <c r="AD770" s="1212"/>
      <c r="AE770" s="1212"/>
      <c r="AF770" s="1186"/>
      <c r="AG770" s="1186"/>
      <c r="AH770" s="1222"/>
      <c r="AI770" s="1222"/>
      <c r="AJ770" s="1222"/>
      <c r="AK770" s="1222"/>
      <c r="AL770" s="1222"/>
      <c r="AM770" s="1222"/>
      <c r="AN770" s="1222"/>
      <c r="AO770" s="1222"/>
      <c r="AP770" s="1222"/>
      <c r="AQ770" s="1222"/>
      <c r="AR770" s="1222"/>
      <c r="AS770" s="1222"/>
      <c r="AT770" s="1222"/>
      <c r="AU770" s="1120"/>
      <c r="AV770" s="445"/>
      <c r="AW770" s="607"/>
      <c r="AX770" s="607"/>
      <c r="AY770" s="607"/>
      <c r="AZ770" s="1209"/>
      <c r="BA770" s="1209"/>
    </row>
    <row r="771" spans="2:53" s="256" customFormat="1" ht="24.95" customHeight="1">
      <c r="B771" s="445"/>
      <c r="C771" s="204"/>
      <c r="D771" s="204"/>
      <c r="E771" s="204"/>
      <c r="F771" s="368"/>
      <c r="G771" s="1134"/>
      <c r="H771" s="401"/>
      <c r="I771" s="317"/>
      <c r="N771" s="317"/>
      <c r="O771" s="1135"/>
      <c r="P771" s="1136"/>
      <c r="Q771" s="1137"/>
      <c r="R771" s="1120"/>
      <c r="S771" s="1120"/>
      <c r="T771" s="1120"/>
      <c r="U771" s="1120"/>
      <c r="V771" s="1120"/>
      <c r="W771" s="1120"/>
      <c r="Z771" s="1145"/>
      <c r="AA771" s="1120"/>
      <c r="AB771" s="1120"/>
      <c r="AC771" s="1120"/>
      <c r="AD771" s="1212"/>
      <c r="AE771" s="1212"/>
      <c r="AF771" s="1186"/>
      <c r="AG771" s="1186"/>
      <c r="AH771" s="1222"/>
      <c r="AI771" s="1222"/>
      <c r="AJ771" s="1222"/>
      <c r="AK771" s="1222"/>
      <c r="AL771" s="1222"/>
      <c r="AM771" s="1222"/>
      <c r="AN771" s="1222"/>
      <c r="AO771" s="1222"/>
      <c r="AP771" s="1222"/>
      <c r="AQ771" s="1222"/>
      <c r="AR771" s="1222"/>
      <c r="AS771" s="1222"/>
      <c r="AT771" s="1222"/>
      <c r="AU771" s="1120"/>
      <c r="AV771" s="445"/>
      <c r="AW771" s="607"/>
      <c r="AX771" s="607"/>
      <c r="AY771" s="607"/>
      <c r="AZ771" s="1209"/>
      <c r="BA771" s="1209"/>
    </row>
    <row r="772" spans="2:53" s="256" customFormat="1" ht="24.95" customHeight="1">
      <c r="B772" s="445"/>
      <c r="C772" s="204"/>
      <c r="D772" s="204"/>
      <c r="E772" s="204"/>
      <c r="F772" s="368"/>
      <c r="G772" s="1134"/>
      <c r="H772" s="401"/>
      <c r="I772" s="317"/>
      <c r="N772" s="317"/>
      <c r="O772" s="1135"/>
      <c r="P772" s="1136"/>
      <c r="Q772" s="1137"/>
      <c r="R772" s="1120"/>
      <c r="S772" s="1120"/>
      <c r="T772" s="1120"/>
      <c r="U772" s="1120"/>
      <c r="V772" s="1120"/>
      <c r="W772" s="1120"/>
      <c r="Z772" s="1145"/>
      <c r="AA772" s="1120"/>
      <c r="AB772" s="1120"/>
      <c r="AC772" s="1120"/>
      <c r="AD772" s="1212"/>
      <c r="AE772" s="1212"/>
      <c r="AF772" s="1186"/>
      <c r="AG772" s="1186"/>
      <c r="AH772" s="1222"/>
      <c r="AI772" s="1222"/>
      <c r="AJ772" s="1222"/>
      <c r="AK772" s="1222"/>
      <c r="AL772" s="1222"/>
      <c r="AM772" s="1222"/>
      <c r="AN772" s="1222"/>
      <c r="AO772" s="1222"/>
      <c r="AP772" s="1222"/>
      <c r="AQ772" s="1222"/>
      <c r="AR772" s="1222"/>
      <c r="AS772" s="1222"/>
      <c r="AT772" s="1222"/>
      <c r="AU772" s="1120"/>
      <c r="AV772" s="445"/>
      <c r="AW772" s="607"/>
      <c r="AX772" s="607"/>
      <c r="AY772" s="607"/>
      <c r="AZ772" s="1209"/>
      <c r="BA772" s="1209"/>
    </row>
    <row r="773" spans="2:53" s="256" customFormat="1" ht="24.95" customHeight="1">
      <c r="B773" s="445"/>
      <c r="C773" s="204"/>
      <c r="D773" s="204"/>
      <c r="E773" s="204"/>
      <c r="F773" s="368"/>
      <c r="G773" s="1134"/>
      <c r="H773" s="401"/>
      <c r="I773" s="317"/>
      <c r="N773" s="317"/>
      <c r="O773" s="1135"/>
      <c r="P773" s="1136"/>
      <c r="Q773" s="1137"/>
      <c r="R773" s="1120"/>
      <c r="S773" s="1120"/>
      <c r="T773" s="1120"/>
      <c r="U773" s="1120"/>
      <c r="V773" s="1120"/>
      <c r="W773" s="1120"/>
      <c r="Z773" s="1145"/>
      <c r="AA773" s="1120"/>
      <c r="AB773" s="1120"/>
      <c r="AC773" s="1120"/>
      <c r="AD773" s="1212"/>
      <c r="AE773" s="1212"/>
      <c r="AF773" s="1186"/>
      <c r="AG773" s="1186"/>
      <c r="AH773" s="1222"/>
      <c r="AI773" s="1222"/>
      <c r="AJ773" s="1222"/>
      <c r="AK773" s="1222"/>
      <c r="AL773" s="1222"/>
      <c r="AM773" s="1222"/>
      <c r="AN773" s="1222"/>
      <c r="AO773" s="1222"/>
      <c r="AP773" s="1222"/>
      <c r="AQ773" s="1222"/>
      <c r="AR773" s="1222"/>
      <c r="AS773" s="1222"/>
      <c r="AT773" s="1222"/>
      <c r="AU773" s="1120"/>
      <c r="AV773" s="445"/>
      <c r="AW773" s="607"/>
      <c r="AX773" s="607"/>
      <c r="AY773" s="607"/>
      <c r="AZ773" s="1209"/>
      <c r="BA773" s="1209"/>
    </row>
    <row r="774" spans="2:53" s="256" customFormat="1" ht="24.95" customHeight="1">
      <c r="B774" s="445"/>
      <c r="C774" s="204"/>
      <c r="D774" s="204"/>
      <c r="E774" s="204"/>
      <c r="F774" s="368"/>
      <c r="G774" s="1134"/>
      <c r="H774" s="401"/>
      <c r="I774" s="317"/>
      <c r="N774" s="317"/>
      <c r="O774" s="1135"/>
      <c r="P774" s="1136"/>
      <c r="Q774" s="1137"/>
      <c r="R774" s="1120"/>
      <c r="S774" s="1120"/>
      <c r="T774" s="1120"/>
      <c r="U774" s="1120"/>
      <c r="V774" s="1120"/>
      <c r="W774" s="1120"/>
      <c r="Z774" s="1145"/>
      <c r="AA774" s="1120"/>
      <c r="AB774" s="1120"/>
      <c r="AC774" s="1120"/>
      <c r="AD774" s="1212"/>
      <c r="AE774" s="1212"/>
      <c r="AF774" s="1186"/>
      <c r="AG774" s="1186"/>
      <c r="AH774" s="1222"/>
      <c r="AI774" s="1222"/>
      <c r="AJ774" s="1222"/>
      <c r="AK774" s="1222"/>
      <c r="AL774" s="1222"/>
      <c r="AM774" s="1222"/>
      <c r="AN774" s="1222"/>
      <c r="AO774" s="1222"/>
      <c r="AP774" s="1222"/>
      <c r="AQ774" s="1222"/>
      <c r="AR774" s="1222"/>
      <c r="AS774" s="1222"/>
      <c r="AT774" s="1222"/>
      <c r="AU774" s="1120"/>
      <c r="AV774" s="445"/>
      <c r="AW774" s="607"/>
      <c r="AX774" s="607"/>
      <c r="AY774" s="607"/>
      <c r="AZ774" s="1209"/>
      <c r="BA774" s="1209"/>
    </row>
    <row r="775" spans="2:53" s="256" customFormat="1" ht="24.95" customHeight="1">
      <c r="B775" s="445"/>
      <c r="C775" s="204"/>
      <c r="D775" s="204"/>
      <c r="E775" s="204"/>
      <c r="F775" s="368"/>
      <c r="G775" s="1134"/>
      <c r="H775" s="401"/>
      <c r="I775" s="317"/>
      <c r="N775" s="317"/>
      <c r="O775" s="1135"/>
      <c r="P775" s="1136"/>
      <c r="Q775" s="1137"/>
      <c r="R775" s="1120"/>
      <c r="S775" s="1120"/>
      <c r="T775" s="1120"/>
      <c r="U775" s="1120"/>
      <c r="V775" s="1120"/>
      <c r="W775" s="1120"/>
      <c r="Z775" s="1145"/>
      <c r="AA775" s="1120"/>
      <c r="AB775" s="1120"/>
      <c r="AC775" s="1120"/>
      <c r="AD775" s="1212"/>
      <c r="AE775" s="1212"/>
      <c r="AF775" s="1186"/>
      <c r="AG775" s="1186"/>
      <c r="AH775" s="1222"/>
      <c r="AI775" s="1222"/>
      <c r="AJ775" s="1222"/>
      <c r="AK775" s="1222"/>
      <c r="AL775" s="1222"/>
      <c r="AM775" s="1222"/>
      <c r="AN775" s="1222"/>
      <c r="AO775" s="1222"/>
      <c r="AP775" s="1222"/>
      <c r="AQ775" s="1222"/>
      <c r="AR775" s="1222"/>
      <c r="AS775" s="1222"/>
      <c r="AT775" s="1222"/>
      <c r="AU775" s="1120"/>
      <c r="AV775" s="445"/>
      <c r="AW775" s="607"/>
      <c r="AX775" s="607"/>
      <c r="AY775" s="607"/>
      <c r="AZ775" s="1209"/>
      <c r="BA775" s="1209"/>
    </row>
    <row r="776" spans="2:53" s="256" customFormat="1" ht="24.95" customHeight="1">
      <c r="B776" s="445"/>
      <c r="C776" s="204"/>
      <c r="D776" s="204"/>
      <c r="E776" s="204"/>
      <c r="F776" s="368"/>
      <c r="G776" s="1134"/>
      <c r="H776" s="401"/>
      <c r="I776" s="317"/>
      <c r="N776" s="317"/>
      <c r="O776" s="1135"/>
      <c r="P776" s="1136"/>
      <c r="Q776" s="1137"/>
      <c r="R776" s="1120"/>
      <c r="S776" s="1120"/>
      <c r="T776" s="1120"/>
      <c r="U776" s="1120"/>
      <c r="V776" s="1120"/>
      <c r="W776" s="1120"/>
      <c r="Z776" s="1145"/>
      <c r="AA776" s="1120"/>
      <c r="AB776" s="1120"/>
      <c r="AC776" s="1120"/>
      <c r="AD776" s="1212"/>
      <c r="AE776" s="1212"/>
      <c r="AF776" s="1186"/>
      <c r="AG776" s="1186"/>
      <c r="AH776" s="1222"/>
      <c r="AI776" s="1222"/>
      <c r="AJ776" s="1222"/>
      <c r="AK776" s="1222"/>
      <c r="AL776" s="1222"/>
      <c r="AM776" s="1222"/>
      <c r="AN776" s="1222"/>
      <c r="AO776" s="1222"/>
      <c r="AP776" s="1222"/>
      <c r="AQ776" s="1222"/>
      <c r="AR776" s="1222"/>
      <c r="AS776" s="1222"/>
      <c r="AT776" s="1222"/>
      <c r="AU776" s="1120"/>
      <c r="AV776" s="445"/>
      <c r="AW776" s="607"/>
      <c r="AX776" s="607"/>
      <c r="AY776" s="607"/>
      <c r="AZ776" s="1209"/>
      <c r="BA776" s="1209"/>
    </row>
    <row r="777" spans="2:53" s="256" customFormat="1" ht="24.95" customHeight="1">
      <c r="B777" s="445"/>
      <c r="C777" s="204"/>
      <c r="D777" s="204"/>
      <c r="E777" s="204"/>
      <c r="F777" s="368"/>
      <c r="G777" s="1134"/>
      <c r="H777" s="401"/>
      <c r="I777" s="317"/>
      <c r="N777" s="317"/>
      <c r="O777" s="1135"/>
      <c r="P777" s="1136"/>
      <c r="Q777" s="1137"/>
      <c r="R777" s="1120"/>
      <c r="S777" s="1120"/>
      <c r="T777" s="1120"/>
      <c r="U777" s="1120"/>
      <c r="V777" s="1120"/>
      <c r="W777" s="1120"/>
      <c r="Z777" s="1145"/>
      <c r="AA777" s="1120"/>
      <c r="AB777" s="1120"/>
      <c r="AC777" s="1120"/>
      <c r="AD777" s="1212"/>
      <c r="AE777" s="1212"/>
      <c r="AF777" s="1186"/>
      <c r="AG777" s="1186"/>
      <c r="AH777" s="1222"/>
      <c r="AI777" s="1222"/>
      <c r="AJ777" s="1222"/>
      <c r="AK777" s="1222"/>
      <c r="AL777" s="1222"/>
      <c r="AM777" s="1222"/>
      <c r="AN777" s="1222"/>
      <c r="AO777" s="1222"/>
      <c r="AP777" s="1222"/>
      <c r="AQ777" s="1222"/>
      <c r="AR777" s="1222"/>
      <c r="AS777" s="1222"/>
      <c r="AT777" s="1222"/>
      <c r="AU777" s="1120"/>
      <c r="AV777" s="445"/>
      <c r="AW777" s="607"/>
      <c r="AX777" s="607"/>
      <c r="AY777" s="607"/>
      <c r="AZ777" s="1209"/>
      <c r="BA777" s="1209"/>
    </row>
    <row r="778" spans="2:53" s="256" customFormat="1" ht="24.95" customHeight="1">
      <c r="B778" s="445"/>
      <c r="C778" s="204"/>
      <c r="D778" s="204"/>
      <c r="E778" s="204"/>
      <c r="F778" s="368"/>
      <c r="G778" s="1134"/>
      <c r="H778" s="401"/>
      <c r="I778" s="317"/>
      <c r="N778" s="317"/>
      <c r="O778" s="1135"/>
      <c r="P778" s="1136"/>
      <c r="Q778" s="1137"/>
      <c r="R778" s="1120"/>
      <c r="S778" s="1120"/>
      <c r="T778" s="1120"/>
      <c r="U778" s="1120"/>
      <c r="V778" s="1120"/>
      <c r="W778" s="1120"/>
      <c r="Z778" s="1145"/>
      <c r="AA778" s="1120"/>
      <c r="AB778" s="1120"/>
      <c r="AC778" s="1120"/>
      <c r="AD778" s="1212"/>
      <c r="AE778" s="1212"/>
      <c r="AF778" s="1186"/>
      <c r="AG778" s="1186"/>
      <c r="AH778" s="1222"/>
      <c r="AI778" s="1222"/>
      <c r="AJ778" s="1222"/>
      <c r="AK778" s="1222"/>
      <c r="AL778" s="1222"/>
      <c r="AM778" s="1222"/>
      <c r="AN778" s="1222"/>
      <c r="AO778" s="1222"/>
      <c r="AP778" s="1222"/>
      <c r="AQ778" s="1222"/>
      <c r="AR778" s="1222"/>
      <c r="AS778" s="1222"/>
      <c r="AT778" s="1222"/>
      <c r="AU778" s="1120"/>
      <c r="AV778" s="445"/>
      <c r="AW778" s="607"/>
      <c r="AX778" s="607"/>
      <c r="AY778" s="607"/>
      <c r="AZ778" s="1209"/>
      <c r="BA778" s="1209"/>
    </row>
    <row r="779" spans="2:53" s="256" customFormat="1" ht="24.95" customHeight="1">
      <c r="B779" s="445"/>
      <c r="C779" s="204"/>
      <c r="D779" s="204"/>
      <c r="E779" s="204"/>
      <c r="F779" s="368"/>
      <c r="G779" s="1134"/>
      <c r="H779" s="401"/>
      <c r="I779" s="317"/>
      <c r="N779" s="317"/>
      <c r="O779" s="1135"/>
      <c r="P779" s="1136"/>
      <c r="Q779" s="1137"/>
      <c r="R779" s="1120"/>
      <c r="S779" s="1120"/>
      <c r="T779" s="1120"/>
      <c r="U779" s="1120"/>
      <c r="V779" s="1120"/>
      <c r="W779" s="1120"/>
      <c r="Z779" s="1145"/>
      <c r="AA779" s="1120"/>
      <c r="AB779" s="1120"/>
      <c r="AC779" s="1120"/>
      <c r="AD779" s="1212"/>
      <c r="AE779" s="1212"/>
      <c r="AF779" s="1186"/>
      <c r="AG779" s="1186"/>
      <c r="AH779" s="1222"/>
      <c r="AI779" s="1222"/>
      <c r="AJ779" s="1222"/>
      <c r="AK779" s="1222"/>
      <c r="AL779" s="1222"/>
      <c r="AM779" s="1222"/>
      <c r="AN779" s="1222"/>
      <c r="AO779" s="1222"/>
      <c r="AP779" s="1222"/>
      <c r="AQ779" s="1222"/>
      <c r="AR779" s="1222"/>
      <c r="AS779" s="1222"/>
      <c r="AT779" s="1222"/>
      <c r="AU779" s="1120"/>
      <c r="AV779" s="445"/>
      <c r="AW779" s="607"/>
      <c r="AX779" s="607"/>
      <c r="AY779" s="607"/>
      <c r="AZ779" s="1209"/>
      <c r="BA779" s="1209"/>
    </row>
    <row r="780" spans="2:53" s="256" customFormat="1" ht="24.95" customHeight="1">
      <c r="B780" s="445"/>
      <c r="C780" s="204"/>
      <c r="D780" s="204"/>
      <c r="E780" s="204"/>
      <c r="F780" s="368"/>
      <c r="G780" s="1134"/>
      <c r="H780" s="401"/>
      <c r="I780" s="317"/>
      <c r="N780" s="317"/>
      <c r="O780" s="1135"/>
      <c r="P780" s="1136"/>
      <c r="Q780" s="1137"/>
      <c r="R780" s="1120"/>
      <c r="S780" s="1120"/>
      <c r="T780" s="1120"/>
      <c r="U780" s="1120"/>
      <c r="V780" s="1120"/>
      <c r="W780" s="1120"/>
      <c r="Z780" s="1145"/>
      <c r="AA780" s="1120"/>
      <c r="AB780" s="1120"/>
      <c r="AC780" s="1120"/>
      <c r="AD780" s="1212"/>
      <c r="AE780" s="1212"/>
      <c r="AF780" s="1186"/>
      <c r="AG780" s="1186"/>
      <c r="AH780" s="1222"/>
      <c r="AI780" s="1222"/>
      <c r="AJ780" s="1222"/>
      <c r="AK780" s="1222"/>
      <c r="AL780" s="1222"/>
      <c r="AM780" s="1222"/>
      <c r="AN780" s="1222"/>
      <c r="AO780" s="1222"/>
      <c r="AP780" s="1222"/>
      <c r="AQ780" s="1222"/>
      <c r="AR780" s="1222"/>
      <c r="AS780" s="1222"/>
      <c r="AT780" s="1222"/>
      <c r="AU780" s="1120"/>
      <c r="AV780" s="445"/>
      <c r="AW780" s="607"/>
      <c r="AX780" s="607"/>
      <c r="AY780" s="607"/>
      <c r="AZ780" s="1209"/>
      <c r="BA780" s="1209"/>
    </row>
    <row r="781" spans="2:53" s="256" customFormat="1" ht="24.95" customHeight="1">
      <c r="B781" s="445"/>
      <c r="C781" s="204"/>
      <c r="D781" s="204"/>
      <c r="E781" s="204"/>
      <c r="F781" s="368"/>
      <c r="G781" s="1134"/>
      <c r="H781" s="401"/>
      <c r="I781" s="317"/>
      <c r="N781" s="317"/>
      <c r="O781" s="1135"/>
      <c r="P781" s="1136"/>
      <c r="Q781" s="1137"/>
      <c r="R781" s="1120"/>
      <c r="S781" s="1120"/>
      <c r="T781" s="1120"/>
      <c r="U781" s="1120"/>
      <c r="V781" s="1120"/>
      <c r="W781" s="1120"/>
      <c r="Z781" s="1145"/>
      <c r="AA781" s="1120"/>
      <c r="AB781" s="1120"/>
      <c r="AC781" s="1120"/>
      <c r="AD781" s="1212"/>
      <c r="AE781" s="1212"/>
      <c r="AF781" s="1186"/>
      <c r="AG781" s="1186"/>
      <c r="AH781" s="1222"/>
      <c r="AI781" s="1222"/>
      <c r="AJ781" s="1222"/>
      <c r="AK781" s="1222"/>
      <c r="AL781" s="1222"/>
      <c r="AM781" s="1222"/>
      <c r="AN781" s="1222"/>
      <c r="AO781" s="1222"/>
      <c r="AP781" s="1222"/>
      <c r="AQ781" s="1222"/>
      <c r="AR781" s="1222"/>
      <c r="AS781" s="1222"/>
      <c r="AT781" s="1222"/>
      <c r="AU781" s="1120"/>
      <c r="AV781" s="445"/>
      <c r="AW781" s="607"/>
      <c r="AX781" s="607"/>
      <c r="AY781" s="607"/>
      <c r="AZ781" s="1209"/>
      <c r="BA781" s="1209"/>
    </row>
    <row r="782" spans="2:53" s="256" customFormat="1" ht="24.95" customHeight="1">
      <c r="B782" s="445"/>
      <c r="C782" s="204"/>
      <c r="D782" s="204"/>
      <c r="E782" s="204"/>
      <c r="F782" s="368"/>
      <c r="G782" s="1134"/>
      <c r="H782" s="401"/>
      <c r="I782" s="317"/>
      <c r="N782" s="317"/>
      <c r="O782" s="1135"/>
      <c r="P782" s="1136"/>
      <c r="Q782" s="1137"/>
      <c r="R782" s="1120"/>
      <c r="S782" s="1120"/>
      <c r="T782" s="1120"/>
      <c r="U782" s="1120"/>
      <c r="V782" s="1120"/>
      <c r="W782" s="1120"/>
      <c r="Z782" s="1145"/>
      <c r="AA782" s="1120"/>
      <c r="AB782" s="1120"/>
      <c r="AC782" s="1120"/>
      <c r="AD782" s="1212"/>
      <c r="AE782" s="1212"/>
      <c r="AF782" s="1186"/>
      <c r="AG782" s="1186"/>
      <c r="AH782" s="1222"/>
      <c r="AI782" s="1222"/>
      <c r="AJ782" s="1222"/>
      <c r="AK782" s="1222"/>
      <c r="AL782" s="1222"/>
      <c r="AM782" s="1222"/>
      <c r="AN782" s="1222"/>
      <c r="AO782" s="1222"/>
      <c r="AP782" s="1222"/>
      <c r="AQ782" s="1222"/>
      <c r="AR782" s="1222"/>
      <c r="AS782" s="1222"/>
      <c r="AT782" s="1222"/>
      <c r="AU782" s="1120"/>
      <c r="AV782" s="445"/>
      <c r="AW782" s="607"/>
      <c r="AX782" s="607"/>
      <c r="AY782" s="607"/>
      <c r="AZ782" s="1209"/>
      <c r="BA782" s="1209"/>
    </row>
    <row r="783" spans="2:53" s="256" customFormat="1" ht="24.95" customHeight="1">
      <c r="B783" s="445"/>
      <c r="C783" s="204"/>
      <c r="D783" s="204"/>
      <c r="E783" s="204"/>
      <c r="F783" s="368"/>
      <c r="G783" s="1134"/>
      <c r="H783" s="401"/>
      <c r="I783" s="317"/>
      <c r="N783" s="317"/>
      <c r="O783" s="1135"/>
      <c r="P783" s="1136"/>
      <c r="Q783" s="1137"/>
      <c r="R783" s="1120"/>
      <c r="S783" s="1120"/>
      <c r="T783" s="1120"/>
      <c r="U783" s="1120"/>
      <c r="V783" s="1120"/>
      <c r="W783" s="1120"/>
      <c r="Z783" s="1145"/>
      <c r="AA783" s="1120"/>
      <c r="AB783" s="1120"/>
      <c r="AC783" s="1120"/>
      <c r="AD783" s="1212"/>
      <c r="AE783" s="1212"/>
      <c r="AF783" s="1186"/>
      <c r="AG783" s="1186"/>
      <c r="AH783" s="1222"/>
      <c r="AI783" s="1222"/>
      <c r="AJ783" s="1222"/>
      <c r="AK783" s="1222"/>
      <c r="AL783" s="1222"/>
      <c r="AM783" s="1222"/>
      <c r="AN783" s="1222"/>
      <c r="AO783" s="1222"/>
      <c r="AP783" s="1222"/>
      <c r="AQ783" s="1222"/>
      <c r="AR783" s="1222"/>
      <c r="AS783" s="1222"/>
      <c r="AT783" s="1222"/>
      <c r="AU783" s="1120"/>
      <c r="AV783" s="445"/>
      <c r="AW783" s="607"/>
      <c r="AX783" s="607"/>
      <c r="AY783" s="607"/>
      <c r="AZ783" s="1209"/>
      <c r="BA783" s="1209"/>
    </row>
    <row r="784" spans="2:53" s="256" customFormat="1" ht="24.95" customHeight="1">
      <c r="B784" s="445"/>
      <c r="C784" s="204"/>
      <c r="D784" s="204"/>
      <c r="E784" s="204"/>
      <c r="F784" s="368"/>
      <c r="G784" s="1134"/>
      <c r="H784" s="401"/>
      <c r="I784" s="317"/>
      <c r="N784" s="317"/>
      <c r="O784" s="1135"/>
      <c r="P784" s="1136"/>
      <c r="Q784" s="1137"/>
      <c r="R784" s="1120"/>
      <c r="S784" s="1120"/>
      <c r="T784" s="1120"/>
      <c r="U784" s="1120"/>
      <c r="V784" s="1120"/>
      <c r="W784" s="1120"/>
      <c r="Z784" s="1145"/>
      <c r="AA784" s="1120"/>
      <c r="AB784" s="1120"/>
      <c r="AC784" s="1120"/>
      <c r="AD784" s="1212"/>
      <c r="AE784" s="1212"/>
      <c r="AF784" s="1186"/>
      <c r="AG784" s="1186"/>
      <c r="AH784" s="1222"/>
      <c r="AI784" s="1222"/>
      <c r="AJ784" s="1222"/>
      <c r="AK784" s="1222"/>
      <c r="AL784" s="1222"/>
      <c r="AM784" s="1222"/>
      <c r="AN784" s="1222"/>
      <c r="AO784" s="1222"/>
      <c r="AP784" s="1222"/>
      <c r="AQ784" s="1222"/>
      <c r="AR784" s="1222"/>
      <c r="AS784" s="1222"/>
      <c r="AT784" s="1222"/>
      <c r="AU784" s="1120"/>
      <c r="AV784" s="445"/>
      <c r="AW784" s="607"/>
      <c r="AX784" s="607"/>
      <c r="AY784" s="607"/>
      <c r="AZ784" s="1209"/>
      <c r="BA784" s="1209"/>
    </row>
    <row r="785" spans="2:53" s="256" customFormat="1" ht="24.95" customHeight="1">
      <c r="B785" s="445"/>
      <c r="C785" s="204"/>
      <c r="D785" s="204"/>
      <c r="E785" s="204"/>
      <c r="F785" s="368"/>
      <c r="G785" s="1134"/>
      <c r="H785" s="401"/>
      <c r="I785" s="317"/>
      <c r="N785" s="317"/>
      <c r="O785" s="1135"/>
      <c r="P785" s="1136"/>
      <c r="Q785" s="1137"/>
      <c r="R785" s="1120"/>
      <c r="S785" s="1120"/>
      <c r="T785" s="1120"/>
      <c r="U785" s="1120"/>
      <c r="V785" s="1120"/>
      <c r="W785" s="1120"/>
      <c r="Z785" s="1145"/>
      <c r="AA785" s="1120"/>
      <c r="AB785" s="1120"/>
      <c r="AC785" s="1120"/>
      <c r="AD785" s="1212"/>
      <c r="AE785" s="1212"/>
      <c r="AF785" s="1186"/>
      <c r="AG785" s="1186"/>
      <c r="AH785" s="1222"/>
      <c r="AI785" s="1222"/>
      <c r="AJ785" s="1222"/>
      <c r="AK785" s="1222"/>
      <c r="AL785" s="1222"/>
      <c r="AM785" s="1222"/>
      <c r="AN785" s="1222"/>
      <c r="AO785" s="1222"/>
      <c r="AP785" s="1222"/>
      <c r="AQ785" s="1222"/>
      <c r="AR785" s="1222"/>
      <c r="AS785" s="1222"/>
      <c r="AT785" s="1222"/>
      <c r="AU785" s="1120"/>
      <c r="AV785" s="445"/>
      <c r="AW785" s="607"/>
      <c r="AX785" s="607"/>
      <c r="AY785" s="607"/>
      <c r="AZ785" s="1209"/>
      <c r="BA785" s="1209"/>
    </row>
    <row r="786" spans="2:53" s="256" customFormat="1" ht="24.95" customHeight="1">
      <c r="B786" s="445"/>
      <c r="C786" s="204"/>
      <c r="D786" s="204"/>
      <c r="E786" s="204"/>
      <c r="F786" s="368"/>
      <c r="G786" s="1134"/>
      <c r="H786" s="401"/>
      <c r="I786" s="317"/>
      <c r="N786" s="317"/>
      <c r="O786" s="1135"/>
      <c r="P786" s="1136"/>
      <c r="Q786" s="1137"/>
      <c r="R786" s="1120"/>
      <c r="S786" s="1120"/>
      <c r="T786" s="1120"/>
      <c r="U786" s="1120"/>
      <c r="V786" s="1120"/>
      <c r="W786" s="1120"/>
      <c r="Z786" s="1145"/>
      <c r="AA786" s="1120"/>
      <c r="AB786" s="1120"/>
      <c r="AC786" s="1120"/>
      <c r="AD786" s="1212"/>
      <c r="AE786" s="1212"/>
      <c r="AF786" s="1186"/>
      <c r="AG786" s="1186"/>
      <c r="AH786" s="1222"/>
      <c r="AI786" s="1222"/>
      <c r="AJ786" s="1222"/>
      <c r="AK786" s="1222"/>
      <c r="AL786" s="1222"/>
      <c r="AM786" s="1222"/>
      <c r="AN786" s="1222"/>
      <c r="AO786" s="1222"/>
      <c r="AP786" s="1222"/>
      <c r="AQ786" s="1222"/>
      <c r="AR786" s="1222"/>
      <c r="AS786" s="1222"/>
      <c r="AT786" s="1222"/>
      <c r="AU786" s="1120"/>
      <c r="AV786" s="445"/>
      <c r="AW786" s="607"/>
      <c r="AX786" s="607"/>
      <c r="AY786" s="607"/>
      <c r="AZ786" s="1209"/>
      <c r="BA786" s="1209"/>
    </row>
    <row r="787" spans="2:53" s="256" customFormat="1" ht="24.95" customHeight="1">
      <c r="B787" s="445"/>
      <c r="C787" s="204"/>
      <c r="D787" s="204"/>
      <c r="E787" s="204"/>
      <c r="F787" s="368"/>
      <c r="G787" s="1134"/>
      <c r="H787" s="401"/>
      <c r="I787" s="317"/>
      <c r="N787" s="317"/>
      <c r="O787" s="1135"/>
      <c r="P787" s="1136"/>
      <c r="Q787" s="1137"/>
      <c r="R787" s="1120"/>
      <c r="S787" s="1120"/>
      <c r="T787" s="1120"/>
      <c r="U787" s="1120"/>
      <c r="V787" s="1120"/>
      <c r="W787" s="1120"/>
      <c r="Z787" s="1145"/>
      <c r="AA787" s="1120"/>
      <c r="AB787" s="1120"/>
      <c r="AC787" s="1120"/>
      <c r="AD787" s="1212"/>
      <c r="AE787" s="1212"/>
      <c r="AF787" s="1186"/>
      <c r="AG787" s="1186"/>
      <c r="AH787" s="1222"/>
      <c r="AI787" s="1222"/>
      <c r="AJ787" s="1222"/>
      <c r="AK787" s="1222"/>
      <c r="AL787" s="1222"/>
      <c r="AM787" s="1222"/>
      <c r="AN787" s="1222"/>
      <c r="AO787" s="1222"/>
      <c r="AP787" s="1222"/>
      <c r="AQ787" s="1222"/>
      <c r="AR787" s="1222"/>
      <c r="AS787" s="1222"/>
      <c r="AT787" s="1222"/>
      <c r="AU787" s="1120"/>
      <c r="AV787" s="445"/>
      <c r="AW787" s="607"/>
      <c r="AX787" s="607"/>
      <c r="AY787" s="607"/>
      <c r="AZ787" s="1209"/>
      <c r="BA787" s="1209"/>
    </row>
    <row r="788" spans="2:53" s="256" customFormat="1" ht="24.95" customHeight="1">
      <c r="B788" s="445"/>
      <c r="C788" s="204"/>
      <c r="D788" s="204"/>
      <c r="E788" s="204"/>
      <c r="F788" s="368"/>
      <c r="G788" s="1134"/>
      <c r="H788" s="401"/>
      <c r="I788" s="317"/>
      <c r="N788" s="317"/>
      <c r="O788" s="1135"/>
      <c r="P788" s="1136"/>
      <c r="Q788" s="1137"/>
      <c r="R788" s="1120"/>
      <c r="S788" s="1120"/>
      <c r="T788" s="1120"/>
      <c r="U788" s="1120"/>
      <c r="V788" s="1120"/>
      <c r="W788" s="1120"/>
      <c r="Z788" s="1145"/>
      <c r="AA788" s="1120"/>
      <c r="AB788" s="1120"/>
      <c r="AC788" s="1120"/>
      <c r="AD788" s="1212"/>
      <c r="AE788" s="1212"/>
      <c r="AF788" s="1186"/>
      <c r="AG788" s="1186"/>
      <c r="AH788" s="1222"/>
      <c r="AI788" s="1222"/>
      <c r="AJ788" s="1222"/>
      <c r="AK788" s="1222"/>
      <c r="AL788" s="1222"/>
      <c r="AM788" s="1222"/>
      <c r="AN788" s="1222"/>
      <c r="AO788" s="1222"/>
      <c r="AP788" s="1222"/>
      <c r="AQ788" s="1222"/>
      <c r="AR788" s="1222"/>
      <c r="AS788" s="1222"/>
      <c r="AT788" s="1222"/>
      <c r="AU788" s="1120"/>
      <c r="AV788" s="445"/>
      <c r="AW788" s="607"/>
      <c r="AX788" s="607"/>
      <c r="AY788" s="607"/>
      <c r="AZ788" s="1209"/>
      <c r="BA788" s="1209"/>
    </row>
    <row r="789" spans="2:53" s="256" customFormat="1" ht="24.95" customHeight="1">
      <c r="B789" s="445"/>
      <c r="C789" s="204"/>
      <c r="D789" s="204"/>
      <c r="E789" s="204"/>
      <c r="F789" s="368"/>
      <c r="G789" s="1134"/>
      <c r="H789" s="401"/>
      <c r="I789" s="317"/>
      <c r="N789" s="317"/>
      <c r="O789" s="1135"/>
      <c r="P789" s="1136"/>
      <c r="Q789" s="1137"/>
      <c r="R789" s="1120"/>
      <c r="S789" s="1120"/>
      <c r="T789" s="1120"/>
      <c r="U789" s="1120"/>
      <c r="V789" s="1120"/>
      <c r="W789" s="1120"/>
      <c r="Z789" s="1145"/>
      <c r="AA789" s="1120"/>
      <c r="AB789" s="1120"/>
      <c r="AC789" s="1120"/>
      <c r="AD789" s="1212"/>
      <c r="AE789" s="1212"/>
      <c r="AF789" s="1186"/>
      <c r="AG789" s="1186"/>
      <c r="AH789" s="1222"/>
      <c r="AI789" s="1222"/>
      <c r="AJ789" s="1222"/>
      <c r="AK789" s="1222"/>
      <c r="AL789" s="1222"/>
      <c r="AM789" s="1222"/>
      <c r="AN789" s="1222"/>
      <c r="AO789" s="1222"/>
      <c r="AP789" s="1222"/>
      <c r="AQ789" s="1222"/>
      <c r="AR789" s="1222"/>
      <c r="AS789" s="1222"/>
      <c r="AT789" s="1222"/>
      <c r="AU789" s="1120"/>
      <c r="AV789" s="445"/>
      <c r="AW789" s="607"/>
      <c r="AX789" s="607"/>
      <c r="AY789" s="607"/>
      <c r="AZ789" s="1209"/>
      <c r="BA789" s="1209"/>
    </row>
    <row r="790" spans="2:53" s="256" customFormat="1" ht="24.95" customHeight="1">
      <c r="B790" s="445"/>
      <c r="C790" s="204"/>
      <c r="D790" s="204"/>
      <c r="E790" s="204"/>
      <c r="F790" s="368"/>
      <c r="G790" s="1134"/>
      <c r="H790" s="401"/>
      <c r="I790" s="317"/>
      <c r="N790" s="317"/>
      <c r="O790" s="1135"/>
      <c r="P790" s="1136"/>
      <c r="Q790" s="1137"/>
      <c r="R790" s="1120"/>
      <c r="S790" s="1120"/>
      <c r="T790" s="1120"/>
      <c r="U790" s="1120"/>
      <c r="V790" s="1120"/>
      <c r="W790" s="1120"/>
      <c r="Z790" s="1145"/>
      <c r="AA790" s="1120"/>
      <c r="AB790" s="1120"/>
      <c r="AC790" s="1120"/>
      <c r="AD790" s="1212"/>
      <c r="AE790" s="1212"/>
      <c r="AF790" s="1186"/>
      <c r="AG790" s="1186"/>
      <c r="AH790" s="1222"/>
      <c r="AI790" s="1222"/>
      <c r="AJ790" s="1222"/>
      <c r="AK790" s="1222"/>
      <c r="AL790" s="1222"/>
      <c r="AM790" s="1222"/>
      <c r="AN790" s="1222"/>
      <c r="AO790" s="1222"/>
      <c r="AP790" s="1222"/>
      <c r="AQ790" s="1222"/>
      <c r="AR790" s="1222"/>
      <c r="AS790" s="1222"/>
      <c r="AT790" s="1222"/>
      <c r="AU790" s="1120"/>
      <c r="AV790" s="445"/>
      <c r="AW790" s="607"/>
      <c r="AX790" s="607"/>
      <c r="AY790" s="607"/>
      <c r="AZ790" s="1209"/>
      <c r="BA790" s="1209"/>
    </row>
    <row r="791" spans="2:53" s="256" customFormat="1" ht="24.95" customHeight="1">
      <c r="B791" s="445"/>
      <c r="C791" s="204"/>
      <c r="D791" s="204"/>
      <c r="E791" s="204"/>
      <c r="F791" s="368"/>
      <c r="G791" s="1134"/>
      <c r="H791" s="401"/>
      <c r="I791" s="317"/>
      <c r="N791" s="317"/>
      <c r="O791" s="1135"/>
      <c r="P791" s="1136"/>
      <c r="Q791" s="1137"/>
      <c r="R791" s="1120"/>
      <c r="S791" s="1120"/>
      <c r="T791" s="1120"/>
      <c r="U791" s="1120"/>
      <c r="V791" s="1120"/>
      <c r="W791" s="1120"/>
      <c r="Z791" s="1145"/>
      <c r="AA791" s="1120"/>
      <c r="AB791" s="1120"/>
      <c r="AC791" s="1120"/>
      <c r="AD791" s="1212"/>
      <c r="AE791" s="1212"/>
      <c r="AF791" s="1186"/>
      <c r="AG791" s="1186"/>
      <c r="AH791" s="1222"/>
      <c r="AI791" s="1222"/>
      <c r="AJ791" s="1222"/>
      <c r="AK791" s="1222"/>
      <c r="AL791" s="1222"/>
      <c r="AM791" s="1222"/>
      <c r="AN791" s="1222"/>
      <c r="AO791" s="1222"/>
      <c r="AP791" s="1222"/>
      <c r="AQ791" s="1222"/>
      <c r="AR791" s="1222"/>
      <c r="AS791" s="1222"/>
      <c r="AT791" s="1222"/>
      <c r="AU791" s="1120"/>
      <c r="AV791" s="445"/>
      <c r="AW791" s="607"/>
      <c r="AX791" s="607"/>
      <c r="AY791" s="607"/>
      <c r="AZ791" s="1209"/>
      <c r="BA791" s="1209"/>
    </row>
    <row r="792" spans="2:53" s="256" customFormat="1" ht="24.95" customHeight="1">
      <c r="B792" s="445"/>
      <c r="C792" s="204"/>
      <c r="D792" s="204"/>
      <c r="E792" s="204"/>
      <c r="F792" s="368"/>
      <c r="G792" s="1134"/>
      <c r="H792" s="401"/>
      <c r="I792" s="317"/>
      <c r="N792" s="317"/>
      <c r="O792" s="1135"/>
      <c r="P792" s="1136"/>
      <c r="Q792" s="1137"/>
      <c r="R792" s="1120"/>
      <c r="S792" s="1120"/>
      <c r="T792" s="1120"/>
      <c r="U792" s="1120"/>
      <c r="V792" s="1120"/>
      <c r="W792" s="1120"/>
      <c r="Z792" s="1145"/>
      <c r="AA792" s="1120"/>
      <c r="AB792" s="1120"/>
      <c r="AC792" s="1120"/>
      <c r="AD792" s="1212"/>
      <c r="AE792" s="1212"/>
      <c r="AF792" s="1186"/>
      <c r="AG792" s="1186"/>
      <c r="AH792" s="1222"/>
      <c r="AI792" s="1222"/>
      <c r="AJ792" s="1222"/>
      <c r="AK792" s="1222"/>
      <c r="AL792" s="1222"/>
      <c r="AM792" s="1222"/>
      <c r="AN792" s="1222"/>
      <c r="AO792" s="1222"/>
      <c r="AP792" s="1222"/>
      <c r="AQ792" s="1222"/>
      <c r="AR792" s="1222"/>
      <c r="AS792" s="1222"/>
      <c r="AT792" s="1222"/>
      <c r="AU792" s="1120"/>
      <c r="AV792" s="445"/>
      <c r="AW792" s="607"/>
      <c r="AX792" s="607"/>
      <c r="AY792" s="607"/>
      <c r="AZ792" s="1209"/>
      <c r="BA792" s="1209"/>
    </row>
    <row r="793" spans="2:53" s="256" customFormat="1" ht="24.95" customHeight="1">
      <c r="B793" s="445"/>
      <c r="C793" s="204"/>
      <c r="D793" s="204"/>
      <c r="E793" s="204"/>
      <c r="F793" s="368"/>
      <c r="G793" s="1134"/>
      <c r="H793" s="401"/>
      <c r="I793" s="317"/>
      <c r="N793" s="317"/>
      <c r="O793" s="1135"/>
      <c r="P793" s="1136"/>
      <c r="Q793" s="1137"/>
      <c r="R793" s="1120"/>
      <c r="S793" s="1120"/>
      <c r="T793" s="1120"/>
      <c r="U793" s="1120"/>
      <c r="V793" s="1120"/>
      <c r="W793" s="1120"/>
      <c r="Z793" s="1145"/>
      <c r="AA793" s="1120"/>
      <c r="AB793" s="1120"/>
      <c r="AC793" s="1120"/>
      <c r="AD793" s="1212"/>
      <c r="AE793" s="1212"/>
      <c r="AF793" s="1186"/>
      <c r="AG793" s="1186"/>
      <c r="AH793" s="1222"/>
      <c r="AI793" s="1222"/>
      <c r="AJ793" s="1222"/>
      <c r="AK793" s="1222"/>
      <c r="AL793" s="1222"/>
      <c r="AM793" s="1222"/>
      <c r="AN793" s="1222"/>
      <c r="AO793" s="1222"/>
      <c r="AP793" s="1222"/>
      <c r="AQ793" s="1222"/>
      <c r="AR793" s="1222"/>
      <c r="AS793" s="1222"/>
      <c r="AT793" s="1222"/>
      <c r="AU793" s="1120"/>
      <c r="AV793" s="445"/>
      <c r="AW793" s="607"/>
      <c r="AX793" s="607"/>
      <c r="AY793" s="607"/>
      <c r="AZ793" s="1209"/>
      <c r="BA793" s="1209"/>
    </row>
    <row r="794" spans="2:53" s="256" customFormat="1" ht="24.95" customHeight="1">
      <c r="B794" s="445"/>
      <c r="C794" s="204"/>
      <c r="D794" s="204"/>
      <c r="E794" s="204"/>
      <c r="F794" s="368"/>
      <c r="G794" s="1134"/>
      <c r="H794" s="401"/>
      <c r="I794" s="317"/>
      <c r="N794" s="317"/>
      <c r="O794" s="1135"/>
      <c r="P794" s="1136"/>
      <c r="Q794" s="1137"/>
      <c r="R794" s="1120"/>
      <c r="S794" s="1120"/>
      <c r="T794" s="1120"/>
      <c r="U794" s="1120"/>
      <c r="V794" s="1120"/>
      <c r="W794" s="1120"/>
      <c r="Z794" s="1145"/>
      <c r="AA794" s="1120"/>
      <c r="AB794" s="1120"/>
      <c r="AC794" s="1120"/>
      <c r="AD794" s="1212"/>
      <c r="AE794" s="1212"/>
      <c r="AF794" s="1186"/>
      <c r="AG794" s="1186"/>
      <c r="AH794" s="1222"/>
      <c r="AI794" s="1222"/>
      <c r="AJ794" s="1222"/>
      <c r="AK794" s="1222"/>
      <c r="AL794" s="1222"/>
      <c r="AM794" s="1222"/>
      <c r="AN794" s="1222"/>
      <c r="AO794" s="1222"/>
      <c r="AP794" s="1222"/>
      <c r="AQ794" s="1222"/>
      <c r="AR794" s="1222"/>
      <c r="AS794" s="1222"/>
      <c r="AT794" s="1222"/>
      <c r="AU794" s="1120"/>
      <c r="AV794" s="445"/>
      <c r="AW794" s="607"/>
      <c r="AX794" s="607"/>
      <c r="AY794" s="607"/>
      <c r="AZ794" s="1209"/>
      <c r="BA794" s="1209"/>
    </row>
    <row r="795" spans="2:53" s="256" customFormat="1" ht="24.95" customHeight="1">
      <c r="B795" s="445"/>
      <c r="C795" s="204"/>
      <c r="D795" s="204"/>
      <c r="E795" s="204"/>
      <c r="F795" s="368"/>
      <c r="G795" s="1134"/>
      <c r="H795" s="401"/>
      <c r="I795" s="317"/>
      <c r="N795" s="317"/>
      <c r="O795" s="1135"/>
      <c r="P795" s="1136"/>
      <c r="Q795" s="1137"/>
      <c r="R795" s="1120"/>
      <c r="S795" s="1120"/>
      <c r="T795" s="1120"/>
      <c r="U795" s="1120"/>
      <c r="V795" s="1120"/>
      <c r="W795" s="1120"/>
      <c r="Z795" s="1145"/>
      <c r="AA795" s="1120"/>
      <c r="AB795" s="1120"/>
      <c r="AC795" s="1120"/>
      <c r="AD795" s="1212"/>
      <c r="AE795" s="1212"/>
      <c r="AF795" s="1186"/>
      <c r="AG795" s="1186"/>
      <c r="AH795" s="1222"/>
      <c r="AI795" s="1222"/>
      <c r="AJ795" s="1222"/>
      <c r="AK795" s="1222"/>
      <c r="AL795" s="1222"/>
      <c r="AM795" s="1222"/>
      <c r="AN795" s="1222"/>
      <c r="AO795" s="1222"/>
      <c r="AP795" s="1222"/>
      <c r="AQ795" s="1222"/>
      <c r="AR795" s="1222"/>
      <c r="AS795" s="1222"/>
      <c r="AT795" s="1222"/>
      <c r="AU795" s="1120"/>
      <c r="AV795" s="445"/>
      <c r="AW795" s="607"/>
      <c r="AX795" s="607"/>
      <c r="AY795" s="607"/>
      <c r="AZ795" s="1209"/>
      <c r="BA795" s="1209"/>
    </row>
    <row r="796" spans="2:53" s="256" customFormat="1" ht="24.95" customHeight="1">
      <c r="B796" s="445"/>
      <c r="C796" s="204"/>
      <c r="D796" s="204"/>
      <c r="E796" s="204"/>
      <c r="F796" s="368"/>
      <c r="G796" s="1134"/>
      <c r="H796" s="401"/>
      <c r="I796" s="317"/>
      <c r="N796" s="317"/>
      <c r="O796" s="1135"/>
      <c r="P796" s="1136"/>
      <c r="Q796" s="1137"/>
      <c r="R796" s="1120"/>
      <c r="S796" s="1120"/>
      <c r="T796" s="1120"/>
      <c r="U796" s="1120"/>
      <c r="V796" s="1120"/>
      <c r="W796" s="1120"/>
      <c r="Z796" s="1145"/>
      <c r="AA796" s="1120"/>
      <c r="AB796" s="1120"/>
      <c r="AC796" s="1120"/>
      <c r="AD796" s="1212"/>
      <c r="AE796" s="1212"/>
      <c r="AF796" s="1186"/>
      <c r="AG796" s="1186"/>
      <c r="AH796" s="1222"/>
      <c r="AI796" s="1222"/>
      <c r="AJ796" s="1222"/>
      <c r="AK796" s="1222"/>
      <c r="AL796" s="1222"/>
      <c r="AM796" s="1222"/>
      <c r="AN796" s="1222"/>
      <c r="AO796" s="1222"/>
      <c r="AP796" s="1222"/>
      <c r="AQ796" s="1222"/>
      <c r="AR796" s="1222"/>
      <c r="AS796" s="1222"/>
      <c r="AT796" s="1222"/>
      <c r="AU796" s="1120"/>
      <c r="AV796" s="445"/>
      <c r="AW796" s="607"/>
      <c r="AX796" s="607"/>
      <c r="AY796" s="607"/>
      <c r="AZ796" s="1209"/>
      <c r="BA796" s="1209"/>
    </row>
    <row r="797" spans="2:53" s="256" customFormat="1" ht="24.95" customHeight="1">
      <c r="B797" s="445"/>
      <c r="C797" s="204"/>
      <c r="D797" s="204"/>
      <c r="E797" s="204"/>
      <c r="F797" s="368"/>
      <c r="G797" s="1134"/>
      <c r="H797" s="401"/>
      <c r="I797" s="317"/>
      <c r="N797" s="317"/>
      <c r="O797" s="1135"/>
      <c r="P797" s="1136"/>
      <c r="Q797" s="1137"/>
      <c r="R797" s="1120"/>
      <c r="S797" s="1120"/>
      <c r="T797" s="1120"/>
      <c r="U797" s="1120"/>
      <c r="V797" s="1120"/>
      <c r="W797" s="1120"/>
      <c r="Z797" s="1145"/>
      <c r="AA797" s="1120"/>
      <c r="AB797" s="1120"/>
      <c r="AC797" s="1120"/>
      <c r="AD797" s="1212"/>
      <c r="AE797" s="1212"/>
      <c r="AF797" s="1186"/>
      <c r="AG797" s="1186"/>
      <c r="AH797" s="1222"/>
      <c r="AI797" s="1222"/>
      <c r="AJ797" s="1222"/>
      <c r="AK797" s="1222"/>
      <c r="AL797" s="1222"/>
      <c r="AM797" s="1222"/>
      <c r="AN797" s="1222"/>
      <c r="AO797" s="1222"/>
      <c r="AP797" s="1222"/>
      <c r="AQ797" s="1222"/>
      <c r="AR797" s="1222"/>
      <c r="AS797" s="1222"/>
      <c r="AT797" s="1222"/>
      <c r="AU797" s="1120"/>
      <c r="AV797" s="445"/>
      <c r="AW797" s="607"/>
      <c r="AX797" s="607"/>
      <c r="AY797" s="607"/>
      <c r="AZ797" s="1209"/>
      <c r="BA797" s="1209"/>
    </row>
    <row r="798" spans="2:53" s="256" customFormat="1" ht="24.95" customHeight="1">
      <c r="B798" s="445"/>
      <c r="C798" s="204"/>
      <c r="D798" s="204"/>
      <c r="E798" s="204"/>
      <c r="F798" s="368"/>
      <c r="G798" s="1134"/>
      <c r="H798" s="401"/>
      <c r="I798" s="317"/>
      <c r="N798" s="317"/>
      <c r="O798" s="1135"/>
      <c r="P798" s="1136"/>
      <c r="Q798" s="1137"/>
      <c r="R798" s="1120"/>
      <c r="S798" s="1120"/>
      <c r="T798" s="1120"/>
      <c r="U798" s="1120"/>
      <c r="V798" s="1120"/>
      <c r="W798" s="1120"/>
      <c r="Z798" s="1145"/>
      <c r="AA798" s="1120"/>
      <c r="AB798" s="1120"/>
      <c r="AC798" s="1120"/>
      <c r="AD798" s="1212"/>
      <c r="AE798" s="1212"/>
      <c r="AF798" s="1186"/>
      <c r="AG798" s="1186"/>
      <c r="AH798" s="1222"/>
      <c r="AI798" s="1222"/>
      <c r="AJ798" s="1222"/>
      <c r="AK798" s="1222"/>
      <c r="AL798" s="1222"/>
      <c r="AM798" s="1222"/>
      <c r="AN798" s="1222"/>
      <c r="AO798" s="1222"/>
      <c r="AP798" s="1222"/>
      <c r="AQ798" s="1222"/>
      <c r="AR798" s="1222"/>
      <c r="AS798" s="1222"/>
      <c r="AT798" s="1222"/>
      <c r="AU798" s="1120"/>
      <c r="AV798" s="445"/>
      <c r="AW798" s="607"/>
      <c r="AX798" s="607"/>
      <c r="AY798" s="607"/>
      <c r="AZ798" s="1209"/>
      <c r="BA798" s="1209"/>
    </row>
    <row r="799" spans="2:53" s="256" customFormat="1" ht="24.95" customHeight="1">
      <c r="B799" s="445"/>
      <c r="C799" s="204"/>
      <c r="D799" s="204"/>
      <c r="E799" s="204"/>
      <c r="F799" s="368"/>
      <c r="G799" s="1134"/>
      <c r="H799" s="401"/>
      <c r="I799" s="317"/>
      <c r="N799" s="317"/>
      <c r="O799" s="1135"/>
      <c r="P799" s="1136"/>
      <c r="Q799" s="1137"/>
      <c r="R799" s="1120"/>
      <c r="S799" s="1120"/>
      <c r="T799" s="1120"/>
      <c r="U799" s="1120"/>
      <c r="V799" s="1120"/>
      <c r="W799" s="1120"/>
      <c r="Z799" s="1145"/>
      <c r="AA799" s="1120"/>
      <c r="AB799" s="1120"/>
      <c r="AC799" s="1120"/>
      <c r="AD799" s="1212"/>
      <c r="AE799" s="1212"/>
      <c r="AF799" s="1186"/>
      <c r="AG799" s="1186"/>
      <c r="AH799" s="1222"/>
      <c r="AI799" s="1222"/>
      <c r="AJ799" s="1222"/>
      <c r="AK799" s="1222"/>
      <c r="AL799" s="1222"/>
      <c r="AM799" s="1222"/>
      <c r="AN799" s="1222"/>
      <c r="AO799" s="1222"/>
      <c r="AP799" s="1222"/>
      <c r="AQ799" s="1222"/>
      <c r="AR799" s="1222"/>
      <c r="AS799" s="1222"/>
      <c r="AT799" s="1222"/>
      <c r="AU799" s="1120"/>
      <c r="AV799" s="445"/>
      <c r="AW799" s="607"/>
      <c r="AX799" s="607"/>
      <c r="AY799" s="607"/>
      <c r="AZ799" s="1209"/>
      <c r="BA799" s="1209"/>
    </row>
    <row r="800" spans="2:53" s="256" customFormat="1" ht="24.95" customHeight="1">
      <c r="B800" s="445"/>
      <c r="C800" s="204"/>
      <c r="D800" s="204"/>
      <c r="E800" s="204"/>
      <c r="F800" s="368"/>
      <c r="G800" s="1134"/>
      <c r="H800" s="401"/>
      <c r="I800" s="317"/>
      <c r="N800" s="317"/>
      <c r="O800" s="1135"/>
      <c r="P800" s="1136"/>
      <c r="Q800" s="1137"/>
      <c r="R800" s="1120"/>
      <c r="S800" s="1120"/>
      <c r="T800" s="1120"/>
      <c r="U800" s="1120"/>
      <c r="V800" s="1120"/>
      <c r="W800" s="1120"/>
      <c r="Z800" s="1145"/>
      <c r="AA800" s="1120"/>
      <c r="AB800" s="1120"/>
      <c r="AC800" s="1120"/>
      <c r="AD800" s="1212"/>
      <c r="AE800" s="1212"/>
      <c r="AF800" s="1186"/>
      <c r="AG800" s="1186"/>
      <c r="AH800" s="1222"/>
      <c r="AI800" s="1222"/>
      <c r="AJ800" s="1222"/>
      <c r="AK800" s="1222"/>
      <c r="AL800" s="1222"/>
      <c r="AM800" s="1222"/>
      <c r="AN800" s="1222"/>
      <c r="AO800" s="1222"/>
      <c r="AP800" s="1222"/>
      <c r="AQ800" s="1222"/>
      <c r="AR800" s="1222"/>
      <c r="AS800" s="1222"/>
      <c r="AT800" s="1222"/>
      <c r="AU800" s="1120"/>
      <c r="AV800" s="445"/>
      <c r="AW800" s="607"/>
      <c r="AX800" s="607"/>
      <c r="AY800" s="607"/>
      <c r="AZ800" s="1209"/>
      <c r="BA800" s="1209"/>
    </row>
    <row r="801" spans="2:53" s="256" customFormat="1" ht="24.95" customHeight="1">
      <c r="B801" s="445"/>
      <c r="C801" s="204"/>
      <c r="D801" s="204"/>
      <c r="E801" s="204"/>
      <c r="F801" s="368"/>
      <c r="G801" s="1134"/>
      <c r="H801" s="401"/>
      <c r="I801" s="317"/>
      <c r="N801" s="317"/>
      <c r="O801" s="1135"/>
      <c r="P801" s="1136"/>
      <c r="Q801" s="1137"/>
      <c r="R801" s="1120"/>
      <c r="S801" s="1120"/>
      <c r="T801" s="1120"/>
      <c r="U801" s="1120"/>
      <c r="V801" s="1120"/>
      <c r="W801" s="1120"/>
      <c r="Z801" s="1145"/>
      <c r="AA801" s="1120"/>
      <c r="AB801" s="1120"/>
      <c r="AC801" s="1120"/>
      <c r="AD801" s="1212"/>
      <c r="AE801" s="1212"/>
      <c r="AF801" s="1186"/>
      <c r="AG801" s="1186"/>
      <c r="AH801" s="1222"/>
      <c r="AI801" s="1222"/>
      <c r="AJ801" s="1222"/>
      <c r="AK801" s="1222"/>
      <c r="AL801" s="1222"/>
      <c r="AM801" s="1222"/>
      <c r="AN801" s="1222"/>
      <c r="AO801" s="1222"/>
      <c r="AP801" s="1222"/>
      <c r="AQ801" s="1222"/>
      <c r="AR801" s="1222"/>
      <c r="AS801" s="1222"/>
      <c r="AT801" s="1222"/>
      <c r="AU801" s="1120"/>
      <c r="AV801" s="445"/>
      <c r="AW801" s="607"/>
      <c r="AX801" s="607"/>
      <c r="AY801" s="607"/>
      <c r="AZ801" s="1209"/>
      <c r="BA801" s="1209"/>
    </row>
    <row r="802" spans="2:53" s="256" customFormat="1" ht="24.95" customHeight="1">
      <c r="B802" s="445"/>
      <c r="C802" s="204"/>
      <c r="D802" s="204"/>
      <c r="E802" s="204"/>
      <c r="F802" s="368"/>
      <c r="G802" s="1134"/>
      <c r="H802" s="401"/>
      <c r="I802" s="317"/>
      <c r="N802" s="317"/>
      <c r="O802" s="1135"/>
      <c r="P802" s="1136"/>
      <c r="Q802" s="1137"/>
      <c r="R802" s="1120"/>
      <c r="S802" s="1120"/>
      <c r="T802" s="1120"/>
      <c r="U802" s="1120"/>
      <c r="V802" s="1120"/>
      <c r="W802" s="1120"/>
      <c r="Z802" s="1145"/>
      <c r="AA802" s="1120"/>
      <c r="AB802" s="1120"/>
      <c r="AC802" s="1120"/>
      <c r="AD802" s="1212"/>
      <c r="AE802" s="1212"/>
      <c r="AF802" s="1186"/>
      <c r="AG802" s="1186"/>
      <c r="AH802" s="1222"/>
      <c r="AI802" s="1222"/>
      <c r="AJ802" s="1222"/>
      <c r="AK802" s="1222"/>
      <c r="AL802" s="1222"/>
      <c r="AM802" s="1222"/>
      <c r="AN802" s="1222"/>
      <c r="AO802" s="1222"/>
      <c r="AP802" s="1222"/>
      <c r="AQ802" s="1222"/>
      <c r="AR802" s="1222"/>
      <c r="AS802" s="1222"/>
      <c r="AT802" s="1222"/>
      <c r="AU802" s="1120"/>
      <c r="AV802" s="445"/>
      <c r="AW802" s="607"/>
      <c r="AX802" s="607"/>
      <c r="AY802" s="607"/>
      <c r="AZ802" s="1209"/>
      <c r="BA802" s="1209"/>
    </row>
    <row r="803" spans="2:53" s="256" customFormat="1" ht="24.95" customHeight="1">
      <c r="B803" s="445"/>
      <c r="C803" s="204"/>
      <c r="D803" s="204"/>
      <c r="E803" s="204"/>
      <c r="F803" s="368"/>
      <c r="G803" s="1134"/>
      <c r="H803" s="401"/>
      <c r="I803" s="317"/>
      <c r="N803" s="317"/>
      <c r="O803" s="1135"/>
      <c r="P803" s="1136"/>
      <c r="Q803" s="1137"/>
      <c r="R803" s="1120"/>
      <c r="S803" s="1120"/>
      <c r="T803" s="1120"/>
      <c r="U803" s="1120"/>
      <c r="V803" s="1120"/>
      <c r="W803" s="1120"/>
      <c r="Z803" s="1145"/>
      <c r="AA803" s="1120"/>
      <c r="AB803" s="1120"/>
      <c r="AC803" s="1120"/>
      <c r="AD803" s="1212"/>
      <c r="AE803" s="1212"/>
      <c r="AF803" s="1186"/>
      <c r="AG803" s="1186"/>
      <c r="AH803" s="1222"/>
      <c r="AI803" s="1222"/>
      <c r="AJ803" s="1222"/>
      <c r="AK803" s="1222"/>
      <c r="AL803" s="1222"/>
      <c r="AM803" s="1222"/>
      <c r="AN803" s="1222"/>
      <c r="AO803" s="1222"/>
      <c r="AP803" s="1222"/>
      <c r="AQ803" s="1222"/>
      <c r="AR803" s="1222"/>
      <c r="AS803" s="1222"/>
      <c r="AT803" s="1222"/>
      <c r="AU803" s="1120"/>
      <c r="AV803" s="445"/>
      <c r="AW803" s="607"/>
      <c r="AX803" s="607"/>
      <c r="AY803" s="607"/>
      <c r="AZ803" s="1209"/>
      <c r="BA803" s="1209"/>
    </row>
    <row r="804" spans="2:53" s="256" customFormat="1" ht="24.95" customHeight="1">
      <c r="B804" s="445"/>
      <c r="C804" s="204"/>
      <c r="D804" s="204"/>
      <c r="E804" s="204"/>
      <c r="F804" s="368"/>
      <c r="G804" s="1134"/>
      <c r="H804" s="401"/>
      <c r="I804" s="317"/>
      <c r="N804" s="317"/>
      <c r="O804" s="1135"/>
      <c r="P804" s="1136"/>
      <c r="Q804" s="1137"/>
      <c r="R804" s="1120"/>
      <c r="S804" s="1120"/>
      <c r="T804" s="1120"/>
      <c r="U804" s="1120"/>
      <c r="V804" s="1120"/>
      <c r="W804" s="1120"/>
      <c r="Z804" s="1145"/>
      <c r="AA804" s="1120"/>
      <c r="AB804" s="1120"/>
      <c r="AC804" s="1120"/>
      <c r="AD804" s="1212"/>
      <c r="AE804" s="1212"/>
      <c r="AF804" s="1186"/>
      <c r="AG804" s="1186"/>
      <c r="AH804" s="1222"/>
      <c r="AI804" s="1222"/>
      <c r="AJ804" s="1222"/>
      <c r="AK804" s="1222"/>
      <c r="AL804" s="1222"/>
      <c r="AM804" s="1222"/>
      <c r="AN804" s="1222"/>
      <c r="AO804" s="1222"/>
      <c r="AP804" s="1222"/>
      <c r="AQ804" s="1222"/>
      <c r="AR804" s="1222"/>
      <c r="AS804" s="1222"/>
      <c r="AT804" s="1222"/>
      <c r="AU804" s="1120"/>
      <c r="AV804" s="445"/>
      <c r="AW804" s="607"/>
      <c r="AX804" s="607"/>
      <c r="AY804" s="607"/>
      <c r="AZ804" s="1209"/>
      <c r="BA804" s="1209"/>
    </row>
    <row r="805" spans="2:53" s="256" customFormat="1" ht="24.95" customHeight="1">
      <c r="B805" s="445"/>
      <c r="C805" s="204"/>
      <c r="D805" s="204"/>
      <c r="E805" s="204"/>
      <c r="F805" s="368"/>
      <c r="G805" s="1134"/>
      <c r="H805" s="401"/>
      <c r="I805" s="317"/>
      <c r="N805" s="317"/>
      <c r="O805" s="1135"/>
      <c r="P805" s="1136"/>
      <c r="Q805" s="1137"/>
      <c r="R805" s="1120"/>
      <c r="S805" s="1120"/>
      <c r="T805" s="1120"/>
      <c r="U805" s="1120"/>
      <c r="V805" s="1120"/>
      <c r="W805" s="1120"/>
      <c r="Z805" s="1145"/>
      <c r="AA805" s="1120"/>
      <c r="AB805" s="1120"/>
      <c r="AC805" s="1120"/>
      <c r="AD805" s="1212"/>
      <c r="AE805" s="1212"/>
      <c r="AF805" s="1186"/>
      <c r="AG805" s="1186"/>
      <c r="AH805" s="1222"/>
      <c r="AI805" s="1222"/>
      <c r="AJ805" s="1222"/>
      <c r="AK805" s="1222"/>
      <c r="AL805" s="1222"/>
      <c r="AM805" s="1222"/>
      <c r="AN805" s="1222"/>
      <c r="AO805" s="1222"/>
      <c r="AP805" s="1222"/>
      <c r="AQ805" s="1222"/>
      <c r="AR805" s="1222"/>
      <c r="AS805" s="1222"/>
      <c r="AT805" s="1222"/>
      <c r="AU805" s="1120"/>
      <c r="AV805" s="445"/>
      <c r="AW805" s="607"/>
      <c r="AX805" s="607"/>
      <c r="AY805" s="607"/>
      <c r="AZ805" s="1209"/>
      <c r="BA805" s="1209"/>
    </row>
    <row r="806" spans="2:53" s="256" customFormat="1" ht="24.95" customHeight="1">
      <c r="B806" s="445"/>
      <c r="C806" s="204"/>
      <c r="D806" s="204"/>
      <c r="E806" s="204"/>
      <c r="F806" s="368"/>
      <c r="G806" s="1134"/>
      <c r="H806" s="401"/>
      <c r="I806" s="317"/>
      <c r="N806" s="317"/>
      <c r="O806" s="1135"/>
      <c r="P806" s="1136"/>
      <c r="Q806" s="1137"/>
      <c r="R806" s="1120"/>
      <c r="S806" s="1120"/>
      <c r="T806" s="1120"/>
      <c r="U806" s="1120"/>
      <c r="V806" s="1120"/>
      <c r="W806" s="1120"/>
      <c r="Z806" s="1145"/>
      <c r="AA806" s="1120"/>
      <c r="AB806" s="1120"/>
      <c r="AC806" s="1120"/>
      <c r="AD806" s="1212"/>
      <c r="AE806" s="1212"/>
      <c r="AF806" s="1186"/>
      <c r="AG806" s="1186"/>
      <c r="AH806" s="1222"/>
      <c r="AI806" s="1222"/>
      <c r="AJ806" s="1222"/>
      <c r="AK806" s="1222"/>
      <c r="AL806" s="1222"/>
      <c r="AM806" s="1222"/>
      <c r="AN806" s="1222"/>
      <c r="AO806" s="1222"/>
      <c r="AP806" s="1222"/>
      <c r="AQ806" s="1222"/>
      <c r="AR806" s="1222"/>
      <c r="AS806" s="1222"/>
      <c r="AT806" s="1222"/>
      <c r="AU806" s="1120"/>
      <c r="AV806" s="445"/>
      <c r="AW806" s="607"/>
      <c r="AX806" s="607"/>
      <c r="AY806" s="607"/>
      <c r="AZ806" s="1209"/>
      <c r="BA806" s="1209"/>
    </row>
    <row r="807" spans="2:53" s="256" customFormat="1" ht="24.95" customHeight="1">
      <c r="B807" s="445"/>
      <c r="C807" s="204"/>
      <c r="D807" s="204"/>
      <c r="E807" s="204"/>
      <c r="F807" s="368"/>
      <c r="G807" s="1134"/>
      <c r="H807" s="401"/>
      <c r="I807" s="317"/>
      <c r="N807" s="317"/>
      <c r="O807" s="1135"/>
      <c r="P807" s="1136"/>
      <c r="Q807" s="1137"/>
      <c r="R807" s="1120"/>
      <c r="S807" s="1120"/>
      <c r="T807" s="1120"/>
      <c r="U807" s="1120"/>
      <c r="V807" s="1120"/>
      <c r="W807" s="1120"/>
      <c r="Z807" s="1145"/>
      <c r="AA807" s="1120"/>
      <c r="AB807" s="1120"/>
      <c r="AC807" s="1120"/>
      <c r="AD807" s="1212"/>
      <c r="AE807" s="1212"/>
      <c r="AF807" s="1186"/>
      <c r="AG807" s="1186"/>
      <c r="AH807" s="1222"/>
      <c r="AI807" s="1222"/>
      <c r="AJ807" s="1222"/>
      <c r="AK807" s="1222"/>
      <c r="AL807" s="1222"/>
      <c r="AM807" s="1222"/>
      <c r="AN807" s="1222"/>
      <c r="AO807" s="1222"/>
      <c r="AP807" s="1222"/>
      <c r="AQ807" s="1222"/>
      <c r="AR807" s="1222"/>
      <c r="AS807" s="1222"/>
      <c r="AT807" s="1222"/>
      <c r="AU807" s="1120"/>
      <c r="AV807" s="445"/>
      <c r="AW807" s="607"/>
      <c r="AX807" s="607"/>
      <c r="AY807" s="607"/>
      <c r="AZ807" s="1209"/>
      <c r="BA807" s="1209"/>
    </row>
    <row r="808" spans="2:53" s="256" customFormat="1" ht="24.95" customHeight="1">
      <c r="B808" s="445"/>
      <c r="C808" s="204"/>
      <c r="D808" s="204"/>
      <c r="E808" s="204"/>
      <c r="F808" s="368"/>
      <c r="G808" s="1134"/>
      <c r="H808" s="401"/>
      <c r="I808" s="317"/>
      <c r="N808" s="317"/>
      <c r="O808" s="1135"/>
      <c r="P808" s="1136"/>
      <c r="Q808" s="1137"/>
      <c r="R808" s="1120"/>
      <c r="S808" s="1120"/>
      <c r="T808" s="1120"/>
      <c r="U808" s="1120"/>
      <c r="V808" s="1120"/>
      <c r="W808" s="1120"/>
      <c r="Z808" s="1145"/>
      <c r="AA808" s="1120"/>
      <c r="AB808" s="1120"/>
      <c r="AC808" s="1120"/>
      <c r="AD808" s="1212"/>
      <c r="AE808" s="1212"/>
      <c r="AF808" s="1186"/>
      <c r="AG808" s="1186"/>
      <c r="AH808" s="1222"/>
      <c r="AI808" s="1222"/>
      <c r="AJ808" s="1222"/>
      <c r="AK808" s="1222"/>
      <c r="AL808" s="1222"/>
      <c r="AM808" s="1222"/>
      <c r="AN808" s="1222"/>
      <c r="AO808" s="1222"/>
      <c r="AP808" s="1222"/>
      <c r="AQ808" s="1222"/>
      <c r="AR808" s="1222"/>
      <c r="AS808" s="1222"/>
      <c r="AT808" s="1222"/>
      <c r="AU808" s="1120"/>
      <c r="AV808" s="445"/>
      <c r="AW808" s="607"/>
      <c r="AX808" s="607"/>
      <c r="AY808" s="607"/>
      <c r="AZ808" s="1209"/>
      <c r="BA808" s="1209"/>
    </row>
    <row r="809" spans="2:53" s="256" customFormat="1" ht="24.95" customHeight="1">
      <c r="B809" s="445"/>
      <c r="C809" s="204"/>
      <c r="D809" s="204"/>
      <c r="E809" s="204"/>
      <c r="F809" s="368"/>
      <c r="G809" s="1134"/>
      <c r="H809" s="401"/>
      <c r="I809" s="317"/>
      <c r="N809" s="317"/>
      <c r="O809" s="1135"/>
      <c r="P809" s="1136"/>
      <c r="Q809" s="1137"/>
      <c r="R809" s="1120"/>
      <c r="S809" s="1120"/>
      <c r="T809" s="1120"/>
      <c r="U809" s="1120"/>
      <c r="V809" s="1120"/>
      <c r="W809" s="1120"/>
      <c r="Z809" s="1145"/>
      <c r="AA809" s="1120"/>
      <c r="AB809" s="1120"/>
      <c r="AC809" s="1120"/>
      <c r="AD809" s="1212"/>
      <c r="AE809" s="1212"/>
      <c r="AF809" s="1186"/>
      <c r="AG809" s="1186"/>
      <c r="AH809" s="1222"/>
      <c r="AI809" s="1222"/>
      <c r="AJ809" s="1222"/>
      <c r="AK809" s="1222"/>
      <c r="AL809" s="1222"/>
      <c r="AM809" s="1222"/>
      <c r="AN809" s="1222"/>
      <c r="AO809" s="1222"/>
      <c r="AP809" s="1222"/>
      <c r="AQ809" s="1222"/>
      <c r="AR809" s="1222"/>
      <c r="AS809" s="1222"/>
      <c r="AT809" s="1222"/>
      <c r="AU809" s="1120"/>
      <c r="AV809" s="445"/>
      <c r="AW809" s="607"/>
      <c r="AX809" s="607"/>
      <c r="AY809" s="607"/>
      <c r="AZ809" s="1209"/>
      <c r="BA809" s="1209"/>
    </row>
    <row r="810" spans="2:53" s="256" customFormat="1" ht="24.95" customHeight="1">
      <c r="B810" s="445"/>
      <c r="C810" s="204"/>
      <c r="D810" s="204"/>
      <c r="E810" s="204"/>
      <c r="F810" s="368"/>
      <c r="G810" s="1134"/>
      <c r="H810" s="401"/>
      <c r="I810" s="317"/>
      <c r="N810" s="317"/>
      <c r="O810" s="1135"/>
      <c r="P810" s="1136"/>
      <c r="Q810" s="1137"/>
      <c r="R810" s="1120"/>
      <c r="S810" s="1120"/>
      <c r="T810" s="1120"/>
      <c r="U810" s="1120"/>
      <c r="V810" s="1120"/>
      <c r="W810" s="1120"/>
      <c r="Z810" s="1145"/>
      <c r="AA810" s="1120"/>
      <c r="AB810" s="1120"/>
      <c r="AC810" s="1120"/>
      <c r="AD810" s="1212"/>
      <c r="AE810" s="1212"/>
      <c r="AF810" s="1186"/>
      <c r="AG810" s="1186"/>
      <c r="AH810" s="1222"/>
      <c r="AI810" s="1222"/>
      <c r="AJ810" s="1222"/>
      <c r="AK810" s="1222"/>
      <c r="AL810" s="1222"/>
      <c r="AM810" s="1222"/>
      <c r="AN810" s="1222"/>
      <c r="AO810" s="1222"/>
      <c r="AP810" s="1222"/>
      <c r="AQ810" s="1222"/>
      <c r="AR810" s="1222"/>
      <c r="AS810" s="1222"/>
      <c r="AT810" s="1222"/>
      <c r="AU810" s="1120"/>
      <c r="AV810" s="445"/>
      <c r="AW810" s="607"/>
      <c r="AX810" s="607"/>
      <c r="AY810" s="607"/>
      <c r="AZ810" s="1209"/>
      <c r="BA810" s="1209"/>
    </row>
    <row r="811" spans="2:53" s="256" customFormat="1" ht="24.95" customHeight="1">
      <c r="B811" s="445"/>
      <c r="C811" s="204"/>
      <c r="D811" s="204"/>
      <c r="E811" s="204"/>
      <c r="F811" s="368"/>
      <c r="G811" s="1134"/>
      <c r="H811" s="401"/>
      <c r="I811" s="317"/>
      <c r="N811" s="317"/>
      <c r="O811" s="1135"/>
      <c r="P811" s="1136"/>
      <c r="Q811" s="1137"/>
      <c r="R811" s="1120"/>
      <c r="S811" s="1120"/>
      <c r="T811" s="1120"/>
      <c r="U811" s="1120"/>
      <c r="V811" s="1120"/>
      <c r="W811" s="1120"/>
      <c r="Z811" s="1145"/>
      <c r="AA811" s="1120"/>
      <c r="AB811" s="1120"/>
      <c r="AC811" s="1120"/>
      <c r="AD811" s="1212"/>
      <c r="AE811" s="1212"/>
      <c r="AF811" s="1186"/>
      <c r="AG811" s="1186"/>
      <c r="AH811" s="1222"/>
      <c r="AI811" s="1222"/>
      <c r="AJ811" s="1222"/>
      <c r="AK811" s="1222"/>
      <c r="AL811" s="1222"/>
      <c r="AM811" s="1222"/>
      <c r="AN811" s="1222"/>
      <c r="AO811" s="1222"/>
      <c r="AP811" s="1222"/>
      <c r="AQ811" s="1222"/>
      <c r="AR811" s="1222"/>
      <c r="AS811" s="1222"/>
      <c r="AT811" s="1222"/>
      <c r="AU811" s="1120"/>
      <c r="AV811" s="445"/>
      <c r="AW811" s="607"/>
      <c r="AX811" s="607"/>
      <c r="AY811" s="607"/>
      <c r="AZ811" s="1209"/>
      <c r="BA811" s="1209"/>
    </row>
    <row r="812" spans="2:53" s="256" customFormat="1" ht="24.95" customHeight="1">
      <c r="B812" s="445"/>
      <c r="C812" s="204"/>
      <c r="D812" s="204"/>
      <c r="E812" s="204"/>
      <c r="F812" s="368"/>
      <c r="G812" s="1134"/>
      <c r="H812" s="401"/>
      <c r="I812" s="317"/>
      <c r="N812" s="317"/>
      <c r="O812" s="1135"/>
      <c r="P812" s="1136"/>
      <c r="Q812" s="1137"/>
      <c r="R812" s="1120"/>
      <c r="S812" s="1120"/>
      <c r="T812" s="1120"/>
      <c r="U812" s="1120"/>
      <c r="V812" s="1120"/>
      <c r="W812" s="1120"/>
      <c r="Z812" s="1145"/>
      <c r="AA812" s="1120"/>
      <c r="AB812" s="1120"/>
      <c r="AC812" s="1120"/>
      <c r="AD812" s="1212"/>
      <c r="AE812" s="1212"/>
      <c r="AF812" s="1186"/>
      <c r="AG812" s="1186"/>
      <c r="AH812" s="1222"/>
      <c r="AI812" s="1222"/>
      <c r="AJ812" s="1222"/>
      <c r="AK812" s="1222"/>
      <c r="AL812" s="1222"/>
      <c r="AM812" s="1222"/>
      <c r="AN812" s="1222"/>
      <c r="AO812" s="1222"/>
      <c r="AP812" s="1222"/>
      <c r="AQ812" s="1222"/>
      <c r="AR812" s="1222"/>
      <c r="AS812" s="1222"/>
      <c r="AT812" s="1222"/>
      <c r="AU812" s="1120"/>
      <c r="AV812" s="445"/>
      <c r="AW812" s="607"/>
      <c r="AX812" s="607"/>
      <c r="AY812" s="607"/>
      <c r="AZ812" s="1209"/>
      <c r="BA812" s="1209"/>
    </row>
    <row r="813" spans="2:53" s="256" customFormat="1" ht="24.95" customHeight="1">
      <c r="B813" s="445"/>
      <c r="C813" s="204"/>
      <c r="D813" s="204"/>
      <c r="E813" s="204"/>
      <c r="F813" s="368"/>
      <c r="G813" s="1134"/>
      <c r="H813" s="401"/>
      <c r="I813" s="317"/>
      <c r="N813" s="317"/>
      <c r="O813" s="1135"/>
      <c r="P813" s="1136"/>
      <c r="Q813" s="1137"/>
      <c r="R813" s="1120"/>
      <c r="S813" s="1120"/>
      <c r="T813" s="1120"/>
      <c r="U813" s="1120"/>
      <c r="V813" s="1120"/>
      <c r="W813" s="1120"/>
      <c r="Z813" s="1145"/>
      <c r="AA813" s="1120"/>
      <c r="AB813" s="1120"/>
      <c r="AC813" s="1120"/>
      <c r="AD813" s="1212"/>
      <c r="AE813" s="1212"/>
      <c r="AF813" s="1186"/>
      <c r="AG813" s="1186"/>
      <c r="AH813" s="1222"/>
      <c r="AI813" s="1222"/>
      <c r="AJ813" s="1222"/>
      <c r="AK813" s="1222"/>
      <c r="AL813" s="1222"/>
      <c r="AM813" s="1222"/>
      <c r="AN813" s="1222"/>
      <c r="AO813" s="1222"/>
      <c r="AP813" s="1222"/>
      <c r="AQ813" s="1222"/>
      <c r="AR813" s="1222"/>
      <c r="AS813" s="1222"/>
      <c r="AT813" s="1222"/>
      <c r="AU813" s="1120"/>
      <c r="AV813" s="445"/>
      <c r="AW813" s="607"/>
      <c r="AX813" s="607"/>
      <c r="AY813" s="607"/>
      <c r="AZ813" s="1209"/>
      <c r="BA813" s="1209"/>
    </row>
  </sheetData>
  <mergeCells count="1">
    <mergeCell ref="F2:H2"/>
  </mergeCells>
  <dataValidations count="5">
    <dataValidation type="list" allowBlank="1" showInputMessage="1" showErrorMessage="1" sqref="F2" xr:uid="{A12BE5FD-EF57-4AAD-B94D-62F223DE0331}">
      <formula1>branch_option</formula1>
    </dataValidation>
    <dataValidation type="list" allowBlank="1" showInputMessage="1" showErrorMessage="1" sqref="J2:Z2" xr:uid="{54AAAB9E-D9E8-4468-9D86-0395CDE36492}">
      <formula1>price_type_option</formula1>
    </dataValidation>
    <dataValidation type="list" allowBlank="1" showInputMessage="1" showErrorMessage="1" sqref="X20:X813" xr:uid="{3A8801BB-339D-4854-996A-B1B5F3661B75}">
      <formula1>uom_option</formula1>
    </dataValidation>
    <dataValidation type="list" allowBlank="1" showInputMessage="1" showErrorMessage="1" sqref="J20:J219" xr:uid="{EE9D66FB-9552-46C3-8AED-85919C8E601D}">
      <formula1>product_group_option</formula1>
    </dataValidation>
    <dataValidation type="list" allowBlank="1" showInputMessage="1" showErrorMessage="1" sqref="K20:K219" xr:uid="{86347112-11FE-461A-9998-EB195E84D4FF}">
      <formula1>product_brand_option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90945" r:id="rId4" name="Button 1">
              <controlPr defaultSize="0" autoFill="0" autoPict="0" macro="[0]!importProductPriceByUom">
                <anchor>
                  <from>
                    <xdr:col>3</xdr:col>
                    <xdr:colOff>1038225</xdr:colOff>
                    <xdr:row>0</xdr:row>
                    <xdr:rowOff>95250</xdr:rowOff>
                  </from>
                  <to>
                    <xdr:col>5</xdr:col>
                    <xdr:colOff>342900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E27BC1BA-2931-412A-BFCF-F6C2AD0824D0}">
  <ds:schemaRefs/>
</ds:datastoreItem>
</file>

<file path=customXml/itemProps2.xml><?xml version="1.0" encoding="utf-8"?>
<ds:datastoreItem xmlns:ds="http://schemas.openxmlformats.org/officeDocument/2006/customXml" ds:itemID="{267CAF88-E639-45A1-8BA9-EC131FA570FE}">
  <ds:schemaRefs/>
</ds:datastoreItem>
</file>

<file path=customXml/itemProps3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3AAF10D-7B32-4C1D-A7E1-FA34FE2DB930}">
  <ds:schemaRefs/>
</ds:datastoreItem>
</file>

<file path=customXml/itemProps5.xml><?xml version="1.0" encoding="utf-8"?>
<ds:datastoreItem xmlns:ds="http://schemas.openxmlformats.org/officeDocument/2006/customXml" ds:itemID="{ADC146D0-807C-44AA-9A06-51FA38B5E60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537</vt:i4>
      </vt:variant>
    </vt:vector>
  </HeadingPairs>
  <TitlesOfParts>
    <vt:vector size="588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PrintInvoice</vt:lpstr>
      <vt:lpstr>PrintPurchaseBill</vt:lpstr>
      <vt:lpstr>AddPurchaseBill</vt:lpstr>
      <vt:lpstr>AddQuotation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ProductListFinal</vt:lpstr>
      <vt:lpstr>InvoicePrinting</vt:lpstr>
      <vt:lpstr>ImportProductPrice</vt:lpstr>
      <vt:lpstr>ImportProductPrice (2)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AddReceivePayment!c_invoice_date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c_rp_amount_en_paid</vt:lpstr>
      <vt:lpstr>OtherExpense!c_rp_amount_kh_paid</vt:lpstr>
      <vt:lpstr>c_rp_amount_kh_paid</vt:lpstr>
      <vt:lpstr>OtherExpense!c_rp_current_date</vt:lpstr>
      <vt:lpstr>c_rp_current_date</vt:lpstr>
      <vt:lpstr>c_rp_customer_code</vt:lpstr>
      <vt:lpstr>c_rp_customer_id</vt:lpstr>
      <vt:lpstr>OtherExpense!c_rp_description</vt:lpstr>
      <vt:lpstr>c_rp_description</vt:lpstr>
      <vt:lpstr>c_rp_discount</vt:lpstr>
      <vt:lpstr>OtherExpense!c_rp_exchange_rate</vt:lpstr>
      <vt:lpstr>c_rp_exchange_rate</vt:lpstr>
      <vt:lpstr>OtherExpense!c_rp_invoice_no</vt:lpstr>
      <vt:lpstr>c_rp_invoice_no</vt:lpstr>
      <vt:lpstr>OtherExpense!c_rp_module_types_option</vt:lpstr>
      <vt:lpstr>c_rp_module_types_option</vt:lpstr>
      <vt:lpstr>OtherExpense!c_rp_receipt_no</vt:lpstr>
      <vt:lpstr>c_rp_receipt_no</vt:lpstr>
      <vt:lpstr>OtherExpense!c_rp_status</vt:lpstr>
      <vt:lpstr>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AddReceivePayment!group_member_option_select</vt:lpstr>
      <vt:lpstr>'ImportProductPrice (2)'!import_pro_branch_id</vt:lpstr>
      <vt:lpstr>import_pro_branch_id</vt:lpstr>
      <vt:lpstr>'ImportProductPrice (2)'!import_pro_number_of_price_type</vt:lpstr>
      <vt:lpstr>import_pro_number_of_price_type</vt:lpstr>
      <vt:lpstr>'ImportProductPrice (2)'!import_pro_price_type_arr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AddQuotation!invoice_branch</vt:lpstr>
      <vt:lpstr>AddQuotation!invoice_branch_id</vt:lpstr>
      <vt:lpstr>invoice_branch_id</vt:lpstr>
      <vt:lpstr>AddQuotation!invoice_chart_acc_income</vt:lpstr>
      <vt:lpstr>invoice_chart_acc_income</vt:lpstr>
      <vt:lpstr>AddQuotation!invoice_chart_account_id</vt:lpstr>
      <vt:lpstr>invoice_chart_account_id</vt:lpstr>
      <vt:lpstr>AddQuotation!invoice_code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AddQuotation!invoice_column_product</vt:lpstr>
      <vt:lpstr>AddQuotation!invoice_column_qty_free</vt:lpstr>
      <vt:lpstr>invoice_column_remark</vt:lpstr>
      <vt:lpstr>AddInvoice!invoice_column_uom</vt:lpstr>
      <vt:lpstr>invoice_column_uom</vt:lpstr>
      <vt:lpstr>AddInvoice!invoice_copy_print_letter_head</vt:lpstr>
      <vt:lpstr>AddQuotation!invoice_copy_print_letter_head</vt:lpstr>
      <vt:lpstr>AddQuotation!invoice_currency_id</vt:lpstr>
      <vt:lpstr>invoice_currency_id</vt:lpstr>
      <vt:lpstr>AddQuotation!invoice_currency_symbol</vt:lpstr>
      <vt:lpstr>invoice_currency_symbol</vt:lpstr>
      <vt:lpstr>AddInvoice!invoice_customer</vt:lpstr>
      <vt:lpstr>AddQuotation!invoice_customer</vt:lpstr>
      <vt:lpstr>AddQuotation!invoice_customer_id</vt:lpstr>
      <vt:lpstr>invoice_customer_id</vt:lpstr>
      <vt:lpstr>AddQuotation!invoice_date</vt:lpstr>
      <vt:lpstr>invoice_date</vt:lpstr>
      <vt:lpstr>AddQuotation!invoice_deposit</vt:lpstr>
      <vt:lpstr>invoice_deposit</vt:lpstr>
      <vt:lpstr>AddQuotation!invoice_discount</vt:lpstr>
      <vt:lpstr>invoice_discount</vt:lpstr>
      <vt:lpstr>AddQuotation!invoice_discount_amount</vt:lpstr>
      <vt:lpstr>invoice_discount_amount</vt:lpstr>
      <vt:lpstr>AddInvoice!invoice_discount_by_item</vt:lpstr>
      <vt:lpstr>AddQuotation!invoice_discount_by_item</vt:lpstr>
      <vt:lpstr>AddQuotation!invoice_discount_id</vt:lpstr>
      <vt:lpstr>invoice_discount_id</vt:lpstr>
      <vt:lpstr>AddQuotation!invoice_discount_option</vt:lpstr>
      <vt:lpstr>invoice_discount_option</vt:lpstr>
      <vt:lpstr>AddQuotation!invoice_discount_percent</vt:lpstr>
      <vt:lpstr>invoice_discount_percent</vt:lpstr>
      <vt:lpstr>AddQuotation!invoice_exchange_rate</vt:lpstr>
      <vt:lpstr>invoice_exchange_rate</vt:lpstr>
      <vt:lpstr>AddQuotation!invoice_location</vt:lpstr>
      <vt:lpstr>invoice_location</vt:lpstr>
      <vt:lpstr>AddQuotation!invoice_location_group_id</vt:lpstr>
      <vt:lpstr>invoice_location_group_id</vt:lpstr>
      <vt:lpstr>AddQuotation!invoice_location_id</vt:lpstr>
      <vt:lpstr>invoice_location_id</vt:lpstr>
      <vt:lpstr>AddQuotation!invoice_no</vt:lpstr>
      <vt:lpstr>invoice_no</vt:lpstr>
      <vt:lpstr>AddQuotation!invoice_note</vt:lpstr>
      <vt:lpstr>AddReceivePayment!invoice_note</vt:lpstr>
      <vt:lpstr>invoice_note</vt:lpstr>
      <vt:lpstr>AddQuotation!invoice_payment_term_id</vt:lpstr>
      <vt:lpstr>invoice_payment_term_id</vt:lpstr>
      <vt:lpstr>AddQuotation!invoice_price_type</vt:lpstr>
      <vt:lpstr>invoice_price_type</vt:lpstr>
      <vt:lpstr>AddQuotation!invoice_price_type_id</vt:lpstr>
      <vt:lpstr>invoice_price_type_id</vt:lpstr>
      <vt:lpstr>AddInvoice!invoice_qty</vt:lpstr>
      <vt:lpstr>AddQuotation!invoice_qty</vt:lpstr>
      <vt:lpstr>AddInvoice!invoice_qty_free</vt:lpstr>
      <vt:lpstr>AddQuotation!invoice_qty_free</vt:lpstr>
      <vt:lpstr>AddQuotation!invoice_seller</vt:lpstr>
      <vt:lpstr>invoice_seller</vt:lpstr>
      <vt:lpstr>AddQuotation!invoice_seller_id</vt:lpstr>
      <vt:lpstr>invoice_seller_id</vt:lpstr>
      <vt:lpstr>AddQuotation!invoice_status</vt:lpstr>
      <vt:lpstr>invoice_status</vt:lpstr>
      <vt:lpstr>AddQuotation!invoice_sub_total_amount</vt:lpstr>
      <vt:lpstr>invoice_sub_total_amount</vt:lpstr>
      <vt:lpstr>invoice_tax_code</vt:lpstr>
      <vt:lpstr>invoice_tax_no</vt:lpstr>
      <vt:lpstr>AddQuotation!invoice_total_amount</vt:lpstr>
      <vt:lpstr>invoice_total_amount</vt:lpstr>
      <vt:lpstr>AddQuotation!invoice_total_dis_item_free</vt:lpstr>
      <vt:lpstr>invoice_total_dis_item_free</vt:lpstr>
      <vt:lpstr>AddInvoice!invoice_total_price_bf_discount</vt:lpstr>
      <vt:lpstr>AddQuotation!invoice_total_price_bf_discount</vt:lpstr>
      <vt:lpstr>AddQuotation!invoice_total_vat</vt:lpstr>
      <vt:lpstr>invoice_total_vat</vt:lpstr>
      <vt:lpstr>AddQuotation!invoice_type_id</vt:lpstr>
      <vt:lpstr>invoice_type_id</vt:lpstr>
      <vt:lpstr>invoice_type_list</vt:lpstr>
      <vt:lpstr>invoice_type_option</vt:lpstr>
      <vt:lpstr>AddQuotation!invoice_vat</vt:lpstr>
      <vt:lpstr>invoice_vat</vt:lpstr>
      <vt:lpstr>AddInvoice!invoice_vat_cal_id</vt:lpstr>
      <vt:lpstr>AddQuotation!invoice_vat_cal_id</vt:lpstr>
      <vt:lpstr>AddQuotation!invoice_vat_chart_acc_id</vt:lpstr>
      <vt:lpstr>invoice_vat_chart_acc_id</vt:lpstr>
      <vt:lpstr>AddQuotation!invoice_vat_percent</vt:lpstr>
      <vt:lpstr>invoice_vat_percent</vt:lpstr>
      <vt:lpstr>AddQuotation!invoice_week</vt:lpstr>
      <vt:lpstr>invoice_week</vt:lpstr>
      <vt:lpstr>iow_1</vt:lpstr>
      <vt:lpstr>CountStock!item_code_invoice</vt:lpstr>
      <vt:lpstr>last_adj_id</vt:lpstr>
      <vt:lpstr>AddQuotation!last_invoice_id</vt:lpstr>
      <vt:lpstr>last_invoice_id</vt:lpstr>
      <vt:lpstr>AddPurchaseBill!last_pb_id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'ImportProductPrice (2)'!Print_Area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ProductPrice!Print_Titles</vt:lpstr>
      <vt:lpstr>ImportProductPrice!product_barcode_list</vt:lpstr>
      <vt:lpstr>'ImportProductPrice (2)'!product_barcode_list</vt:lpstr>
      <vt:lpstr>product_barcode_list</vt:lpstr>
      <vt:lpstr>product_brand_list</vt:lpstr>
      <vt:lpstr>product_brand_option</vt:lpstr>
      <vt:lpstr>product_group_list</vt:lpstr>
      <vt:lpstr>product_group_option</vt:lpstr>
      <vt:lpstr>ImportProductPrice!product_list</vt:lpstr>
      <vt:lpstr>'ImportProductPrice (2)'!product_list</vt:lpstr>
      <vt:lpstr>product_list</vt:lpstr>
      <vt:lpstr>ImportProductPrice!product_list_second</vt:lpstr>
      <vt:lpstr>'ImportProductPrice (2)'!product_list_second</vt:lpstr>
      <vt:lpstr>product_list_second</vt:lpstr>
      <vt:lpstr>ImportProductPrice!product_name_option</vt:lpstr>
      <vt:lpstr>'ImportProductPrice (2)'!product_name_option</vt:lpstr>
      <vt:lpstr>product_name_option</vt:lpstr>
      <vt:lpstr>ImportProductPrice!product_name_th</vt:lpstr>
      <vt:lpstr>'ImportProductPrice (2)'!product_name_th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product_price_uom</vt:lpstr>
      <vt:lpstr>product_price_uom_id</vt:lpstr>
      <vt:lpstr>PrintInvAdjustment!qr_code_adj</vt:lpstr>
      <vt:lpstr>qr_code_invoice</vt:lpstr>
      <vt:lpstr>PrintPurchaseBill!qr_code_pb</vt:lpstr>
      <vt:lpstr>AddReceivePayment!qty_invoice</vt:lpstr>
      <vt:lpstr>CountStock!qty_invoice</vt:lpstr>
      <vt:lpstr>OtherExpense!qty_invoice</vt:lpstr>
      <vt:lpstr>AddInvoice!quote_total_dis_item_free</vt:lpstr>
      <vt:lpstr>AddQuotation!quote_total_dis_item_free</vt:lpstr>
      <vt:lpstr>'( 3)'!Reference_Area</vt:lpstr>
      <vt:lpstr>rp_amount_due</vt:lpstr>
      <vt:lpstr>rp_amount_paid_befor</vt:lpstr>
      <vt:lpstr>rp_amount_paid_over</vt:lpstr>
      <vt:lpstr>rp_customer_name</vt:lpstr>
      <vt:lpstr>rp_expense_type</vt:lpstr>
      <vt:lpstr>rp_income_id</vt:lpstr>
      <vt:lpstr>rp_invoice_date</vt:lpstr>
      <vt:lpstr>rp_invoice_sheet_no</vt:lpstr>
      <vt:lpstr>rp_last_discount</vt:lpstr>
      <vt:lpstr>OtherExpense!rp_option_income_from</vt:lpstr>
      <vt:lpstr>rp_option_income_from</vt:lpstr>
      <vt:lpstr>OtherExpense!rp_option_income_type</vt:lpstr>
      <vt:lpstr>rp_option_income_type</vt:lpstr>
      <vt:lpstr>rp_receipt_code</vt:lpstr>
      <vt:lpstr>rp_recipient_id</vt:lpstr>
      <vt:lpstr>rp_recipient_option</vt:lpstr>
      <vt:lpstr>rp_status_note</vt:lpstr>
      <vt:lpstr>rp_total_amount_paid</vt:lpstr>
      <vt:lpstr>rp_total_balance</vt:lpstr>
      <vt:lpstr>rp_total_balance_unpaid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2026-07-13T09:44:30Z</cp:lastPrinted>
  <dcterms:created xsi:type="dcterms:W3CDTF">2019-10-05T07:51:15Z</dcterms:created>
  <dcterms:modified xsi:type="dcterms:W3CDTF">2026-07-13T10:22:45Z</dcterms:modified>
  <cp:category/>
  <cp:contentStatus/>
</cp:coreProperties>
</file>