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c5a6992679c711c8/Desktop/Financial Modelling/"/>
    </mc:Choice>
  </mc:AlternateContent>
  <xr:revisionPtr revIDLastSave="1" documentId="11_F25DC773A252ABDACC104880C1DA681A5BDE58E7" xr6:coauthVersionLast="45" xr6:coauthVersionMax="45" xr10:uidLastSave="{578F6F31-E090-42B6-B6CC-CFE7AA8A3E01}"/>
  <bookViews>
    <workbookView xWindow="-108" yWindow="-108" windowWidth="23256" windowHeight="12456" xr2:uid="{00000000-000D-0000-FFFF-FFFF00000000}"/>
  </bookViews>
  <sheets>
    <sheet name="Comps_Val" sheetId="1" r:id="rId1"/>
    <sheet name="Data" sheetId="2" r:id="rId2"/>
  </sheets>
  <definedNames>
    <definedName name="_xlnm.Print_Area" localSheetId="0">Comps_Val!$A$1:$Q$40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1" i="1" l="1"/>
  <c r="P31" i="1"/>
  <c r="O31" i="1"/>
  <c r="M13" i="1"/>
  <c r="Q13" i="1" s="1"/>
  <c r="L13" i="1"/>
  <c r="K13" i="1"/>
  <c r="H13" i="1"/>
  <c r="O34" i="1" s="1"/>
  <c r="F13" i="1"/>
  <c r="Q36" i="1" s="1"/>
  <c r="E13" i="1"/>
  <c r="G13" i="1" s="1"/>
  <c r="B13" i="1"/>
  <c r="H22" i="1"/>
  <c r="H21" i="1"/>
  <c r="H20" i="1"/>
  <c r="H19" i="1"/>
  <c r="H18" i="1"/>
  <c r="H17" i="1"/>
  <c r="H16" i="1"/>
  <c r="H15" i="1"/>
  <c r="H14" i="1"/>
  <c r="H12" i="2"/>
  <c r="H11" i="2"/>
  <c r="H10" i="2"/>
  <c r="H9" i="2"/>
  <c r="H8" i="2"/>
  <c r="H7" i="2"/>
  <c r="H6" i="2"/>
  <c r="H5" i="2"/>
  <c r="H4" i="2"/>
  <c r="H3" i="2"/>
  <c r="M22" i="1"/>
  <c r="M21" i="1"/>
  <c r="M20" i="1"/>
  <c r="M19" i="1"/>
  <c r="M18" i="1"/>
  <c r="M17" i="1"/>
  <c r="M16" i="1"/>
  <c r="M15" i="1"/>
  <c r="M14" i="1"/>
  <c r="L22" i="1"/>
  <c r="L21" i="1"/>
  <c r="L20" i="1"/>
  <c r="L19" i="1"/>
  <c r="L18" i="1"/>
  <c r="L17" i="1"/>
  <c r="L16" i="1"/>
  <c r="L15" i="1"/>
  <c r="L14" i="1"/>
  <c r="K22" i="1"/>
  <c r="K21" i="1"/>
  <c r="K20" i="1"/>
  <c r="K19" i="1"/>
  <c r="K18" i="1"/>
  <c r="K17" i="1"/>
  <c r="K16" i="1"/>
  <c r="K15" i="1"/>
  <c r="K14" i="1"/>
  <c r="F22" i="1"/>
  <c r="F21" i="1"/>
  <c r="F20" i="1"/>
  <c r="F19" i="1"/>
  <c r="F18" i="1"/>
  <c r="F17" i="1"/>
  <c r="F16" i="1"/>
  <c r="G16" i="1" s="1"/>
  <c r="F15" i="1"/>
  <c r="F14" i="1"/>
  <c r="E22" i="1"/>
  <c r="G22" i="1" s="1"/>
  <c r="I22" i="1" s="1"/>
  <c r="P22" i="1" s="1"/>
  <c r="E21" i="1"/>
  <c r="E20" i="1"/>
  <c r="E19" i="1"/>
  <c r="E18" i="1"/>
  <c r="E17" i="1"/>
  <c r="E16" i="1"/>
  <c r="E15" i="1"/>
  <c r="E14" i="1"/>
  <c r="B22" i="1"/>
  <c r="B21" i="1"/>
  <c r="B20" i="1"/>
  <c r="B19" i="1"/>
  <c r="B18" i="1"/>
  <c r="B17" i="1"/>
  <c r="B16" i="1"/>
  <c r="B15" i="1"/>
  <c r="B14" i="1"/>
  <c r="F27" i="2"/>
  <c r="J27" i="2" s="1"/>
  <c r="F26" i="2"/>
  <c r="J26" i="2" s="1"/>
  <c r="F25" i="2"/>
  <c r="J25" i="2" s="1"/>
  <c r="F24" i="2"/>
  <c r="J24" i="2" s="1"/>
  <c r="F23" i="2"/>
  <c r="J23" i="2" s="1"/>
  <c r="F22" i="2"/>
  <c r="J22" i="2" s="1"/>
  <c r="F21" i="2"/>
  <c r="J21" i="2" s="1"/>
  <c r="F20" i="2"/>
  <c r="J20" i="2" s="1"/>
  <c r="F19" i="2"/>
  <c r="J19" i="2" s="1"/>
  <c r="F12" i="2"/>
  <c r="J12" i="2" s="1"/>
  <c r="F11" i="2"/>
  <c r="J11" i="2" s="1"/>
  <c r="F10" i="2"/>
  <c r="J10" i="2" s="1"/>
  <c r="F9" i="2"/>
  <c r="J9" i="2" s="1"/>
  <c r="F8" i="2"/>
  <c r="J8" i="2" s="1"/>
  <c r="F7" i="2"/>
  <c r="J7" i="2" s="1"/>
  <c r="F6" i="2"/>
  <c r="J6" i="2" s="1"/>
  <c r="F5" i="2"/>
  <c r="J5" i="2" s="1"/>
  <c r="F4" i="2"/>
  <c r="J4" i="2" s="1"/>
  <c r="F3" i="2"/>
  <c r="J3" i="2" s="1"/>
  <c r="Q22" i="1" l="1"/>
  <c r="G14" i="1"/>
  <c r="I14" i="1" s="1"/>
  <c r="O14" i="1" s="1"/>
  <c r="G15" i="1"/>
  <c r="I15" i="1" s="1"/>
  <c r="O15" i="1" s="1"/>
  <c r="O22" i="1"/>
  <c r="Q16" i="1"/>
  <c r="G17" i="1"/>
  <c r="G18" i="1"/>
  <c r="Q18" i="1" s="1"/>
  <c r="G19" i="1"/>
  <c r="Q19" i="1" s="1"/>
  <c r="P34" i="1"/>
  <c r="G20" i="1"/>
  <c r="Q20" i="1" s="1"/>
  <c r="Q34" i="1"/>
  <c r="I13" i="1"/>
  <c r="P13" i="1" s="1"/>
  <c r="O36" i="1"/>
  <c r="P36" i="1"/>
  <c r="O13" i="1"/>
  <c r="I18" i="1"/>
  <c r="G21" i="1"/>
  <c r="I16" i="1"/>
  <c r="I19" i="1" l="1"/>
  <c r="P19" i="1" s="1"/>
  <c r="Q15" i="1"/>
  <c r="Q25" i="1" s="1"/>
  <c r="P14" i="1"/>
  <c r="P15" i="1"/>
  <c r="Q14" i="1"/>
  <c r="Q26" i="1" s="1"/>
  <c r="I20" i="1"/>
  <c r="O20" i="1" s="1"/>
  <c r="I17" i="1"/>
  <c r="Q17" i="1"/>
  <c r="O16" i="1"/>
  <c r="P16" i="1"/>
  <c r="I21" i="1"/>
  <c r="Q21" i="1"/>
  <c r="O18" i="1"/>
  <c r="P18" i="1"/>
  <c r="O19" i="1" l="1"/>
  <c r="Q29" i="1"/>
  <c r="Q28" i="1"/>
  <c r="Q24" i="1"/>
  <c r="P17" i="1"/>
  <c r="P25" i="1" s="1"/>
  <c r="O17" i="1"/>
  <c r="O29" i="1" s="1"/>
  <c r="P20" i="1"/>
  <c r="O21" i="1"/>
  <c r="P21" i="1"/>
  <c r="Q27" i="1"/>
  <c r="Q35" i="1" s="1"/>
  <c r="O27" i="1" l="1"/>
  <c r="O33" i="1" s="1"/>
  <c r="O35" i="1" s="1"/>
  <c r="O38" i="1" s="1"/>
  <c r="O41" i="1" s="1"/>
  <c r="P28" i="1"/>
  <c r="O28" i="1"/>
  <c r="O26" i="1"/>
  <c r="O25" i="1"/>
  <c r="O24" i="1"/>
  <c r="P24" i="1"/>
  <c r="P27" i="1"/>
  <c r="P33" i="1" s="1"/>
  <c r="P35" i="1" s="1"/>
  <c r="P38" i="1" s="1"/>
  <c r="P41" i="1" s="1"/>
  <c r="Q38" i="1"/>
  <c r="Q41" i="1" s="1"/>
  <c r="Q33" i="1"/>
  <c r="P26" i="1"/>
  <c r="P29" i="1"/>
</calcChain>
</file>

<file path=xl/sharedStrings.xml><?xml version="1.0" encoding="utf-8"?>
<sst xmlns="http://schemas.openxmlformats.org/spreadsheetml/2006/main" count="62" uniqueCount="60">
  <si>
    <t xml:space="preserve">Comparable Companies Valuation </t>
  </si>
  <si>
    <t xml:space="preserve">Share Price </t>
  </si>
  <si>
    <t xml:space="preserve">Share Outstanding </t>
  </si>
  <si>
    <t xml:space="preserve">Euity Value </t>
  </si>
  <si>
    <t xml:space="preserve">Net Debt </t>
  </si>
  <si>
    <t>Enterprise Value</t>
  </si>
  <si>
    <t>Market Data</t>
  </si>
  <si>
    <t xml:space="preserve">Revenue </t>
  </si>
  <si>
    <t>EBITDA</t>
  </si>
  <si>
    <t>Net Income</t>
  </si>
  <si>
    <t>Financials</t>
  </si>
  <si>
    <t>Valuation</t>
  </si>
  <si>
    <t>S.No.</t>
  </si>
  <si>
    <t>Name</t>
  </si>
  <si>
    <t>Maruti Suzuki</t>
  </si>
  <si>
    <t>Tata Motors</t>
  </si>
  <si>
    <t>M &amp; M</t>
  </si>
  <si>
    <t>Bajaj Auto</t>
  </si>
  <si>
    <t>Eicher Motors</t>
  </si>
  <si>
    <t>Hero Motocorp</t>
  </si>
  <si>
    <t>TVS Motor Co.</t>
  </si>
  <si>
    <t>Ashok Leyland</t>
  </si>
  <si>
    <t>Escorts Kubota</t>
  </si>
  <si>
    <t>Olectra Greentec</t>
  </si>
  <si>
    <t>Force Motors</t>
  </si>
  <si>
    <t>SML ISUZU</t>
  </si>
  <si>
    <t>VST Till. Tract.</t>
  </si>
  <si>
    <t>Atul Auto</t>
  </si>
  <si>
    <t>Wardwizard Inno.</t>
  </si>
  <si>
    <t>Mercury EV-Tech</t>
  </si>
  <si>
    <t>Urja Global</t>
  </si>
  <si>
    <t>Hindustan Motors</t>
  </si>
  <si>
    <t>Scooters India</t>
  </si>
  <si>
    <t>CMP Rs.</t>
  </si>
  <si>
    <t>No. Eq. Shares Cr.</t>
  </si>
  <si>
    <t>Debt Rs.Cr.</t>
  </si>
  <si>
    <t>Cash End Rs.Cr.</t>
  </si>
  <si>
    <t>Sales Rs.Cr.</t>
  </si>
  <si>
    <t>NP 12M Rs.Cr.</t>
  </si>
  <si>
    <t>Market Capitalization</t>
  </si>
  <si>
    <t xml:space="preserve">Enterprise Value </t>
  </si>
  <si>
    <t>Company</t>
  </si>
  <si>
    <t>Ticker</t>
  </si>
  <si>
    <t>Net Debt</t>
  </si>
  <si>
    <t>EV/Revenue</t>
  </si>
  <si>
    <t>EV/EBITDA</t>
  </si>
  <si>
    <t>P/E</t>
  </si>
  <si>
    <t xml:space="preserve">High </t>
  </si>
  <si>
    <r>
      <t>75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Percentile </t>
    </r>
  </si>
  <si>
    <t xml:space="preserve">Average </t>
  </si>
  <si>
    <t xml:space="preserve">Median </t>
  </si>
  <si>
    <r>
      <t>25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Percentile </t>
    </r>
  </si>
  <si>
    <t xml:space="preserve">Low </t>
  </si>
  <si>
    <t xml:space="preserve">Tata Motors Comparable Valuation </t>
  </si>
  <si>
    <t>Implied Enterprise Value</t>
  </si>
  <si>
    <t xml:space="preserve">Implied Market Capitalization </t>
  </si>
  <si>
    <t xml:space="preserve">No. of Shares </t>
  </si>
  <si>
    <t xml:space="preserve">Implied Value per Share </t>
  </si>
  <si>
    <t>Source: The Valuation School, Screener</t>
  </si>
  <si>
    <t>Amount in Crores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</si>
</sst>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#,##0.0;\(#,##0.0\);\-"/>
    <numFmt numFmtId="171" formatCode="0.0\x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D85B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rgb="FFFFD85B"/>
      </top>
      <bottom style="hair">
        <color rgb="FFFFD85B"/>
      </bottom>
      <diagonal/>
    </border>
    <border>
      <left/>
      <right/>
      <top style="medium">
        <color rgb="FFFFD85B"/>
      </top>
      <bottom style="medium">
        <color rgb="FFFFD85B"/>
      </bottom>
      <diagonal/>
    </border>
    <border>
      <left/>
      <right/>
      <top style="medium">
        <color rgb="FFFFD85B"/>
      </top>
      <bottom/>
      <diagonal/>
    </border>
    <border>
      <left/>
      <right/>
      <top/>
      <bottom style="medium">
        <color rgb="FFFFD85B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0" fontId="1" fillId="2" borderId="0" xfId="0" applyFont="1" applyFill="1"/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2" borderId="0" xfId="0" applyFont="1" applyFill="1" applyAlignment="1">
      <alignment horizontal="right" wrapText="1"/>
    </xf>
    <xf numFmtId="0" fontId="1" fillId="2" borderId="0" xfId="0" applyFont="1" applyFill="1" applyAlignment="1">
      <alignment horizontal="right"/>
    </xf>
    <xf numFmtId="0" fontId="1" fillId="3" borderId="0" xfId="0" applyFont="1" applyFill="1"/>
    <xf numFmtId="171" fontId="0" fillId="3" borderId="3" xfId="0" applyNumberFormat="1" applyFill="1" applyBorder="1"/>
    <xf numFmtId="171" fontId="0" fillId="0" borderId="3" xfId="0" applyNumberFormat="1" applyBorder="1"/>
    <xf numFmtId="0" fontId="0" fillId="3" borderId="5" xfId="0" applyFill="1" applyBorder="1"/>
    <xf numFmtId="171" fontId="0" fillId="3" borderId="5" xfId="0" applyNumberFormat="1" applyFill="1" applyBorder="1"/>
    <xf numFmtId="0" fontId="0" fillId="3" borderId="0" xfId="0" applyFill="1" applyBorder="1"/>
    <xf numFmtId="171" fontId="0" fillId="3" borderId="0" xfId="0" applyNumberFormat="1" applyFill="1" applyBorder="1"/>
    <xf numFmtId="0" fontId="1" fillId="3" borderId="0" xfId="0" applyFont="1" applyFill="1" applyBorder="1"/>
    <xf numFmtId="171" fontId="1" fillId="3" borderId="0" xfId="0" applyNumberFormat="1" applyFont="1" applyFill="1" applyBorder="1"/>
    <xf numFmtId="0" fontId="0" fillId="3" borderId="6" xfId="0" applyFill="1" applyBorder="1"/>
    <xf numFmtId="171" fontId="0" fillId="3" borderId="6" xfId="0" applyNumberFormat="1" applyFill="1" applyBorder="1"/>
    <xf numFmtId="0" fontId="1" fillId="3" borderId="4" xfId="0" applyFont="1" applyFill="1" applyBorder="1"/>
    <xf numFmtId="169" fontId="0" fillId="0" borderId="0" xfId="0" applyNumberFormat="1" applyAlignment="1">
      <alignment horizontal="right"/>
    </xf>
    <xf numFmtId="169" fontId="1" fillId="3" borderId="4" xfId="0" applyNumberFormat="1" applyFont="1" applyFill="1" applyBorder="1" applyAlignment="1">
      <alignment horizontal="right"/>
    </xf>
    <xf numFmtId="0" fontId="0" fillId="0" borderId="3" xfId="0" applyBorder="1"/>
    <xf numFmtId="169" fontId="0" fillId="0" borderId="3" xfId="0" applyNumberFormat="1" applyBorder="1" applyAlignment="1">
      <alignment horizontal="right"/>
    </xf>
    <xf numFmtId="0" fontId="0" fillId="3" borderId="3" xfId="0" applyFill="1" applyBorder="1"/>
    <xf numFmtId="169" fontId="0" fillId="3" borderId="3" xfId="0" applyNumberFormat="1" applyFill="1" applyBorder="1"/>
    <xf numFmtId="169" fontId="0" fillId="0" borderId="3" xfId="0" applyNumberFormat="1" applyBorder="1"/>
    <xf numFmtId="0" fontId="3" fillId="0" borderId="0" xfId="0" applyFont="1"/>
    <xf numFmtId="0" fontId="4" fillId="0" borderId="0" xfId="0" applyFont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8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75042</xdr:colOff>
      <xdr:row>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A0BA99-6A0B-4FF0-83FE-F27F59CFDF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12" t="24516" r="19027" b="24516"/>
        <a:stretch/>
      </xdr:blipFill>
      <xdr:spPr>
        <a:xfrm>
          <a:off x="0" y="0"/>
          <a:ext cx="1697013" cy="925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showGridLines="0" tabSelected="1" zoomScale="70" zoomScaleNormal="70" workbookViewId="0">
      <pane ySplit="5" topLeftCell="A6" activePane="bottomLeft" state="frozen"/>
      <selection pane="bottomLeft" activeCell="X25" sqref="X25"/>
    </sheetView>
  </sheetViews>
  <sheetFormatPr defaultRowHeight="14.4" x14ac:dyDescent="0.3"/>
  <cols>
    <col min="1" max="1" width="1.88671875" customWidth="1"/>
    <col min="2" max="2" width="12.77734375" bestFit="1" customWidth="1"/>
    <col min="6" max="6" width="11.33203125" customWidth="1"/>
    <col min="7" max="8" width="9.5546875" bestFit="1" customWidth="1"/>
    <col min="9" max="9" width="9.77734375" customWidth="1"/>
    <col min="10" max="10" width="1.88671875" customWidth="1"/>
    <col min="11" max="11" width="9.5546875" bestFit="1" customWidth="1"/>
    <col min="14" max="14" width="1.88671875" customWidth="1"/>
    <col min="15" max="17" width="11.88671875" bestFit="1" customWidth="1"/>
  </cols>
  <sheetData>
    <row r="1" spans="1:17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3.6" customHeight="1" x14ac:dyDescent="0.3"/>
    <row r="7" spans="1:17" x14ac:dyDescent="0.3">
      <c r="B7" s="30" t="s">
        <v>59</v>
      </c>
    </row>
    <row r="8" spans="1:17" ht="18" x14ac:dyDescent="0.35">
      <c r="B8" s="31" t="s">
        <v>0</v>
      </c>
      <c r="L8" s="32"/>
      <c r="M8" s="32"/>
      <c r="N8" s="32"/>
      <c r="O8" s="32"/>
      <c r="P8" s="32"/>
      <c r="Q8" s="32"/>
    </row>
    <row r="9" spans="1:17" ht="3.6" customHeight="1" x14ac:dyDescent="0.3">
      <c r="B9" s="2"/>
      <c r="C9" s="2"/>
      <c r="D9" s="2"/>
      <c r="E9" s="2"/>
      <c r="F9" s="2"/>
      <c r="G9" s="2"/>
      <c r="H9" s="2"/>
      <c r="I9" s="2"/>
      <c r="J9" s="2"/>
      <c r="K9" s="2"/>
    </row>
    <row r="10" spans="1:17" x14ac:dyDescent="0.3">
      <c r="B10" s="6"/>
      <c r="C10" s="6"/>
      <c r="D10" s="6"/>
      <c r="E10" s="7" t="s">
        <v>6</v>
      </c>
      <c r="F10" s="7"/>
      <c r="G10" s="7"/>
      <c r="H10" s="7"/>
      <c r="I10" s="7"/>
      <c r="J10" s="6"/>
      <c r="K10" s="7" t="s">
        <v>10</v>
      </c>
      <c r="L10" s="7"/>
      <c r="M10" s="7"/>
      <c r="N10" s="8"/>
      <c r="O10" s="7" t="s">
        <v>11</v>
      </c>
      <c r="P10" s="7"/>
      <c r="Q10" s="7"/>
    </row>
    <row r="11" spans="1:17" ht="28.8" x14ac:dyDescent="0.3">
      <c r="B11" s="6" t="s">
        <v>41</v>
      </c>
      <c r="C11" s="6" t="s">
        <v>42</v>
      </c>
      <c r="D11" s="6"/>
      <c r="E11" s="9" t="s">
        <v>1</v>
      </c>
      <c r="F11" s="9" t="s">
        <v>2</v>
      </c>
      <c r="G11" s="9" t="s">
        <v>3</v>
      </c>
      <c r="H11" s="10" t="s">
        <v>4</v>
      </c>
      <c r="I11" s="9" t="s">
        <v>5</v>
      </c>
      <c r="J11" s="10"/>
      <c r="K11" s="10" t="s">
        <v>7</v>
      </c>
      <c r="L11" s="10" t="s">
        <v>8</v>
      </c>
      <c r="M11" s="9" t="s">
        <v>9</v>
      </c>
      <c r="N11" s="10"/>
      <c r="O11" s="10" t="s">
        <v>44</v>
      </c>
      <c r="P11" s="10" t="s">
        <v>45</v>
      </c>
      <c r="Q11" s="9" t="s">
        <v>46</v>
      </c>
    </row>
    <row r="12" spans="1:17" ht="3.6" customHeight="1" x14ac:dyDescent="0.3"/>
    <row r="13" spans="1:17" ht="14.4" customHeight="1" x14ac:dyDescent="0.3">
      <c r="B13" s="27" t="str">
        <f>Data!C4</f>
        <v>Tata Motors</v>
      </c>
      <c r="C13" s="27"/>
      <c r="D13" s="27"/>
      <c r="E13" s="28">
        <f>Data!D4</f>
        <v>947.3</v>
      </c>
      <c r="F13" s="28">
        <f>Data!E4</f>
        <v>332.37</v>
      </c>
      <c r="G13" s="28">
        <f>E13*F13</f>
        <v>314854.10099999997</v>
      </c>
      <c r="H13" s="28">
        <f>Data!H4</f>
        <v>61455.81</v>
      </c>
      <c r="I13" s="28">
        <f>G13+H13</f>
        <v>376309.91099999996</v>
      </c>
      <c r="J13" s="28"/>
      <c r="K13" s="28">
        <f>Data!K4</f>
        <v>437927.77</v>
      </c>
      <c r="L13" s="28">
        <f>Data!M4</f>
        <v>66188.06</v>
      </c>
      <c r="M13" s="28">
        <f>Data!L4</f>
        <v>31806.75</v>
      </c>
      <c r="N13" s="27"/>
      <c r="O13" s="12">
        <f>I13/K13</f>
        <v>0.85929675343493273</v>
      </c>
      <c r="P13" s="12">
        <f>I13/L13</f>
        <v>5.6854651881321185</v>
      </c>
      <c r="Q13" s="12">
        <f>G13/M13</f>
        <v>9.8989711617816969</v>
      </c>
    </row>
    <row r="14" spans="1:17" x14ac:dyDescent="0.3">
      <c r="B14" s="25" t="str">
        <f>Data!C3</f>
        <v>Maruti Suzuki</v>
      </c>
      <c r="C14" s="25"/>
      <c r="D14" s="25"/>
      <c r="E14" s="29">
        <f>Data!D3</f>
        <v>12750.55</v>
      </c>
      <c r="F14" s="29">
        <f>Data!E3</f>
        <v>31.44</v>
      </c>
      <c r="G14" s="29">
        <f>E14*F14</f>
        <v>400877.29200000002</v>
      </c>
      <c r="H14" s="29">
        <f>Data!H3</f>
        <v>-2708.8</v>
      </c>
      <c r="I14" s="29">
        <f>G14+H14</f>
        <v>398168.49200000003</v>
      </c>
      <c r="J14" s="29"/>
      <c r="K14" s="29">
        <f>Data!K3</f>
        <v>141858.20000000001</v>
      </c>
      <c r="L14" s="29">
        <f>Data!M3</f>
        <v>22873.899999999998</v>
      </c>
      <c r="M14" s="29">
        <f>Data!L3</f>
        <v>13488.2</v>
      </c>
      <c r="N14" s="29"/>
      <c r="O14" s="13">
        <f t="shared" ref="O14:O22" si="0">I14/K14</f>
        <v>2.8068063178582556</v>
      </c>
      <c r="P14" s="13">
        <f t="shared" ref="P14:P22" si="1">I14/L14</f>
        <v>17.407109937527053</v>
      </c>
      <c r="Q14" s="13">
        <f t="shared" ref="Q14:Q22" si="2">G14/M14</f>
        <v>29.72059222134903</v>
      </c>
    </row>
    <row r="15" spans="1:17" x14ac:dyDescent="0.3">
      <c r="B15" s="25" t="str">
        <f>Data!C5</f>
        <v>M &amp; M</v>
      </c>
      <c r="C15" s="25"/>
      <c r="D15" s="25"/>
      <c r="E15" s="29">
        <f>Data!D5</f>
        <v>2300.4499999999998</v>
      </c>
      <c r="F15" s="29">
        <f>Data!E5</f>
        <v>124.35</v>
      </c>
      <c r="G15" s="29">
        <f t="shared" ref="G15:G22" si="3">E15*F15</f>
        <v>286060.95749999996</v>
      </c>
      <c r="H15" s="29">
        <f>Data!H5</f>
        <v>88438.25</v>
      </c>
      <c r="I15" s="29">
        <f t="shared" ref="I15:I22" si="4">G15+H15</f>
        <v>374499.20749999996</v>
      </c>
      <c r="J15" s="29"/>
      <c r="K15" s="29">
        <f>Data!K5</f>
        <v>136082.19</v>
      </c>
      <c r="L15" s="29">
        <f>Data!M5</f>
        <v>27126.59</v>
      </c>
      <c r="M15" s="29">
        <f>Data!L5</f>
        <v>12143.25</v>
      </c>
      <c r="N15" s="29"/>
      <c r="O15" s="13">
        <f t="shared" si="0"/>
        <v>2.7520075000262705</v>
      </c>
      <c r="P15" s="13">
        <f t="shared" si="1"/>
        <v>13.805613145625747</v>
      </c>
      <c r="Q15" s="13">
        <f t="shared" si="2"/>
        <v>23.557199061206841</v>
      </c>
    </row>
    <row r="16" spans="1:17" x14ac:dyDescent="0.3">
      <c r="B16" s="25" t="str">
        <f>Data!C6</f>
        <v>Bajaj Auto</v>
      </c>
      <c r="C16" s="25"/>
      <c r="D16" s="25"/>
      <c r="E16" s="29">
        <f>Data!D6</f>
        <v>8904</v>
      </c>
      <c r="F16" s="29">
        <f>Data!E6</f>
        <v>27.92</v>
      </c>
      <c r="G16" s="29">
        <f t="shared" si="3"/>
        <v>248599.68000000002</v>
      </c>
      <c r="H16" s="29">
        <f>Data!H6</f>
        <v>956.42</v>
      </c>
      <c r="I16" s="29">
        <f t="shared" si="4"/>
        <v>249556.10000000003</v>
      </c>
      <c r="J16" s="29"/>
      <c r="K16" s="29">
        <f>Data!K6</f>
        <v>44870.43</v>
      </c>
      <c r="L16" s="29">
        <f>Data!M6</f>
        <v>10465.17</v>
      </c>
      <c r="M16" s="29">
        <f>Data!L6</f>
        <v>7708.24</v>
      </c>
      <c r="N16" s="29"/>
      <c r="O16" s="13">
        <f t="shared" si="0"/>
        <v>5.5617051140361262</v>
      </c>
      <c r="P16" s="13">
        <f t="shared" si="1"/>
        <v>23.8463493665177</v>
      </c>
      <c r="Q16" s="13">
        <f t="shared" si="2"/>
        <v>32.251159797826745</v>
      </c>
    </row>
    <row r="17" spans="2:17" x14ac:dyDescent="0.3">
      <c r="B17" s="25" t="str">
        <f>Data!C7</f>
        <v>Eicher Motors</v>
      </c>
      <c r="C17" s="25"/>
      <c r="D17" s="25"/>
      <c r="E17" s="29">
        <f>Data!D7</f>
        <v>4649.3500000000004</v>
      </c>
      <c r="F17" s="29">
        <f>Data!E7</f>
        <v>27.38</v>
      </c>
      <c r="G17" s="29">
        <f t="shared" si="3"/>
        <v>127299.20300000001</v>
      </c>
      <c r="H17" s="29">
        <f>Data!H7</f>
        <v>273.13</v>
      </c>
      <c r="I17" s="29">
        <f t="shared" si="4"/>
        <v>127572.33300000001</v>
      </c>
      <c r="J17" s="29"/>
      <c r="K17" s="29">
        <f>Data!K7</f>
        <v>16535.78</v>
      </c>
      <c r="L17" s="29">
        <f>Data!M7</f>
        <v>5850.5</v>
      </c>
      <c r="M17" s="29">
        <f>Data!L7</f>
        <v>4001.01</v>
      </c>
      <c r="N17" s="29"/>
      <c r="O17" s="13">
        <f t="shared" si="0"/>
        <v>7.7149268434872758</v>
      </c>
      <c r="P17" s="13">
        <f t="shared" si="1"/>
        <v>21.805372703187764</v>
      </c>
      <c r="Q17" s="13">
        <f t="shared" si="2"/>
        <v>31.816767016328377</v>
      </c>
    </row>
    <row r="18" spans="2:17" x14ac:dyDescent="0.3">
      <c r="B18" s="25" t="str">
        <f>Data!C8</f>
        <v>Hero Motocorp</v>
      </c>
      <c r="C18" s="25"/>
      <c r="D18" s="25"/>
      <c r="E18" s="29">
        <f>Data!D8</f>
        <v>5055.3500000000004</v>
      </c>
      <c r="F18" s="29">
        <f>Data!E8</f>
        <v>19.989999999999998</v>
      </c>
      <c r="G18" s="29">
        <f t="shared" si="3"/>
        <v>101056.44650000001</v>
      </c>
      <c r="H18" s="29">
        <f>Data!H8</f>
        <v>-90.060000000000059</v>
      </c>
      <c r="I18" s="29">
        <f t="shared" si="4"/>
        <v>100966.38650000001</v>
      </c>
      <c r="J18" s="29"/>
      <c r="K18" s="29">
        <f>Data!K8</f>
        <v>37788.620000000003</v>
      </c>
      <c r="L18" s="29">
        <f>Data!M8</f>
        <v>6083.92</v>
      </c>
      <c r="M18" s="29">
        <f>Data!L8</f>
        <v>3742.16</v>
      </c>
      <c r="N18" s="29"/>
      <c r="O18" s="13">
        <f t="shared" si="0"/>
        <v>2.6718728151491109</v>
      </c>
      <c r="P18" s="13">
        <f t="shared" si="1"/>
        <v>16.595613765467004</v>
      </c>
      <c r="Q18" s="13">
        <f t="shared" si="2"/>
        <v>27.004843860230459</v>
      </c>
    </row>
    <row r="19" spans="2:17" x14ac:dyDescent="0.3">
      <c r="B19" s="25" t="str">
        <f>Data!C9</f>
        <v>TVS Motor Co.</v>
      </c>
      <c r="C19" s="25"/>
      <c r="D19" s="25"/>
      <c r="E19" s="29">
        <f>Data!D9</f>
        <v>2103.4</v>
      </c>
      <c r="F19" s="29">
        <f>Data!E9</f>
        <v>47.51</v>
      </c>
      <c r="G19" s="29">
        <f t="shared" si="3"/>
        <v>99932.534</v>
      </c>
      <c r="H19" s="29">
        <f>Data!H9</f>
        <v>10950.65</v>
      </c>
      <c r="I19" s="29">
        <f t="shared" si="4"/>
        <v>110883.18399999999</v>
      </c>
      <c r="J19" s="29"/>
      <c r="K19" s="29">
        <f>Data!K9</f>
        <v>39144.74</v>
      </c>
      <c r="L19" s="29">
        <f>Data!M9</f>
        <v>5605.76</v>
      </c>
      <c r="M19" s="29">
        <f>Data!L9</f>
        <v>1778.54</v>
      </c>
      <c r="N19" s="29"/>
      <c r="O19" s="13">
        <f t="shared" si="0"/>
        <v>2.832645816526052</v>
      </c>
      <c r="P19" s="13">
        <f t="shared" si="1"/>
        <v>19.780223198995316</v>
      </c>
      <c r="Q19" s="13">
        <f t="shared" si="2"/>
        <v>56.187959787241219</v>
      </c>
    </row>
    <row r="20" spans="2:17" x14ac:dyDescent="0.3">
      <c r="B20" s="25" t="str">
        <f>Data!C10</f>
        <v>Ashok Leyland</v>
      </c>
      <c r="C20" s="25"/>
      <c r="D20" s="25"/>
      <c r="E20" s="29">
        <f>Data!D10</f>
        <v>201.4</v>
      </c>
      <c r="F20" s="29">
        <f>Data!E10</f>
        <v>293.63</v>
      </c>
      <c r="G20" s="29">
        <f t="shared" si="3"/>
        <v>59137.082000000002</v>
      </c>
      <c r="H20" s="29">
        <f>Data!H10</f>
        <v>32204.9</v>
      </c>
      <c r="I20" s="29">
        <f t="shared" si="4"/>
        <v>91341.982000000004</v>
      </c>
      <c r="J20" s="29"/>
      <c r="K20" s="29">
        <f>Data!K10</f>
        <v>45415.61</v>
      </c>
      <c r="L20" s="29">
        <f>Data!M10</f>
        <v>7452.46</v>
      </c>
      <c r="M20" s="29">
        <f>Data!L10</f>
        <v>2565.36</v>
      </c>
      <c r="N20" s="29"/>
      <c r="O20" s="13">
        <f t="shared" si="0"/>
        <v>2.0112463974391184</v>
      </c>
      <c r="P20" s="13">
        <f t="shared" si="1"/>
        <v>12.25662157193732</v>
      </c>
      <c r="Q20" s="13">
        <f t="shared" si="2"/>
        <v>23.052157202108084</v>
      </c>
    </row>
    <row r="21" spans="2:17" x14ac:dyDescent="0.3">
      <c r="B21" s="25" t="str">
        <f>Data!C11</f>
        <v>Escorts Kubota</v>
      </c>
      <c r="C21" s="25"/>
      <c r="D21" s="25"/>
      <c r="E21" s="29">
        <f>Data!D11</f>
        <v>3647</v>
      </c>
      <c r="F21" s="29">
        <f>Data!E11</f>
        <v>11.05</v>
      </c>
      <c r="G21" s="29">
        <f t="shared" si="3"/>
        <v>40299.350000000006</v>
      </c>
      <c r="H21" s="29">
        <f>Data!H11</f>
        <v>-1125.9100000000001</v>
      </c>
      <c r="I21" s="29">
        <f t="shared" si="4"/>
        <v>39173.440000000002</v>
      </c>
      <c r="J21" s="29"/>
      <c r="K21" s="29">
        <f>Data!K11</f>
        <v>8849.6200000000008</v>
      </c>
      <c r="L21" s="29">
        <f>Data!M11</f>
        <v>1581.74</v>
      </c>
      <c r="M21" s="29">
        <f>Data!L11</f>
        <v>1049.18</v>
      </c>
      <c r="N21" s="29"/>
      <c r="O21" s="13">
        <f t="shared" si="0"/>
        <v>4.4265674684336727</v>
      </c>
      <c r="P21" s="13">
        <f t="shared" si="1"/>
        <v>24.766042459569842</v>
      </c>
      <c r="Q21" s="13">
        <f t="shared" si="2"/>
        <v>38.410329971978122</v>
      </c>
    </row>
    <row r="22" spans="2:17" x14ac:dyDescent="0.3">
      <c r="B22" s="25" t="str">
        <f>Data!C12</f>
        <v>Olectra Greentec</v>
      </c>
      <c r="C22" s="25"/>
      <c r="D22" s="25"/>
      <c r="E22" s="29">
        <f>Data!D12</f>
        <v>1709.9</v>
      </c>
      <c r="F22" s="29">
        <f>Data!E12</f>
        <v>8.2100000000000009</v>
      </c>
      <c r="G22" s="29">
        <f t="shared" si="3"/>
        <v>14038.279000000002</v>
      </c>
      <c r="H22" s="29">
        <f>Data!H12</f>
        <v>-53.789999999999992</v>
      </c>
      <c r="I22" s="29">
        <f t="shared" si="4"/>
        <v>13984.489000000001</v>
      </c>
      <c r="J22" s="29"/>
      <c r="K22" s="29">
        <f>Data!K12</f>
        <v>1154.1400000000001</v>
      </c>
      <c r="L22" s="29">
        <f>Data!M12</f>
        <v>185.5</v>
      </c>
      <c r="M22" s="29">
        <f>Data!L12</f>
        <v>78.650000000000006</v>
      </c>
      <c r="N22" s="29"/>
      <c r="O22" s="13">
        <f t="shared" si="0"/>
        <v>12.116804720397873</v>
      </c>
      <c r="P22" s="13">
        <f t="shared" si="1"/>
        <v>75.388080862533698</v>
      </c>
      <c r="Q22" s="13">
        <f t="shared" si="2"/>
        <v>178.49051493960587</v>
      </c>
    </row>
    <row r="23" spans="2:17" ht="3.6" customHeight="1" thickBot="1" x14ac:dyDescent="0.35"/>
    <row r="24" spans="2:17" x14ac:dyDescent="0.3">
      <c r="B24" s="14" t="s">
        <v>47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>
        <f>MAX(O13:O22)</f>
        <v>12.116804720397873</v>
      </c>
      <c r="P24" s="15">
        <f t="shared" ref="P24:Q24" si="5">MAX(P13:P22)</f>
        <v>75.388080862533698</v>
      </c>
      <c r="Q24" s="15">
        <f t="shared" si="5"/>
        <v>178.49051493960587</v>
      </c>
    </row>
    <row r="25" spans="2:17" ht="16.2" x14ac:dyDescent="0.3">
      <c r="B25" s="16" t="s">
        <v>48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7">
        <f>QUARTILE(O13:O22,3)</f>
        <v>5.2779207026355124</v>
      </c>
      <c r="P25" s="17">
        <f t="shared" ref="P25:Q25" si="6">QUARTILE(P13:P22,3)</f>
        <v>23.336105200685218</v>
      </c>
      <c r="Q25" s="17">
        <f t="shared" si="6"/>
        <v>36.870537428440279</v>
      </c>
    </row>
    <row r="26" spans="2:17" x14ac:dyDescent="0.3">
      <c r="B26" s="18" t="s">
        <v>49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9">
        <f>AVERAGE(O13:O22)</f>
        <v>4.3753879746788691</v>
      </c>
      <c r="P26" s="19">
        <f t="shared" ref="P26:Q26" si="7">AVERAGE(P13:P22)</f>
        <v>23.133649219949355</v>
      </c>
      <c r="Q26" s="19">
        <f t="shared" si="7"/>
        <v>45.039049501965643</v>
      </c>
    </row>
    <row r="27" spans="2:17" x14ac:dyDescent="0.3">
      <c r="B27" s="18" t="s">
        <v>50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9">
        <f>MEDIAN(O13:O22)</f>
        <v>2.8197260671921538</v>
      </c>
      <c r="P27" s="19">
        <f t="shared" ref="P27:Q27" si="8">MEDIAN(P13:P22)</f>
        <v>18.593666568261185</v>
      </c>
      <c r="Q27" s="19">
        <f t="shared" si="8"/>
        <v>30.768679618838704</v>
      </c>
    </row>
    <row r="28" spans="2:17" ht="16.2" x14ac:dyDescent="0.3">
      <c r="B28" s="16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7">
        <f>QUARTILE(O13:O22,1)</f>
        <v>2.691906486368401</v>
      </c>
      <c r="P28" s="17">
        <f t="shared" ref="P28:Q28" si="9">QUARTILE(P13:P22,1)</f>
        <v>14.503113300586062</v>
      </c>
      <c r="Q28" s="17">
        <f t="shared" si="9"/>
        <v>24.419110260962746</v>
      </c>
    </row>
    <row r="29" spans="2:17" ht="15" thickBot="1" x14ac:dyDescent="0.35">
      <c r="B29" s="20" t="s">
        <v>52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1">
        <f>MIN(O13:O22)</f>
        <v>0.85929675343493273</v>
      </c>
      <c r="P29" s="21">
        <f t="shared" ref="P29:Q29" si="10">MIN(P13:P22)</f>
        <v>5.6854651881321185</v>
      </c>
      <c r="Q29" s="21">
        <f t="shared" si="10"/>
        <v>9.8989711617816969</v>
      </c>
    </row>
    <row r="31" spans="2:17" x14ac:dyDescent="0.3">
      <c r="B31" s="6" t="s">
        <v>53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0" t="str">
        <f>O11</f>
        <v>EV/Revenue</v>
      </c>
      <c r="P31" s="10" t="str">
        <f t="shared" ref="P31:Q31" si="11">P11</f>
        <v>EV/EBITDA</v>
      </c>
      <c r="Q31" s="10" t="str">
        <f t="shared" si="11"/>
        <v>P/E</v>
      </c>
    </row>
    <row r="32" spans="2:17" ht="3.6" customHeight="1" x14ac:dyDescent="0.3"/>
    <row r="33" spans="2:17" x14ac:dyDescent="0.3">
      <c r="B33" s="25" t="s">
        <v>54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6">
        <f>O27*K13</f>
        <v>1234836.3486163302</v>
      </c>
      <c r="P33" s="26">
        <f>P27*L13</f>
        <v>1230678.7184400654</v>
      </c>
      <c r="Q33" s="26">
        <f>Q35+Q34</f>
        <v>1040107.5104664979</v>
      </c>
    </row>
    <row r="34" spans="2:17" x14ac:dyDescent="0.3">
      <c r="B34" s="25" t="s">
        <v>43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6">
        <f>$H$13</f>
        <v>61455.81</v>
      </c>
      <c r="P34" s="26">
        <f t="shared" ref="P34:Q34" si="12">$H$13</f>
        <v>61455.81</v>
      </c>
      <c r="Q34" s="26">
        <f t="shared" si="12"/>
        <v>61455.81</v>
      </c>
    </row>
    <row r="35" spans="2:17" x14ac:dyDescent="0.3">
      <c r="B35" s="25" t="s">
        <v>55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6">
        <f>O33-O34</f>
        <v>1173380.5386163301</v>
      </c>
      <c r="P35" s="26">
        <f>P33-P34</f>
        <v>1169222.9084400653</v>
      </c>
      <c r="Q35" s="26">
        <f>Q27*M13</f>
        <v>978651.70046649792</v>
      </c>
    </row>
    <row r="36" spans="2:17" x14ac:dyDescent="0.3">
      <c r="B36" s="25" t="s">
        <v>56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6">
        <f>$F$13</f>
        <v>332.37</v>
      </c>
      <c r="P36" s="26">
        <f t="shared" ref="P36:Q36" si="13">$F$13</f>
        <v>332.37</v>
      </c>
      <c r="Q36" s="26">
        <f t="shared" si="13"/>
        <v>332.37</v>
      </c>
    </row>
    <row r="37" spans="2:17" ht="3.6" customHeight="1" thickBot="1" x14ac:dyDescent="0.35">
      <c r="O37" s="23"/>
      <c r="P37" s="23"/>
      <c r="Q37" s="23"/>
    </row>
    <row r="38" spans="2:17" ht="15" thickBot="1" x14ac:dyDescent="0.35">
      <c r="B38" s="22" t="s">
        <v>57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4">
        <f>O35/O36</f>
        <v>3530.3443109075129</v>
      </c>
      <c r="P38" s="24">
        <f>P35/P36</f>
        <v>3517.8352692483236</v>
      </c>
      <c r="Q38" s="24">
        <f>Q35/Q36</f>
        <v>2944.4646041053584</v>
      </c>
    </row>
    <row r="39" spans="2:17" ht="3.6" customHeight="1" x14ac:dyDescent="0.3"/>
    <row r="40" spans="2:17" x14ac:dyDescent="0.3">
      <c r="B40" s="30" t="s">
        <v>58</v>
      </c>
    </row>
    <row r="41" spans="2:17" x14ac:dyDescent="0.3">
      <c r="O41" s="11" t="str">
        <f>IF(O38&gt;$E$13,"Undervalued","Overvalued")</f>
        <v>Undervalued</v>
      </c>
      <c r="P41" s="11" t="str">
        <f t="shared" ref="P41:Q41" si="14">IF(P38&gt;$E$13,"Undervalued","Overvalued")</f>
        <v>Undervalued</v>
      </c>
      <c r="Q41" s="11" t="str">
        <f t="shared" si="14"/>
        <v>Undervalued</v>
      </c>
    </row>
  </sheetData>
  <mergeCells count="3">
    <mergeCell ref="E10:I10"/>
    <mergeCell ref="K10:M10"/>
    <mergeCell ref="O10:Q10"/>
  </mergeCells>
  <pageMargins left="0.7" right="0.7" top="0.75" bottom="0.75" header="0.3" footer="0.3"/>
  <pageSetup scale="8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AC749-7DBD-42DF-9762-938B3E2D5465}">
  <dimension ref="B2:M27"/>
  <sheetViews>
    <sheetView showGridLines="0" workbookViewId="0">
      <selection activeCell="L12" sqref="L12"/>
    </sheetView>
  </sheetViews>
  <sheetFormatPr defaultRowHeight="14.4" x14ac:dyDescent="0.3"/>
  <cols>
    <col min="1" max="1" width="1.88671875" customWidth="1"/>
    <col min="2" max="2" width="5.44140625" bestFit="1" customWidth="1"/>
    <col min="3" max="3" width="15.6640625" bestFit="1" customWidth="1"/>
    <col min="4" max="4" width="9" bestFit="1" customWidth="1"/>
    <col min="5" max="5" width="15.6640625" bestFit="1" customWidth="1"/>
    <col min="6" max="6" width="18.6640625" bestFit="1" customWidth="1"/>
    <col min="7" max="7" width="10.109375" bestFit="1" customWidth="1"/>
    <col min="8" max="8" width="10.109375" customWidth="1"/>
    <col min="9" max="9" width="13.6640625" bestFit="1" customWidth="1"/>
    <col min="10" max="10" width="14.77734375" bestFit="1" customWidth="1"/>
    <col min="11" max="11" width="10.33203125" bestFit="1" customWidth="1"/>
    <col min="12" max="12" width="12.6640625" bestFit="1" customWidth="1"/>
  </cols>
  <sheetData>
    <row r="2" spans="2:13" x14ac:dyDescent="0.3">
      <c r="B2" s="4" t="s">
        <v>12</v>
      </c>
      <c r="C2" s="3" t="s">
        <v>13</v>
      </c>
      <c r="D2" s="3" t="s">
        <v>33</v>
      </c>
      <c r="E2" s="3" t="s">
        <v>34</v>
      </c>
      <c r="F2" s="3" t="s">
        <v>39</v>
      </c>
      <c r="G2" s="3" t="s">
        <v>35</v>
      </c>
      <c r="H2" s="3" t="s">
        <v>43</v>
      </c>
      <c r="I2" s="3" t="s">
        <v>36</v>
      </c>
      <c r="J2" s="3" t="s">
        <v>40</v>
      </c>
      <c r="K2" s="3" t="s">
        <v>37</v>
      </c>
      <c r="L2" s="3" t="s">
        <v>38</v>
      </c>
      <c r="M2" s="3" t="s">
        <v>8</v>
      </c>
    </row>
    <row r="3" spans="2:13" x14ac:dyDescent="0.3">
      <c r="B3" s="4">
        <v>1</v>
      </c>
      <c r="C3" s="3" t="s">
        <v>14</v>
      </c>
      <c r="D3" s="5">
        <v>12750.55</v>
      </c>
      <c r="E3" s="5">
        <v>31.44</v>
      </c>
      <c r="F3" s="5">
        <f>D3*E3</f>
        <v>400877.29200000002</v>
      </c>
      <c r="G3" s="5">
        <v>118.6</v>
      </c>
      <c r="H3" s="5">
        <f>G3-I3</f>
        <v>-2708.8</v>
      </c>
      <c r="I3" s="5">
        <v>2827.4</v>
      </c>
      <c r="J3" s="5">
        <f>F3+G3-I3</f>
        <v>398168.49199999997</v>
      </c>
      <c r="K3" s="5">
        <v>141858.20000000001</v>
      </c>
      <c r="L3" s="5">
        <v>13488.2</v>
      </c>
      <c r="M3" s="5">
        <v>22873.899999999998</v>
      </c>
    </row>
    <row r="4" spans="2:13" x14ac:dyDescent="0.3">
      <c r="B4" s="4">
        <v>2</v>
      </c>
      <c r="C4" s="3" t="s">
        <v>15</v>
      </c>
      <c r="D4" s="5">
        <v>947.3</v>
      </c>
      <c r="E4" s="5">
        <v>332.37</v>
      </c>
      <c r="F4" s="5">
        <f t="shared" ref="F4:F27" si="0">D4*E4</f>
        <v>314854.10099999997</v>
      </c>
      <c r="G4" s="5">
        <v>107262.5</v>
      </c>
      <c r="H4" s="5">
        <f t="shared" ref="H4:H12" si="1">G4-I4</f>
        <v>61455.81</v>
      </c>
      <c r="I4" s="5">
        <v>45806.69</v>
      </c>
      <c r="J4" s="5">
        <f t="shared" ref="J4:J27" si="2">F4+G4-I4</f>
        <v>376309.91099999996</v>
      </c>
      <c r="K4" s="5">
        <v>437927.77</v>
      </c>
      <c r="L4" s="5">
        <v>31806.75</v>
      </c>
      <c r="M4" s="5">
        <v>66188.06</v>
      </c>
    </row>
    <row r="5" spans="2:13" x14ac:dyDescent="0.3">
      <c r="B5" s="4">
        <v>3</v>
      </c>
      <c r="C5" s="3" t="s">
        <v>16</v>
      </c>
      <c r="D5" s="5">
        <v>2300.4499999999998</v>
      </c>
      <c r="E5" s="5">
        <v>124.35</v>
      </c>
      <c r="F5" s="5">
        <f t="shared" si="0"/>
        <v>286060.95749999996</v>
      </c>
      <c r="G5" s="5">
        <v>99711.679999999993</v>
      </c>
      <c r="H5" s="5">
        <f t="shared" si="1"/>
        <v>88438.25</v>
      </c>
      <c r="I5" s="5">
        <v>11273.43</v>
      </c>
      <c r="J5" s="5">
        <f t="shared" si="2"/>
        <v>374499.20749999996</v>
      </c>
      <c r="K5" s="5">
        <v>136082.19</v>
      </c>
      <c r="L5" s="5">
        <v>12143.25</v>
      </c>
      <c r="M5" s="5">
        <v>27126.59</v>
      </c>
    </row>
    <row r="6" spans="2:13" x14ac:dyDescent="0.3">
      <c r="B6" s="4">
        <v>4</v>
      </c>
      <c r="C6" s="3" t="s">
        <v>17</v>
      </c>
      <c r="D6" s="5">
        <v>8904</v>
      </c>
      <c r="E6" s="5">
        <v>27.92</v>
      </c>
      <c r="F6" s="5">
        <f t="shared" si="0"/>
        <v>248599.68000000002</v>
      </c>
      <c r="G6" s="5">
        <v>1911.74</v>
      </c>
      <c r="H6" s="5">
        <f t="shared" si="1"/>
        <v>956.42</v>
      </c>
      <c r="I6" s="5">
        <v>955.32</v>
      </c>
      <c r="J6" s="5">
        <f t="shared" si="2"/>
        <v>249556.1</v>
      </c>
      <c r="K6" s="5">
        <v>44870.43</v>
      </c>
      <c r="L6" s="5">
        <v>7708.24</v>
      </c>
      <c r="M6" s="5">
        <v>10465.17</v>
      </c>
    </row>
    <row r="7" spans="2:13" x14ac:dyDescent="0.3">
      <c r="B7" s="4">
        <v>5</v>
      </c>
      <c r="C7" s="3" t="s">
        <v>18</v>
      </c>
      <c r="D7" s="5">
        <v>4649.3500000000004</v>
      </c>
      <c r="E7" s="5">
        <v>27.38</v>
      </c>
      <c r="F7" s="5">
        <f t="shared" si="0"/>
        <v>127299.20300000001</v>
      </c>
      <c r="G7" s="5">
        <v>419.44</v>
      </c>
      <c r="H7" s="5">
        <f t="shared" si="1"/>
        <v>273.13</v>
      </c>
      <c r="I7" s="5">
        <v>146.31</v>
      </c>
      <c r="J7" s="5">
        <f t="shared" si="2"/>
        <v>127572.33300000001</v>
      </c>
      <c r="K7" s="5">
        <v>16535.78</v>
      </c>
      <c r="L7" s="5">
        <v>4001.01</v>
      </c>
      <c r="M7" s="5">
        <v>5850.5</v>
      </c>
    </row>
    <row r="8" spans="2:13" x14ac:dyDescent="0.3">
      <c r="B8" s="4">
        <v>6</v>
      </c>
      <c r="C8" s="3" t="s">
        <v>19</v>
      </c>
      <c r="D8" s="5">
        <v>5055.3500000000004</v>
      </c>
      <c r="E8" s="5">
        <v>19.989999999999998</v>
      </c>
      <c r="F8" s="5">
        <f t="shared" si="0"/>
        <v>101056.44650000001</v>
      </c>
      <c r="G8" s="5">
        <v>606.41</v>
      </c>
      <c r="H8" s="5">
        <f t="shared" si="1"/>
        <v>-90.060000000000059</v>
      </c>
      <c r="I8" s="5">
        <v>696.47</v>
      </c>
      <c r="J8" s="5">
        <f t="shared" si="2"/>
        <v>100966.38650000001</v>
      </c>
      <c r="K8" s="5">
        <v>37788.620000000003</v>
      </c>
      <c r="L8" s="5">
        <v>3742.16</v>
      </c>
      <c r="M8" s="5">
        <v>6083.92</v>
      </c>
    </row>
    <row r="9" spans="2:13" x14ac:dyDescent="0.3">
      <c r="B9" s="4">
        <v>7</v>
      </c>
      <c r="C9" s="3" t="s">
        <v>20</v>
      </c>
      <c r="D9" s="5">
        <v>2103.4</v>
      </c>
      <c r="E9" s="5">
        <v>47.51</v>
      </c>
      <c r="F9" s="5">
        <f t="shared" si="0"/>
        <v>99932.534</v>
      </c>
      <c r="G9" s="5">
        <v>13376.38</v>
      </c>
      <c r="H9" s="5">
        <f t="shared" si="1"/>
        <v>10950.65</v>
      </c>
      <c r="I9" s="5">
        <v>2425.73</v>
      </c>
      <c r="J9" s="5">
        <f t="shared" si="2"/>
        <v>110883.18400000001</v>
      </c>
      <c r="K9" s="5">
        <v>39144.74</v>
      </c>
      <c r="L9" s="5">
        <v>1778.54</v>
      </c>
      <c r="M9" s="5">
        <v>5605.76</v>
      </c>
    </row>
    <row r="10" spans="2:13" x14ac:dyDescent="0.3">
      <c r="B10" s="4">
        <v>8</v>
      </c>
      <c r="C10" s="3" t="s">
        <v>21</v>
      </c>
      <c r="D10" s="5">
        <v>201.4</v>
      </c>
      <c r="E10" s="5">
        <v>293.63</v>
      </c>
      <c r="F10" s="5">
        <f t="shared" si="0"/>
        <v>59137.082000000002</v>
      </c>
      <c r="G10" s="5">
        <v>34391.620000000003</v>
      </c>
      <c r="H10" s="5">
        <f t="shared" si="1"/>
        <v>32204.9</v>
      </c>
      <c r="I10" s="5">
        <v>2186.7199999999998</v>
      </c>
      <c r="J10" s="5">
        <f t="shared" si="2"/>
        <v>91341.982000000004</v>
      </c>
      <c r="K10" s="5">
        <v>45415.61</v>
      </c>
      <c r="L10" s="5">
        <v>2565.36</v>
      </c>
      <c r="M10" s="5">
        <v>7452.46</v>
      </c>
    </row>
    <row r="11" spans="2:13" x14ac:dyDescent="0.3">
      <c r="B11" s="4">
        <v>9</v>
      </c>
      <c r="C11" s="3" t="s">
        <v>22</v>
      </c>
      <c r="D11" s="5">
        <v>3647</v>
      </c>
      <c r="E11" s="5">
        <v>11.05</v>
      </c>
      <c r="F11" s="5">
        <f t="shared" si="0"/>
        <v>40299.350000000006</v>
      </c>
      <c r="G11" s="5">
        <v>53.09</v>
      </c>
      <c r="H11" s="5">
        <f t="shared" si="1"/>
        <v>-1125.9100000000001</v>
      </c>
      <c r="I11" s="5">
        <v>1179</v>
      </c>
      <c r="J11" s="5">
        <f t="shared" si="2"/>
        <v>39173.440000000002</v>
      </c>
      <c r="K11" s="5">
        <v>8849.6200000000008</v>
      </c>
      <c r="L11" s="5">
        <v>1049.18</v>
      </c>
      <c r="M11" s="5">
        <v>1581.74</v>
      </c>
    </row>
    <row r="12" spans="2:13" x14ac:dyDescent="0.3">
      <c r="B12" s="4">
        <v>10</v>
      </c>
      <c r="C12" s="3" t="s">
        <v>23</v>
      </c>
      <c r="D12" s="5">
        <v>1709.9</v>
      </c>
      <c r="E12" s="5">
        <v>8.2100000000000009</v>
      </c>
      <c r="F12" s="5">
        <f t="shared" si="0"/>
        <v>14038.279000000002</v>
      </c>
      <c r="G12" s="5">
        <v>120.75</v>
      </c>
      <c r="H12" s="5">
        <f t="shared" si="1"/>
        <v>-53.789999999999992</v>
      </c>
      <c r="I12" s="5">
        <v>174.54</v>
      </c>
      <c r="J12" s="5">
        <f t="shared" si="2"/>
        <v>13984.489000000001</v>
      </c>
      <c r="K12" s="5">
        <v>1154.1400000000001</v>
      </c>
      <c r="L12" s="5">
        <v>78.650000000000006</v>
      </c>
      <c r="M12" s="5">
        <v>185.5</v>
      </c>
    </row>
    <row r="13" spans="2:13" x14ac:dyDescent="0.3">
      <c r="B13" s="4"/>
      <c r="C13" s="3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4"/>
      <c r="C14" s="3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2:13" x14ac:dyDescent="0.3">
      <c r="B15" s="4"/>
      <c r="C15" s="3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2:13" x14ac:dyDescent="0.3">
      <c r="B16" s="4"/>
      <c r="C16" s="3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2:13" x14ac:dyDescent="0.3">
      <c r="B17" s="4"/>
      <c r="C17" s="3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2:13" x14ac:dyDescent="0.3">
      <c r="B18" s="4"/>
      <c r="C18" s="3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2:13" x14ac:dyDescent="0.3">
      <c r="B19" s="4">
        <v>11</v>
      </c>
      <c r="C19" s="3" t="s">
        <v>24</v>
      </c>
      <c r="D19" s="5">
        <v>9145</v>
      </c>
      <c r="E19" s="5">
        <v>1.32</v>
      </c>
      <c r="F19" s="5">
        <f t="shared" si="0"/>
        <v>12071.400000000001</v>
      </c>
      <c r="G19" s="5">
        <v>524.5</v>
      </c>
      <c r="H19" s="5"/>
      <c r="I19" s="5">
        <v>448.76</v>
      </c>
      <c r="J19" s="5">
        <f t="shared" si="2"/>
        <v>12147.140000000001</v>
      </c>
      <c r="K19" s="5">
        <v>6992.13</v>
      </c>
      <c r="L19" s="5">
        <v>388.21</v>
      </c>
      <c r="M19" s="5">
        <v>933.96</v>
      </c>
    </row>
    <row r="20" spans="2:13" x14ac:dyDescent="0.3">
      <c r="B20" s="4">
        <v>12</v>
      </c>
      <c r="C20" s="3" t="s">
        <v>25</v>
      </c>
      <c r="D20" s="5">
        <v>2064</v>
      </c>
      <c r="E20" s="5">
        <v>1.45</v>
      </c>
      <c r="F20" s="5">
        <f t="shared" si="0"/>
        <v>2992.7999999999997</v>
      </c>
      <c r="G20" s="5">
        <v>255.07</v>
      </c>
      <c r="H20" s="5"/>
      <c r="I20" s="5">
        <v>5.84</v>
      </c>
      <c r="J20" s="5">
        <f t="shared" si="2"/>
        <v>3242.0299999999997</v>
      </c>
      <c r="K20" s="5">
        <v>2099.5500000000002</v>
      </c>
      <c r="L20" s="5">
        <v>82.35</v>
      </c>
      <c r="M20" s="5">
        <v>155.99</v>
      </c>
    </row>
    <row r="21" spans="2:13" x14ac:dyDescent="0.3">
      <c r="B21" s="4">
        <v>13</v>
      </c>
      <c r="C21" s="3" t="s">
        <v>26</v>
      </c>
      <c r="D21" s="5">
        <v>3350.2</v>
      </c>
      <c r="E21" s="5">
        <v>0.86</v>
      </c>
      <c r="F21" s="5">
        <f t="shared" si="0"/>
        <v>2881.172</v>
      </c>
      <c r="G21" s="5">
        <v>1.35</v>
      </c>
      <c r="H21" s="5"/>
      <c r="I21" s="5">
        <v>46.73</v>
      </c>
      <c r="J21" s="5">
        <f t="shared" si="2"/>
        <v>2835.7919999999999</v>
      </c>
      <c r="K21" s="5">
        <v>968.05</v>
      </c>
      <c r="L21" s="5">
        <v>121.51</v>
      </c>
      <c r="M21" s="5">
        <v>184.76999999999998</v>
      </c>
    </row>
    <row r="22" spans="2:13" x14ac:dyDescent="0.3">
      <c r="B22" s="4">
        <v>14</v>
      </c>
      <c r="C22" s="3" t="s">
        <v>27</v>
      </c>
      <c r="D22" s="5">
        <v>563.15</v>
      </c>
      <c r="E22" s="5">
        <v>2.78</v>
      </c>
      <c r="F22" s="5">
        <f t="shared" si="0"/>
        <v>1565.5569999999998</v>
      </c>
      <c r="G22" s="5">
        <v>136.41</v>
      </c>
      <c r="H22" s="5"/>
      <c r="I22" s="5">
        <v>5.57</v>
      </c>
      <c r="J22" s="5">
        <f t="shared" si="2"/>
        <v>1696.3969999999999</v>
      </c>
      <c r="K22" s="5">
        <v>517.41999999999996</v>
      </c>
      <c r="L22" s="5">
        <v>5.53</v>
      </c>
      <c r="M22" s="5">
        <v>42.2</v>
      </c>
    </row>
    <row r="23" spans="2:13" x14ac:dyDescent="0.3">
      <c r="B23" s="4">
        <v>15</v>
      </c>
      <c r="C23" s="3" t="s">
        <v>28</v>
      </c>
      <c r="D23" s="5">
        <v>54.23</v>
      </c>
      <c r="E23" s="5">
        <v>26.07</v>
      </c>
      <c r="F23" s="5">
        <f t="shared" si="0"/>
        <v>1413.7761</v>
      </c>
      <c r="G23" s="5">
        <v>84.57</v>
      </c>
      <c r="H23" s="5"/>
      <c r="I23" s="5">
        <v>4.83</v>
      </c>
      <c r="J23" s="5">
        <f t="shared" si="2"/>
        <v>1493.5161000000001</v>
      </c>
      <c r="K23" s="5">
        <v>317.31</v>
      </c>
      <c r="L23" s="5">
        <v>14.15</v>
      </c>
      <c r="M23" s="5">
        <v>32.520000000000003</v>
      </c>
    </row>
    <row r="24" spans="2:13" x14ac:dyDescent="0.3">
      <c r="B24" s="4">
        <v>16</v>
      </c>
      <c r="C24" s="3" t="s">
        <v>29</v>
      </c>
      <c r="D24" s="5">
        <v>75.09</v>
      </c>
      <c r="E24" s="5">
        <v>17.55</v>
      </c>
      <c r="F24" s="5">
        <f t="shared" si="0"/>
        <v>1317.8295000000001</v>
      </c>
      <c r="G24" s="5">
        <v>33.33</v>
      </c>
      <c r="H24" s="5"/>
      <c r="I24" s="5">
        <v>9.08</v>
      </c>
      <c r="J24" s="5">
        <f t="shared" si="2"/>
        <v>1342.0795000000001</v>
      </c>
      <c r="K24" s="5">
        <v>23.44</v>
      </c>
      <c r="L24" s="5">
        <v>2.16</v>
      </c>
      <c r="M24" s="5">
        <v>3.23</v>
      </c>
    </row>
    <row r="25" spans="2:13" x14ac:dyDescent="0.3">
      <c r="B25" s="4">
        <v>17</v>
      </c>
      <c r="C25" s="3" t="s">
        <v>30</v>
      </c>
      <c r="D25" s="5">
        <v>21.42</v>
      </c>
      <c r="E25" s="5">
        <v>52.55</v>
      </c>
      <c r="F25" s="5">
        <f t="shared" si="0"/>
        <v>1125.6210000000001</v>
      </c>
      <c r="G25" s="5">
        <v>5.65</v>
      </c>
      <c r="H25" s="5"/>
      <c r="I25" s="5">
        <v>0.57999999999999996</v>
      </c>
      <c r="J25" s="5">
        <f t="shared" si="2"/>
        <v>1130.6910000000003</v>
      </c>
      <c r="K25" s="5">
        <v>42.39</v>
      </c>
      <c r="L25" s="5">
        <v>2.4700000000000002</v>
      </c>
      <c r="M25" s="5">
        <v>3.75</v>
      </c>
    </row>
    <row r="26" spans="2:13" x14ac:dyDescent="0.3">
      <c r="B26" s="4">
        <v>18</v>
      </c>
      <c r="C26" s="3" t="s">
        <v>31</v>
      </c>
      <c r="D26" s="5">
        <v>38.270000000000003</v>
      </c>
      <c r="E26" s="5">
        <v>20.87</v>
      </c>
      <c r="F26" s="5">
        <f t="shared" si="0"/>
        <v>798.69490000000008</v>
      </c>
      <c r="G26" s="5">
        <v>0</v>
      </c>
      <c r="H26" s="5"/>
      <c r="I26" s="5">
        <v>7.25</v>
      </c>
      <c r="J26" s="5">
        <f t="shared" si="2"/>
        <v>791.44490000000008</v>
      </c>
      <c r="K26" s="5">
        <v>1.37</v>
      </c>
      <c r="L26" s="5">
        <v>9.56</v>
      </c>
      <c r="M26" s="5">
        <v>9.9400000000000013</v>
      </c>
    </row>
    <row r="27" spans="2:13" x14ac:dyDescent="0.3">
      <c r="B27" s="4">
        <v>19</v>
      </c>
      <c r="C27" s="3" t="s">
        <v>32</v>
      </c>
      <c r="D27" s="5">
        <v>62.01</v>
      </c>
      <c r="E27" s="5">
        <v>8.73</v>
      </c>
      <c r="F27" s="5">
        <f t="shared" si="0"/>
        <v>541.34730000000002</v>
      </c>
      <c r="G27" s="5">
        <v>57</v>
      </c>
      <c r="H27" s="5"/>
      <c r="I27" s="5">
        <v>66.39</v>
      </c>
      <c r="J27" s="5">
        <f t="shared" si="2"/>
        <v>531.95730000000003</v>
      </c>
      <c r="K27" s="5">
        <v>0</v>
      </c>
      <c r="L27" s="5">
        <v>-18.600000000000001</v>
      </c>
      <c r="M27" s="5">
        <v>-13.06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Comps_Val</vt:lpstr>
      <vt:lpstr>Data</vt:lpstr>
      <vt:lpstr>Comps_Val!Print_Area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PANKAJ BISHT</cp:lastModifiedBy>
  <cp:lastPrinted>2024-05-15T14:34:19Z</cp:lastPrinted>
  <dcterms:created xsi:type="dcterms:W3CDTF">2015-06-05T18:17:20Z</dcterms:created>
  <dcterms:modified xsi:type="dcterms:W3CDTF">2024-05-15T14:42:52Z</dcterms:modified>
</cp:coreProperties>
</file>