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DOM" sheetId="1" state="visible" r:id="rId2"/>
    <sheet name="MONTEL" sheetId="2" state="visible" r:id="rId3"/>
    <sheet name="PAROYS" sheetId="3" state="visible" r:id="rId4"/>
  </sheets>
  <definedNames>
    <definedName function="false" hidden="false" name="AAM" vbProcedure="false">DEDOM!$D$3</definedName>
    <definedName function="false" hidden="false" name="AT" vbProcedure="false">DEDOM!$D$5</definedName>
    <definedName function="false" hidden="false" name="DEP_F" vbProcedure="false">DEDOM!$D$13</definedName>
    <definedName function="false" hidden="false" name="KPOL1" vbProcedure="false">DEDOM!$D$8</definedName>
    <definedName function="false" hidden="false" name="LE" vbProcedure="false">DEDOM!$D$10</definedName>
    <definedName function="false" hidden="false" name="M_KPOL" vbProcedure="false">DEDOM!$D$9</definedName>
    <definedName function="false" hidden="false" name="M_LE" vbProcedure="false">DEDOM!$D$11</definedName>
    <definedName function="false" hidden="false" name="M_POL" vbProcedure="false">DEDOM!$D$7</definedName>
    <definedName function="false" hidden="false" name="OFZ" vbProcedure="false">DEDOM!$D$4</definedName>
    <definedName function="false" hidden="false" name="SF" vbProcedure="false">DEDOM!$D$12</definedName>
    <definedName function="false" hidden="false" name="_POL1" vbProcedure="false">DEDOM!$D$6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<sst xmlns="http://schemas.openxmlformats.org/spreadsheetml/2006/main" count="136" uniqueCount="124">
  <si>
    <t xml:space="preserve">ΑΞΙΑ ΜΗΧΑΝΗΜΑΤΟΣ</t>
  </si>
  <si>
    <t xml:space="preserve">AAM</t>
  </si>
  <si>
    <t xml:space="preserve">ευρώ</t>
  </si>
  <si>
    <t xml:space="preserve">ΩΦΕΛΙΜΗ ΖΩΗ ΜΗΧΑΝΗΜΑΤΟΣ</t>
  </si>
  <si>
    <t xml:space="preserve">OFZ</t>
  </si>
  <si>
    <t xml:space="preserve">ετη</t>
  </si>
  <si>
    <t xml:space="preserve">ΑΞΙΑ ΤΕΛΟΥΣ</t>
  </si>
  <si>
    <t xml:space="preserve">AT</t>
  </si>
  <si>
    <t xml:space="preserve">ΠΩΛΗΣΕΙΣ 1ου ΕΤΟΥΣ </t>
  </si>
  <si>
    <t xml:space="preserve">POL1</t>
  </si>
  <si>
    <t xml:space="preserve">ΑΥΞΗΣΗ ΠΩΛΗΣΕΩΝ </t>
  </si>
  <si>
    <t xml:space="preserve">M_POL</t>
  </si>
  <si>
    <t xml:space="preserve">ετησίως</t>
  </si>
  <si>
    <t xml:space="preserve">ΚΟΣΤΟΣ ΠΩΛΗΘΕΝΤΩΝ 1ου ΕΤΟΥΣ</t>
  </si>
  <si>
    <t xml:space="preserve">KPOL1</t>
  </si>
  <si>
    <t xml:space="preserve">ΑΥΞΗΣΗ ΚΟΣΤΟΥΣ ΠΩΛΗΘΕΝΤΩΝ</t>
  </si>
  <si>
    <t xml:space="preserve">M_KPOL</t>
  </si>
  <si>
    <t xml:space="preserve">ΛΕΙΤΟΥΡΓΙΚΟ ΕΞΟΔΑ 1ου ΕΤΟΥΣ </t>
  </si>
  <si>
    <t xml:space="preserve">LE</t>
  </si>
  <si>
    <t xml:space="preserve">ΕΤΗΣΙΑ ΑΥΞΗΣΗ ΛΕΙΤ.ΕΞΟΔΩΝ </t>
  </si>
  <si>
    <t xml:space="preserve">M_LE</t>
  </si>
  <si>
    <t xml:space="preserve">ΣΥΝΤΕΛΕΣΤΗΣ ΦΟΡΟΛΟΓΙΑΣ </t>
  </si>
  <si>
    <t xml:space="preserve">SF</t>
  </si>
  <si>
    <t xml:space="preserve">ΣΥΝΤΕΛΕΣΤΗΣ ΣΤΑΘΕΡΗΣ ΑΠΟΣΒΕΣΗΣ</t>
  </si>
  <si>
    <t xml:space="preserve">DEP_F</t>
  </si>
  <si>
    <t xml:space="preserve">ΚΟΣΤΟΣ ΚΕΦΑΛΑΙΟΥ</t>
  </si>
  <si>
    <t xml:space="preserve">k</t>
  </si>
  <si>
    <t xml:space="preserve">wacc</t>
  </si>
  <si>
    <t xml:space="preserve">ΣΗΜΕΙΩΣΕΙΣ: </t>
  </si>
  <si>
    <t xml:space="preserve">ΜΑΘΗΜΑΤΙΚΕΣ ΣΧΕΣΕΙΣ ΜΟΝΤΕΛΟΥ </t>
  </si>
  <si>
    <t xml:space="preserve">MIKΤΟ ΚΕΡΔΟΣ = ΠΩΛΗΣΕΙΣ - ΚΟΣΤΟΣ ΠΩΛΗΘΕΝΤΩΝ </t>
  </si>
  <si>
    <t xml:space="preserve">ΚΑΘΑΡΟ ΚΕΡΔΟΣ = MIKΤΟ ΚΕΡΔΟΣ - ΛΕΙΤΟΥΡΓΙΚΑ </t>
  </si>
  <si>
    <t xml:space="preserve">ΚΑΘΑΡΗ ΤΑΜΙΑΚΗ ΡΟΗ = (+) ΤΑΜΙΑΚΗ ΕΙΣΡΟΗ </t>
  </si>
  <si>
    <t xml:space="preserve">TAΜΙΑΚΗ ΡΟΗ ΛΕΙΤΟΥΡΓΙΑΣ = ΚΑΘΑΡΟ ΚΕΡΔΟΣ +ΑΠΟΣΒΕΣΕΙΣ</t>
  </si>
  <si>
    <t xml:space="preserve">TAΜΙΑΚΗ ΡΟΗ ΛΕΙΤΟΥΡΓΙΑΣ = (1-%ΦΟΡΟΥ)*ΚΕΡΔΟΣ πφ + %ΦΟΡΟΥ*ΑΠΟΣΒΕΣΕΙΣ </t>
  </si>
  <si>
    <t xml:space="preserve">P1 = Po + Po * p% = Po * (1+p%) </t>
  </si>
  <si>
    <t xml:space="preserve">ΑΠΟΣΒΕΣΕΙΣ = 1/Ν * (ΑΞΙΑ ΜΗΧΑΝΗΜΑΤΟΣ - ΑΞΙΑ ΤΕΛΟΥΣ ΜΗΧΑΝΗΜΑΤΟΣ) </t>
  </si>
  <si>
    <t xml:space="preserve">Ν = ΑΠΟΣΒΕΣΗ ΜΗΧΑΝΗΜΑΤΟΣ ΣΕ ΕΤΗ </t>
  </si>
  <si>
    <t xml:space="preserve">ΑΝΑΛΥΣΗ ΕΥΑΙΣΘΗΣΙΑ ΕΠΕΝΔΥΣΗΣ</t>
  </si>
  <si>
    <t xml:space="preserve">ΜΕΤΑΦΟΡΑ</t>
  </si>
  <si>
    <t xml:space="preserve">ΚΠΑ</t>
  </si>
  <si>
    <t xml:space="preserve">ΛΥΣΗΣ ΑΠΟ ΜΟΝΤΕΛΟ</t>
  </si>
  <si>
    <t xml:space="preserve">ΑΝΑΛΥΣΕΙΣ ΕΥΑΙΣΘΗΣΙΑΣ ΕΠΕΝΔΥΣΗΣ</t>
  </si>
  <si>
    <t xml:space="preserve">ΩΣ ΠΡΟΣ ΠΟΣΟΣΤΟ ΜΕΤΑΒΟΛΗΣ</t>
  </si>
  <si>
    <t xml:space="preserve">ΠΩΛΗΣΕΩΝ ΚΑΙ ΚΟΣΤΟΥΣ ΠΩΛΗΘΕΝΤΩΝ</t>
  </si>
  <si>
    <t xml:space="preserve">ΜΕΤΑΒΟΛΗ ΚΟΣΤΟΥΣ ΠΩΛΗΘΕΝΤΩΝ</t>
  </si>
  <si>
    <t xml:space="preserve">ΜΕΤΑΒΟΛΗ ΠΩΛΗΣΕΩΝ </t>
  </si>
  <si>
    <t xml:space="preserve">ΙΣΧΥΟΥΝ</t>
  </si>
  <si>
    <r>
      <rPr>
        <sz val="10"/>
        <rFont val="Arial"/>
        <family val="0"/>
        <charset val="161"/>
      </rPr>
      <t xml:space="preserve">Pn=Po*(1+p%)</t>
    </r>
    <r>
      <rPr>
        <vertAlign val="superscript"/>
        <sz val="10"/>
        <rFont val="Arial"/>
        <family val="2"/>
        <charset val="161"/>
      </rPr>
      <t xml:space="preserve">n</t>
    </r>
  </si>
  <si>
    <r>
      <rPr>
        <sz val="10"/>
        <rFont val="Arial"/>
        <family val="0"/>
        <charset val="161"/>
      </rPr>
      <t xml:space="preserve">Pn/Po=(1+g)</t>
    </r>
    <r>
      <rPr>
        <vertAlign val="superscript"/>
        <sz val="10"/>
        <rFont val="Arial"/>
        <family val="2"/>
        <charset val="161"/>
      </rPr>
      <t xml:space="preserve">n</t>
    </r>
  </si>
  <si>
    <t xml:space="preserve">ΠΡΟΒΛΕΠΟΜΕΝΑ ΑΠΟΤΕΛΕΣΜΑΤΑ ΧΡΗΣΗΣ ΚΑΙ ΤΑΜIAΚΕΣ ΡΟΕΣ </t>
  </si>
  <si>
    <t xml:space="preserve">ΕΥΡΩ </t>
  </si>
  <si>
    <t xml:space="preserve">ΕΤΗ</t>
  </si>
  <si>
    <t xml:space="preserve">ΠΩΛΗΣΕΙΣ </t>
  </si>
  <si>
    <t xml:space="preserve">Po * (1+p%) </t>
  </si>
  <si>
    <t xml:space="preserve">μείον ΚΟΣΤΟΣ ΠΩΛΗΘΕΝΤΩΝ </t>
  </si>
  <si>
    <t xml:space="preserve">MIKΤΟ ΚΕΡΔΟΣ </t>
  </si>
  <si>
    <t xml:space="preserve">μείον ΛΕΙΤΟΥΡΓΙΚΑ ΕΞΟΔΑ </t>
  </si>
  <si>
    <t xml:space="preserve">ΚΕΡΔΟΣ ΠΡΟ ΦΟΡΩΝ ΚΑΙ ΑΠΟΣΒΕΣΕΩΝ </t>
  </si>
  <si>
    <r>
      <rPr>
        <sz val="10"/>
        <rFont val="Arial"/>
        <family val="0"/>
        <charset val="161"/>
      </rPr>
      <t xml:space="preserve">μείον ΑΠΟΣΒΕΣΕΙΣ </t>
    </r>
    <r>
      <rPr>
        <b val="true"/>
        <sz val="10"/>
        <rFont val="Arial"/>
        <family val="2"/>
        <charset val="161"/>
      </rPr>
      <t xml:space="preserve">*</t>
    </r>
  </si>
  <si>
    <t xml:space="preserve">ΚΕΡΔΟΣ ΠΡΟ ΦΟΡΩΝ </t>
  </si>
  <si>
    <t xml:space="preserve">μείον ΦΟΡΟΙ </t>
  </si>
  <si>
    <t xml:space="preserve">ΚΑΘΑΡΟ ΚΕΡΔΟΣ </t>
  </si>
  <si>
    <t xml:space="preserve">ΤΑΜΙΑΚΗ ΡΟΗ ΛΕΙΤΟΥΡΓΙΑΣ </t>
  </si>
  <si>
    <t xml:space="preserve">ΚΑΘΑΡΟ ΚΕΡΔΟΣ (ΑΠΟ ΠΑΡΑΠΑΝΩ) </t>
  </si>
  <si>
    <t xml:space="preserve">συν ΑΠΟΣΒΕΣΕΙΣ (ΑΠΟ ΠΑΡΑΠΑΝΩ) </t>
  </si>
  <si>
    <t xml:space="preserve">ΚΑΘΑΡΗ ΤΑΜΙΑΚΗ ΡΟΗ ΛΕΙΤΟΥΡΓΙΑΣ **</t>
  </si>
  <si>
    <t xml:space="preserve">ή </t>
  </si>
  <si>
    <t xml:space="preserve">ΚΑΘΑΡΗ ΤΑΜΙΑΚΗ ΡΟΗ ΛΕΙΤΟΥΡΓΙΑΣ ***</t>
  </si>
  <si>
    <t xml:space="preserve">ΣΥΝΟΛΙΚΗ ΤΑΜΙΑΚΗ ΡΟΗ </t>
  </si>
  <si>
    <t xml:space="preserve">ΚΑΘΑΡΗ ΤΑΜΙΑΚΗ ΡΟΗ ΛΕΙΤΟΥΡΓΙΑΣ </t>
  </si>
  <si>
    <t xml:space="preserve">μείον ΑΡΧΙΚΗ ΕΠΕΝΔΥΣΗ KAI ΣΧΕΤΙΚΕΣ ΡΟΕΣ
</t>
  </si>
  <si>
    <t xml:space="preserve">ΣΥΝΟΛΙΚΗ ΚΑΘΑΡΗ ΤΑΜΙΑΚΗ ΡΟΗ </t>
  </si>
  <si>
    <t xml:space="preserve">ΣΠΑΠ (ΜΑΘ)</t>
  </si>
  <si>
    <t xml:space="preserve">ΣΠΑΠ (ΜΑΚΡ)</t>
  </si>
  <si>
    <t xml:space="preserve">ΠΑ ΤΑΜΕΙΑΚΩΝ ΡΟΩΝ</t>
  </si>
  <si>
    <t xml:space="preserve">Ή</t>
  </si>
  <si>
    <t xml:space="preserve">ΥΠΟΛΟΓΙΣΜΟΣ ΕΝΔΙΑΜΕΣΗΣ ΤΙΜΗΣ</t>
  </si>
  <si>
    <t xml:space="preserve">ΑΠΛΗ ΜΕΘΟΔΟΣ ΤΩΝ ΤΡΙΩΝ</t>
  </si>
  <si>
    <t xml:space="preserve">ΠΑ ΤΑΜΕΙΑΚΩΝ ΕΙΣΡΟΩΝ</t>
  </si>
  <si>
    <t xml:space="preserve">R2-R1</t>
  </si>
  <si>
    <t xml:space="preserve">   ΜΕΙΟΝ ΑΡΧΙΚΗ ΕΠΕΝΔΥΣΗ</t>
  </si>
  <si>
    <t xml:space="preserve">R1</t>
  </si>
  <si>
    <t xml:space="preserve">R2</t>
  </si>
  <si>
    <r>
      <rPr>
        <sz val="10"/>
        <rFont val="Arial"/>
        <family val="0"/>
        <charset val="161"/>
      </rPr>
      <t xml:space="preserve">R</t>
    </r>
    <r>
      <rPr>
        <vertAlign val="subscript"/>
        <sz val="10"/>
        <rFont val="Arial"/>
        <family val="2"/>
        <charset val="161"/>
      </rPr>
      <t xml:space="preserve">2</t>
    </r>
    <r>
      <rPr>
        <sz val="10"/>
        <rFont val="Arial"/>
        <family val="0"/>
        <charset val="161"/>
      </rPr>
      <t xml:space="preserve">-X%</t>
    </r>
  </si>
  <si>
    <t xml:space="preserve">ΜΕΤΑΞΥ</t>
  </si>
  <si>
    <t xml:space="preserve">X%</t>
  </si>
  <si>
    <t xml:space="preserve">ΜΕ ΜΑΚΡΟΕΝΤΟΛΗ</t>
  </si>
  <si>
    <r>
      <rPr>
        <sz val="10"/>
        <rFont val="Arial"/>
        <family val="0"/>
        <charset val="161"/>
      </rPr>
      <t xml:space="preserve">KΠΑ</t>
    </r>
    <r>
      <rPr>
        <vertAlign val="subscript"/>
        <sz val="10"/>
        <rFont val="Arial"/>
        <family val="2"/>
        <charset val="161"/>
      </rPr>
      <t xml:space="preserve">R1</t>
    </r>
  </si>
  <si>
    <r>
      <rPr>
        <sz val="10"/>
        <rFont val="Arial"/>
        <family val="0"/>
        <charset val="161"/>
      </rPr>
      <t xml:space="preserve">KΠΑ</t>
    </r>
    <r>
      <rPr>
        <vertAlign val="subscript"/>
        <sz val="10"/>
        <rFont val="Arial"/>
        <family val="2"/>
        <charset val="161"/>
      </rPr>
      <t xml:space="preserve">R2</t>
    </r>
  </si>
  <si>
    <t xml:space="preserve">ΕΣΩΤΕΡΙΚΟΣ ΒΑΘΜΟΣ ΑΠΟΔΟΣΗΣ ΤΗΣ ΕΠΕΝΔ.</t>
  </si>
  <si>
    <r>
      <rPr>
        <sz val="10"/>
        <rFont val="Arial"/>
        <family val="0"/>
        <charset val="161"/>
      </rPr>
      <t xml:space="preserve">KΠΑ</t>
    </r>
    <r>
      <rPr>
        <vertAlign val="subscript"/>
        <sz val="10"/>
        <rFont val="Arial"/>
        <family val="2"/>
        <charset val="161"/>
      </rPr>
      <t xml:space="preserve">R1</t>
    </r>
    <r>
      <rPr>
        <sz val="10"/>
        <rFont val="Arial"/>
        <family val="0"/>
        <charset val="161"/>
      </rPr>
      <t xml:space="preserve"> - KΠΑ</t>
    </r>
    <r>
      <rPr>
        <vertAlign val="subscript"/>
        <sz val="10"/>
        <rFont val="Arial"/>
        <family val="2"/>
        <charset val="161"/>
      </rPr>
      <t xml:space="preserve">R2</t>
    </r>
  </si>
  <si>
    <t xml:space="preserve">ΕΒΑ (IRR)</t>
  </si>
  <si>
    <t xml:space="preserve">EBA &gt; I ara apodoxh</t>
  </si>
  <si>
    <t xml:space="preserve">Χ=ΕΒΑ</t>
  </si>
  <si>
    <t xml:space="preserve">ΟΡΙΣΜΟΙ</t>
  </si>
  <si>
    <r>
      <rPr>
        <sz val="10"/>
        <rFont val="Arial"/>
        <family val="0"/>
        <charset val="161"/>
      </rPr>
      <t xml:space="preserve">ΚΠΑ</t>
    </r>
    <r>
      <rPr>
        <vertAlign val="subscript"/>
        <sz val="10"/>
        <rFont val="Arial"/>
        <family val="2"/>
        <charset val="161"/>
      </rPr>
      <t xml:space="preserve">Χ</t>
    </r>
    <r>
      <rPr>
        <sz val="10"/>
        <rFont val="Arial"/>
        <family val="2"/>
        <charset val="161"/>
      </rPr>
      <t xml:space="preserve">-KΠΑ</t>
    </r>
    <r>
      <rPr>
        <vertAlign val="subscript"/>
        <sz val="10"/>
        <rFont val="Arial"/>
        <family val="2"/>
        <charset val="161"/>
      </rPr>
      <t xml:space="preserve">R1</t>
    </r>
  </si>
  <si>
    <r>
      <rPr>
        <sz val="10"/>
        <rFont val="Arial"/>
        <family val="0"/>
        <charset val="161"/>
      </rPr>
      <t xml:space="preserve">KΠΑ</t>
    </r>
    <r>
      <rPr>
        <vertAlign val="subscript"/>
        <sz val="10"/>
        <rFont val="Arial"/>
        <family val="2"/>
        <charset val="161"/>
      </rPr>
      <t xml:space="preserve">R2</t>
    </r>
    <r>
      <rPr>
        <sz val="10"/>
        <rFont val="Arial"/>
        <family val="0"/>
        <charset val="161"/>
      </rPr>
      <t xml:space="preserve">-ΚΠΑ</t>
    </r>
    <r>
      <rPr>
        <vertAlign val="subscript"/>
        <sz val="10"/>
        <rFont val="Arial"/>
        <family val="2"/>
        <charset val="161"/>
      </rPr>
      <t xml:space="preserve">Χ</t>
    </r>
  </si>
  <si>
    <r>
      <rPr>
        <b val="true"/>
        <sz val="10"/>
        <rFont val="Arial"/>
        <family val="2"/>
        <charset val="161"/>
      </rPr>
      <t xml:space="preserve">*</t>
    </r>
    <r>
      <rPr>
        <sz val="10"/>
        <rFont val="Arial"/>
        <family val="0"/>
        <charset val="161"/>
      </rPr>
      <t xml:space="preserve">ΑΠΟΣΒΕΣΕΙΣ = 1/Ν * (ΑΞΙΑ ΜΗΧΑΝΗΜΑΤΟΣ - ΑΞΙΑ ΤΕΛΟΥΣ )</t>
    </r>
  </si>
  <si>
    <r>
      <rPr>
        <sz val="10"/>
        <rFont val="Arial"/>
        <family val="0"/>
        <charset val="161"/>
      </rPr>
      <t xml:space="preserve">0-KΠΑ</t>
    </r>
    <r>
      <rPr>
        <vertAlign val="subscript"/>
        <sz val="10"/>
        <rFont val="Arial"/>
        <family val="2"/>
        <charset val="161"/>
      </rPr>
      <t xml:space="preserve">R1</t>
    </r>
  </si>
  <si>
    <r>
      <rPr>
        <sz val="10"/>
        <rFont val="Arial"/>
        <family val="0"/>
        <charset val="161"/>
      </rPr>
      <t xml:space="preserve">KΠΑ</t>
    </r>
    <r>
      <rPr>
        <vertAlign val="subscript"/>
        <sz val="10"/>
        <rFont val="Arial"/>
        <family val="2"/>
        <charset val="161"/>
      </rPr>
      <t xml:space="preserve">R2</t>
    </r>
    <r>
      <rPr>
        <sz val="10"/>
        <rFont val="Arial"/>
        <family val="0"/>
        <charset val="161"/>
      </rPr>
      <t xml:space="preserve">-0</t>
    </r>
  </si>
  <si>
    <r>
      <rPr>
        <sz val="10"/>
        <rFont val="Arial"/>
        <family val="0"/>
        <charset val="161"/>
      </rPr>
      <t xml:space="preserve">R</t>
    </r>
    <r>
      <rPr>
        <vertAlign val="subscript"/>
        <sz val="10"/>
        <rFont val="Arial"/>
        <family val="2"/>
        <charset val="161"/>
      </rPr>
      <t xml:space="preserve">1</t>
    </r>
    <r>
      <rPr>
        <sz val="10"/>
        <rFont val="Arial"/>
        <family val="2"/>
        <charset val="161"/>
      </rPr>
      <t xml:space="preserve">+</t>
    </r>
    <r>
      <rPr>
        <sz val="10"/>
        <rFont val="Arial"/>
        <family val="0"/>
        <charset val="161"/>
      </rPr>
      <t xml:space="preserve">X%</t>
    </r>
  </si>
  <si>
    <r>
      <rPr>
        <b val="true"/>
        <sz val="10"/>
        <rFont val="Arial"/>
        <family val="2"/>
        <charset val="161"/>
      </rPr>
      <t xml:space="preserve">**</t>
    </r>
    <r>
      <rPr>
        <sz val="10"/>
        <rFont val="Arial"/>
        <family val="0"/>
        <charset val="161"/>
      </rPr>
      <t xml:space="preserve">TAΜΙΑΚΗ ΡΟΗ ΛΕΙΤΟΥΡΓΙΑΣ = KAΘΑΡΟ ΚΕΡΔΟΣ ΜΕΤΑ ΤΟΥΣ ΦΟΡΟΥΣ + ΑΠΟΣΒΕΣΕΙΣ</t>
    </r>
  </si>
  <si>
    <r>
      <rPr>
        <b val="true"/>
        <sz val="10"/>
        <rFont val="Arial"/>
        <family val="2"/>
        <charset val="161"/>
      </rPr>
      <t xml:space="preserve">***</t>
    </r>
    <r>
      <rPr>
        <sz val="10"/>
        <rFont val="Arial"/>
        <family val="2"/>
        <charset val="161"/>
      </rPr>
      <t xml:space="preserve">TAΜΙΑΚΗ ΡΟΗ ΛΕΙΤΟΥΡΓΙΑΣ = (1-%ΦΟΡΟΥ)*ΚΕΡΔΟΣπρο Φόρων και Αποσβέσεων + % ΦΟΡΟΥ*ΑΠΟΣΒΕΣΕΙΣ </t>
    </r>
  </si>
  <si>
    <r>
      <rPr>
        <sz val="10"/>
        <rFont val="Arial"/>
        <family val="0"/>
        <charset val="161"/>
      </rPr>
      <t xml:space="preserve">R</t>
    </r>
    <r>
      <rPr>
        <vertAlign val="subscript"/>
        <sz val="10"/>
        <rFont val="Arial"/>
        <family val="2"/>
        <charset val="161"/>
      </rPr>
      <t xml:space="preserve">1</t>
    </r>
    <r>
      <rPr>
        <sz val="10"/>
        <rFont val="Arial"/>
        <family val="0"/>
        <charset val="161"/>
      </rPr>
      <t xml:space="preserve">-X%</t>
    </r>
  </si>
  <si>
    <t xml:space="preserve">ΕΒΑ</t>
  </si>
  <si>
    <t xml:space="preserve">ΩΣ ΠΡΟΣ ΤΟ ΚΟΣΤΟΣ ΚΕΦΑΛΑΙΟΥ</t>
  </si>
  <si>
    <t xml:space="preserve">pinakas ευαισθησιας</t>
  </si>
  <si>
    <t xml:space="preserve">ΜΕΤΑΒΟΛΗ ΚΟΣΤΟΥΣ ΚΕΦΑΛΑΙΟΥ</t>
  </si>
  <si>
    <t xml:space="preserve">ΓΡΑΦΙΚΗ ΠΑΡΑΣΤΑΣΗ 1</t>
  </si>
  <si>
    <t xml:space="preserve">ΔΙΟΡΘΩΣΗ ΤΩΝ ΕΤΩΝ ΣΤΟ ΓΡΑΦΗΜΑ</t>
  </si>
  <si>
    <t xml:space="preserve">ΠΩΛΗΣΕΙΣ, ΚΑΘΑΡΟ ΚΕΡΔΟΣ, ΣΥΝΟΛΙΚΗ ΤΑΜΙΑΚΗ ΡΟΗ</t>
  </si>
  <si>
    <t xml:space="preserve">ΔΕΞΙ ΚΛΙΚ</t>
  </si>
  <si>
    <t xml:space="preserve">ΕΠΙΛΟΓΗ ΔΕΔΟΜΕΝΩΝ (SELRECT DATA)</t>
  </si>
  <si>
    <t xml:space="preserve">ΕΠΕΞΕΡΓΑΣΙΑ (edit)</t>
  </si>
  <si>
    <t xml:space="preserve">ΜΟΝΟ ΤΑ ΕΤΗ 0-5</t>
  </si>
  <si>
    <t xml:space="preserve">ΕΙΣΑΓΩΓΗ ΤΙΤΛΩΝ ΣΤΟ ΓΡΑΦΗΜΑ</t>
  </si>
  <si>
    <t xml:space="preserve">ΔΙΠΛΟ ΚΛΙΚ ΠΑΝΩ ΣΤΟ ΓΡΑΦΗΜΑ</t>
  </si>
  <si>
    <t xml:space="preserve">ΔΙΑΤΑΞΗ (CHART LAYOUTS)</t>
  </si>
  <si>
    <t xml:space="preserve">ΕΠΙΛΟΓΗ ΓΡΑΦΗΜΑΤΟΣ ΚΑΙ ΕΙΣΑΓΩΓΗ ΤΙΤΛΟΥ</t>
  </si>
  <si>
    <t xml:space="preserve">ΓΡΑΦΙΚΗ ΠΑΡΑΣΤΑΣΗ 2</t>
  </si>
  <si>
    <t xml:space="preserve">ΚΠΑ ΕΠΕΝΔΥΣΗΣ ΚΑΙ ΕΒΑ</t>
  </si>
  <si>
    <t xml:space="preserve">ΚΠΑ ΕΠΕΝΔΥΣΗΣ =</t>
  </si>
  <si>
    <t xml:space="preserve">ΕΒΑ=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</si>
</sst>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0.00%"/>
    <numFmt numFmtId="167" formatCode="0%"/>
    <numFmt numFmtId="168" formatCode="0.0%"/>
    <numFmt numFmtId="169" formatCode="General"/>
    <numFmt numFmtId="170" formatCode="0.0000"/>
    <numFmt numFmtId="171" formatCode="0"/>
  </numFmts>
  <fonts count="23"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2"/>
      <charset val="161"/>
    </font>
    <font>
      <u val="single"/>
      <sz val="11"/>
      <color rgb="FF000000"/>
      <name val="Times New Roman"/>
      <family val="1"/>
      <charset val="161"/>
    </font>
    <font>
      <b val="true"/>
      <sz val="10"/>
      <color rgb="FF000000"/>
      <name val="Arial"/>
      <family val="2"/>
      <charset val="161"/>
    </font>
    <font>
      <vertAlign val="superscript"/>
      <sz val="10"/>
      <name val="Arial"/>
      <family val="2"/>
      <charset val="161"/>
    </font>
    <font>
      <sz val="10"/>
      <color rgb="FF000000"/>
      <name val="Times New Roman"/>
      <family val="1"/>
      <charset val="161"/>
    </font>
    <font>
      <b val="true"/>
      <sz val="10"/>
      <name val="Arial"/>
      <family val="2"/>
      <charset val="161"/>
    </font>
    <font>
      <u val="single"/>
      <sz val="10"/>
      <name val="Arial"/>
      <family val="2"/>
      <charset val="161"/>
    </font>
    <font>
      <vertAlign val="subscript"/>
      <sz val="10"/>
      <name val="Arial"/>
      <family val="2"/>
      <charset val="161"/>
    </font>
    <font>
      <sz val="11"/>
      <color rgb="FF000000"/>
      <name val="Calibri"/>
      <family val="2"/>
      <charset val="161"/>
    </font>
    <font>
      <b val="true"/>
      <u val="single"/>
      <sz val="10"/>
      <name val="Arial"/>
      <family val="2"/>
      <charset val="16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2"/>
      <color rgb="FF000000"/>
      <name val="Arial"/>
      <family val="2"/>
    </font>
    <font>
      <sz val="11.5"/>
      <color rgb="FF000000"/>
      <name val="Arial"/>
      <family val="2"/>
    </font>
    <font>
      <b val="true"/>
      <sz val="11.5"/>
      <color rgb="FF000000"/>
      <name val="Arial"/>
      <family val="2"/>
    </font>
    <font>
      <sz val="9.7"/>
      <color rgb="FF000000"/>
      <name val="Arial"/>
      <family val="2"/>
    </font>
    <font>
      <b val="true"/>
      <sz val="9.75"/>
      <color rgb="FF000000"/>
      <name val="Arial"/>
      <family val="2"/>
    </font>
    <font>
      <sz val="8"/>
      <color rgb="FF000000"/>
      <name val="Arial"/>
      <family val="2"/>
    </font>
    <font>
      <b val="true"/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9BBB59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0C0C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5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7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2" fillId="7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7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1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BBB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2D050"/>
      <rgbColor rgb="FFFFC000"/>
      <rgbColor rgb="FFFF9900"/>
      <rgbColor rgb="FFFF6600"/>
      <rgbColor rgb="FF4A7EBB"/>
      <rgbColor rgb="FF878787"/>
      <rgbColor rgb="FF003366"/>
      <rgbColor rgb="FF339966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20.242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MONTEL!$D$49</c:f>
              <c:strCache>
                <c:ptCount val="1"/>
                <c:pt idx="0">
                  <c:v>11.622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MONTEL!$C$50:$C$60</c:f>
              <c:strCache>
                <c:ptCount val="11"/>
                <c:pt idx="0">
                  <c:v>2%</c:v>
                </c:pt>
                <c:pt idx="1">
                  <c:v>4%</c:v>
                </c:pt>
                <c:pt idx="2">
                  <c:v>6%</c:v>
                </c:pt>
                <c:pt idx="3">
                  <c:v>8%</c:v>
                </c:pt>
                <c:pt idx="4">
                  <c:v>10%</c:v>
                </c:pt>
                <c:pt idx="5">
                  <c:v>12%</c:v>
                </c:pt>
                <c:pt idx="6">
                  <c:v>14%</c:v>
                </c:pt>
                <c:pt idx="7">
                  <c:v>16%</c:v>
                </c:pt>
                <c:pt idx="8">
                  <c:v>18%</c:v>
                </c:pt>
                <c:pt idx="9">
                  <c:v>20%</c:v>
                </c:pt>
                <c:pt idx="10">
                  <c:v>22%</c:v>
                </c:pt>
              </c:strCache>
            </c:strRef>
          </c:cat>
          <c:val>
            <c:numRef>
              <c:f>MONTEL!$D$50:$D$60</c:f>
              <c:numCache>
                <c:formatCode>General</c:formatCode>
                <c:ptCount val="11"/>
                <c:pt idx="0">
                  <c:v>53683.282580961</c:v>
                </c:pt>
                <c:pt idx="1">
                  <c:v>41721.4591874712</c:v>
                </c:pt>
                <c:pt idx="2">
                  <c:v>30796.5988074386</c:v>
                </c:pt>
                <c:pt idx="3">
                  <c:v>20796.1210651794</c:v>
                </c:pt>
                <c:pt idx="4">
                  <c:v>11621.7923018174</c:v>
                </c:pt>
                <c:pt idx="5">
                  <c:v>3187.65150024678</c:v>
                </c:pt>
                <c:pt idx="6">
                  <c:v>-4581.73086868593</c:v>
                </c:pt>
                <c:pt idx="7">
                  <c:v>-11752.7195270728</c:v>
                </c:pt>
                <c:pt idx="8">
                  <c:v>-18383.8539484304</c:v>
                </c:pt>
                <c:pt idx="9">
                  <c:v>-24526.8993055555</c:v>
                </c:pt>
                <c:pt idx="10">
                  <c:v>-30227.7402503092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0130699"/>
        <c:axId val="60346951"/>
      </c:lineChart>
      <c:catAx>
        <c:axId val="10130699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346951"/>
        <c:crosses val="autoZero"/>
        <c:auto val="1"/>
        <c:lblAlgn val="ctr"/>
        <c:lblOffset val="100"/>
        <c:noMultiLvlLbl val="0"/>
      </c:catAx>
      <c:valAx>
        <c:axId val="6034695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130699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l-GR" sz="12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1" lang="el-GR" sz="1200" spc="-1" strike="noStrike">
                <a:solidFill>
                  <a:srgbClr val="000000"/>
                </a:solidFill>
                <a:latin typeface="Arial"/>
                <a:ea typeface="Arial"/>
              </a:rPr>
              <a:t>ΤΑΜΕΙΑΚΕΣ ΡΟΕΣ ΚΑΙ ΑΠΟΣΒΕΣΕΙΣ</a:t>
            </a:r>
          </a:p>
        </c:rich>
      </c:tx>
      <c:layout>
        <c:manualLayout>
          <c:xMode val="edge"/>
          <c:yMode val="edge"/>
          <c:x val="0.264127380580706"/>
          <c:y val="0.0376650271809474"/>
        </c:manualLayout>
      </c:layout>
      <c:overlay val="0"/>
      <c:spPr>
        <a:noFill/>
        <a:ln w="2556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1008429597253"/>
          <c:y val="0.225990163085685"/>
          <c:w val="0.461754605057758"/>
          <c:h val="0.5855552679264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MONTEL!$B$7</c:f>
              <c:strCache>
                <c:ptCount val="1"/>
                <c:pt idx="0">
                  <c:v>ΠΩΛΗΣΕΙΣ </c:v>
                </c:pt>
              </c:strCache>
            </c:strRef>
          </c:tx>
          <c:spPr>
            <a:solidFill>
              <a:srgbClr val="9999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MONTEL!$C$6:$H$6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MONTEL!$C$7:$H$7</c:f>
              <c:numCache>
                <c:formatCode>General</c:formatCode>
                <c:ptCount val="6"/>
                <c:pt idx="1">
                  <c:v>90000</c:v>
                </c:pt>
                <c:pt idx="2">
                  <c:v>95400</c:v>
                </c:pt>
                <c:pt idx="3">
                  <c:v>101124</c:v>
                </c:pt>
                <c:pt idx="4">
                  <c:v>107191.44</c:v>
                </c:pt>
                <c:pt idx="5">
                  <c:v>113622.9264</c:v>
                </c:pt>
              </c:numCache>
            </c:numRef>
          </c:val>
        </c:ser>
        <c:ser>
          <c:idx val="1"/>
          <c:order val="1"/>
          <c:tx>
            <c:strRef>
              <c:f>MONTEL!$B$17</c:f>
              <c:strCache>
                <c:ptCount val="1"/>
                <c:pt idx="0">
                  <c:v>ΚΑΘΑΡΟ ΚΕΡΔΟΣ (ΑΠΟ ΠΑΡΑΠΑΝΩ) </c:v>
                </c:pt>
              </c:strCache>
            </c:strRef>
          </c:tx>
          <c:spPr>
            <a:solidFill>
              <a:srgbClr val="993366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MONTEL!$C$6:$H$6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MONTEL!$C$17:$H$17</c:f>
              <c:numCache>
                <c:formatCode>General</c:formatCode>
                <c:ptCount val="6"/>
                <c:pt idx="1">
                  <c:v>9000</c:v>
                </c:pt>
                <c:pt idx="2">
                  <c:v>11040</c:v>
                </c:pt>
                <c:pt idx="3">
                  <c:v>13216.8</c:v>
                </c:pt>
                <c:pt idx="4">
                  <c:v>15538.992</c:v>
                </c:pt>
                <c:pt idx="5">
                  <c:v>18015.68352</c:v>
                </c:pt>
              </c:numCache>
            </c:numRef>
          </c:val>
        </c:ser>
        <c:ser>
          <c:idx val="2"/>
          <c:order val="2"/>
          <c:tx>
            <c:strRef>
              <c:f>MONTEL!$B$26</c:f>
              <c:strCache>
                <c:ptCount val="1"/>
                <c:pt idx="0">
                  <c:v>ΣΥΝΟΛΙΚΗ ΚΑΘΑΡΗ ΤΑΜΙΑΚΗ ΡΟΗ </c:v>
                </c:pt>
              </c:strCache>
            </c:strRef>
          </c:tx>
          <c:spPr>
            <a:solidFill>
              <a:srgbClr val="ffffcc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MONTEL!$C$6:$H$6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MONTEL!$C$26:$H$26</c:f>
              <c:numCache>
                <c:formatCode>General</c:formatCode>
                <c:ptCount val="6"/>
                <c:pt idx="0">
                  <c:v>-153000</c:v>
                </c:pt>
                <c:pt idx="1">
                  <c:v>39000</c:v>
                </c:pt>
                <c:pt idx="2">
                  <c:v>41040</c:v>
                </c:pt>
                <c:pt idx="3">
                  <c:v>43216.8</c:v>
                </c:pt>
                <c:pt idx="4">
                  <c:v>45538.992</c:v>
                </c:pt>
                <c:pt idx="5">
                  <c:v>51015.68352</c:v>
                </c:pt>
              </c:numCache>
            </c:numRef>
          </c:val>
        </c:ser>
        <c:gapWidth val="150"/>
        <c:overlap val="0"/>
        <c:axId val="40235360"/>
        <c:axId val="41006143"/>
      </c:barChart>
      <c:catAx>
        <c:axId val="402353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l-GR" sz="115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1" lang="el-GR" sz="115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ΕΤΗ</a:t>
                </a:r>
              </a:p>
            </c:rich>
          </c:tx>
          <c:layout>
            <c:manualLayout>
              <c:xMode val="edge"/>
              <c:yMode val="edge"/>
              <c:x val="0.387074617546051"/>
              <c:y val="0.852705151436707"/>
            </c:manualLayout>
          </c:layout>
          <c:overlay val="0"/>
          <c:spPr>
            <a:noFill/>
            <a:ln w="2556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15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1006143"/>
        <c:crosses val="autoZero"/>
        <c:auto val="1"/>
        <c:lblAlgn val="ctr"/>
        <c:lblOffset val="100"/>
        <c:noMultiLvlLbl val="0"/>
      </c:catAx>
      <c:valAx>
        <c:axId val="41006143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l-GR" sz="115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1" lang="el-GR" sz="115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ΕΥΡΩ</a:t>
                </a:r>
              </a:p>
            </c:rich>
          </c:tx>
          <c:layout>
            <c:manualLayout>
              <c:xMode val="edge"/>
              <c:yMode val="edge"/>
              <c:x val="0.0266000624414611"/>
              <c:y val="0.441625679523686"/>
            </c:manualLayout>
          </c:layout>
          <c:overlay val="0"/>
          <c:spPr>
            <a:noFill/>
            <a:ln w="2556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15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0235360"/>
        <c:crosses val="autoZero"/>
        <c:crossBetween val="between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67109634551495"/>
          <c:y val="0.30821953762629"/>
          <c:w val="0.317275747508306"/>
          <c:h val="0.424658253334771"/>
        </c:manualLayout>
      </c:layout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  <c:txPr>
        <a:bodyPr/>
        <a:lstStyle/>
        <a:p>
          <a:pPr>
            <a:defRPr b="0" sz="970" spc="-1" strike="noStrike">
              <a:solidFill>
                <a:srgbClr val="000000"/>
              </a:solidFill>
              <a:latin typeface="Arial"/>
              <a:ea typeface="Arial"/>
            </a:defRPr>
          </a:pPr>
        </a:p>
      </c:tx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l-GR" sz="975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1" lang="el-GR" sz="975" spc="-1" strike="noStrike">
                <a:solidFill>
                  <a:srgbClr val="000000"/>
                </a:solidFill>
                <a:latin typeface="Arial"/>
                <a:ea typeface="Arial"/>
              </a:rPr>
              <a:t>ΚΠΑ ΕΠΕΝΔΥΣΗΣ ΚΑΙ ΕΒΑ</a:t>
            </a:r>
          </a:p>
        </c:rich>
      </c:tx>
      <c:layout>
        <c:manualLayout>
          <c:xMode val="edge"/>
          <c:yMode val="edge"/>
          <c:x val="0.358444401519541"/>
          <c:y val="0.0394496933532239"/>
        </c:manualLayout>
      </c:layout>
      <c:overlay val="0"/>
      <c:spPr>
        <a:noFill/>
        <a:ln w="2556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098898976241"/>
          <c:y val="0.249958561246478"/>
          <c:w val="0.809542205910759"/>
          <c:h val="0.47356207525277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MONTEL!$C$50:$C$60</c:f>
              <c:numCache>
                <c:formatCode>General</c:formatCode>
                <c:ptCount val="11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</c:numCache>
            </c:numRef>
          </c:xVal>
          <c:yVal>
            <c:numRef>
              <c:f>MONTEL!$D$50:$D$60</c:f>
              <c:numCache>
                <c:formatCode>General</c:formatCode>
                <c:ptCount val="11"/>
                <c:pt idx="0">
                  <c:v>53683.282580961</c:v>
                </c:pt>
                <c:pt idx="1">
                  <c:v>41721.4591874712</c:v>
                </c:pt>
                <c:pt idx="2">
                  <c:v>30796.5988074386</c:v>
                </c:pt>
                <c:pt idx="3">
                  <c:v>20796.1210651794</c:v>
                </c:pt>
                <c:pt idx="4">
                  <c:v>11621.7923018174</c:v>
                </c:pt>
                <c:pt idx="5">
                  <c:v>3187.65150024678</c:v>
                </c:pt>
                <c:pt idx="6">
                  <c:v>-4581.73086868593</c:v>
                </c:pt>
                <c:pt idx="7">
                  <c:v>-11752.7195270728</c:v>
                </c:pt>
                <c:pt idx="8">
                  <c:v>-18383.8539484304</c:v>
                </c:pt>
                <c:pt idx="9">
                  <c:v>-24526.8993055555</c:v>
                </c:pt>
                <c:pt idx="10">
                  <c:v>-30227.7402503092</c:v>
                </c:pt>
              </c:numCache>
            </c:numRef>
          </c:yVal>
          <c:smooth val="1"/>
        </c:ser>
        <c:axId val="41631403"/>
        <c:axId val="46510863"/>
      </c:scatterChart>
      <c:valAx>
        <c:axId val="41631403"/>
        <c:scaling>
          <c:orientation val="minMax"/>
        </c:scaling>
        <c:delete val="0"/>
        <c:axPos val="b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l-GR" sz="8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1" lang="el-GR" sz="8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ΚΟΣΤΟΣ ΚΕΦΑΛΑΙΟΥ (ΕΠΙΤΟΚΙΑ ΠΡΟΕΞΟΦΛΗΣΗΣ)</a:t>
                </a:r>
              </a:p>
            </c:rich>
          </c:tx>
          <c:layout>
            <c:manualLayout>
              <c:xMode val="edge"/>
              <c:yMode val="edge"/>
              <c:x val="0.319039340673492"/>
              <c:y val="0.842035471573015"/>
            </c:manualLayout>
          </c:layout>
          <c:overlay val="0"/>
          <c:spPr>
            <a:noFill/>
            <a:ln w="25560">
              <a:noFill/>
            </a:ln>
          </c:spPr>
        </c:title>
        <c:numFmt formatCode="0%" sourceLinked="0"/>
        <c:majorTickMark val="out"/>
        <c:minorTickMark val="none"/>
        <c:tickLblPos val="low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8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6510863"/>
        <c:crosses val="autoZero"/>
        <c:crossBetween val="midCat"/>
        <c:majorUnit val="0.02"/>
      </c:valAx>
      <c:valAx>
        <c:axId val="46510863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l-GR" sz="8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1" lang="el-GR" sz="8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ΚΠΑ</a:t>
                </a:r>
              </a:p>
            </c:rich>
          </c:tx>
          <c:layout>
            <c:manualLayout>
              <c:xMode val="edge"/>
              <c:yMode val="edge"/>
              <c:x val="0.0274290129418582"/>
              <c:y val="0.429636996519145"/>
            </c:manualLayout>
          </c:layout>
          <c:overlay val="0"/>
          <c:spPr>
            <a:noFill/>
            <a:ln w="2556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8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1631403"/>
        <c:crosses val="autoZero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MONTEL!$B$7</c:f>
              <c:strCache>
                <c:ptCount val="1"/>
                <c:pt idx="0">
                  <c:v>ΠΩΛΗΣΕΙΣ 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MONTEL!$C$6:$H$6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MONTEL!$C$7:$H$7</c:f>
              <c:numCache>
                <c:formatCode>General</c:formatCode>
                <c:ptCount val="6"/>
                <c:pt idx="1">
                  <c:v>90000</c:v>
                </c:pt>
                <c:pt idx="2">
                  <c:v>95400</c:v>
                </c:pt>
                <c:pt idx="3">
                  <c:v>101124</c:v>
                </c:pt>
                <c:pt idx="4">
                  <c:v>107191.44</c:v>
                </c:pt>
                <c:pt idx="5">
                  <c:v>113622.9264</c:v>
                </c:pt>
              </c:numCache>
            </c:numRef>
          </c:val>
        </c:ser>
        <c:ser>
          <c:idx val="1"/>
          <c:order val="1"/>
          <c:tx>
            <c:strRef>
              <c:f>MONTEL!$B$17</c:f>
              <c:strCache>
                <c:ptCount val="1"/>
                <c:pt idx="0">
                  <c:v>ΚΑΘΑΡΟ ΚΕΡΔΟΣ (ΑΠΟ ΠΑΡΑΠΑΝΩ) 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MONTEL!$C$6:$H$6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MONTEL!$C$17:$H$17</c:f>
              <c:numCache>
                <c:formatCode>General</c:formatCode>
                <c:ptCount val="6"/>
                <c:pt idx="1">
                  <c:v>9000</c:v>
                </c:pt>
                <c:pt idx="2">
                  <c:v>11040</c:v>
                </c:pt>
                <c:pt idx="3">
                  <c:v>13216.8</c:v>
                </c:pt>
                <c:pt idx="4">
                  <c:v>15538.992</c:v>
                </c:pt>
                <c:pt idx="5">
                  <c:v>18015.68352</c:v>
                </c:pt>
              </c:numCache>
            </c:numRef>
          </c:val>
        </c:ser>
        <c:ser>
          <c:idx val="2"/>
          <c:order val="2"/>
          <c:tx>
            <c:strRef>
              <c:f>MONTEL!$B$26</c:f>
              <c:strCache>
                <c:ptCount val="1"/>
                <c:pt idx="0">
                  <c:v>ΣΥΝΟΛΙΚΗ ΚΑΘΑΡΗ ΤΑΜΙΑΚΗ ΡΟΗ 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MONTEL!$C$6:$H$6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MONTEL!$C$26:$H$26</c:f>
              <c:numCache>
                <c:formatCode>General</c:formatCode>
                <c:ptCount val="6"/>
                <c:pt idx="0">
                  <c:v>-153000</c:v>
                </c:pt>
                <c:pt idx="1">
                  <c:v>39000</c:v>
                </c:pt>
                <c:pt idx="2">
                  <c:v>41040</c:v>
                </c:pt>
                <c:pt idx="3">
                  <c:v>43216.8</c:v>
                </c:pt>
                <c:pt idx="4">
                  <c:v>45538.992</c:v>
                </c:pt>
                <c:pt idx="5">
                  <c:v>51015.68352</c:v>
                </c:pt>
              </c:numCache>
            </c:numRef>
          </c:val>
        </c:ser>
        <c:gapWidth val="150"/>
        <c:overlap val="0"/>
        <c:axId val="14305808"/>
        <c:axId val="88683725"/>
      </c:barChart>
      <c:catAx>
        <c:axId val="14305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683725"/>
        <c:crosses val="autoZero"/>
        <c:auto val="1"/>
        <c:lblAlgn val="ctr"/>
        <c:lblOffset val="100"/>
        <c:noMultiLvlLbl val="0"/>
      </c:catAx>
      <c:valAx>
        <c:axId val="8868372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305808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428760</xdr:colOff>
      <xdr:row>50</xdr:row>
      <xdr:rowOff>38160</xdr:rowOff>
    </xdr:from>
    <xdr:to>
      <xdr:col>12</xdr:col>
      <xdr:colOff>334440</xdr:colOff>
      <xdr:row>67</xdr:row>
      <xdr:rowOff>75960</xdr:rowOff>
    </xdr:to>
    <xdr:graphicFrame>
      <xdr:nvGraphicFramePr>
        <xdr:cNvPr id="0" name="7 - Γράφημα"/>
        <xdr:cNvGraphicFramePr/>
      </xdr:nvGraphicFramePr>
      <xdr:xfrm>
        <a:off x="6121080" y="8658360"/>
        <a:ext cx="5221800" cy="280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</xdr:col>
      <xdr:colOff>71640</xdr:colOff>
      <xdr:row>44</xdr:row>
      <xdr:rowOff>68760</xdr:rowOff>
    </xdr:from>
    <xdr:to>
      <xdr:col>13</xdr:col>
      <xdr:colOff>518040</xdr:colOff>
      <xdr:row>47</xdr:row>
      <xdr:rowOff>99360</xdr:rowOff>
    </xdr:to>
    <xdr:pic>
      <xdr:nvPicPr>
        <xdr:cNvPr id="1" name="Picture 8" descr=""/>
        <xdr:cNvPicPr/>
      </xdr:nvPicPr>
      <xdr:blipFill>
        <a:blip r:embed="rId2"/>
        <a:stretch/>
      </xdr:blipFill>
      <xdr:spPr>
        <a:xfrm>
          <a:off x="8661960" y="7660080"/>
          <a:ext cx="4426560" cy="525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3</xdr:row>
      <xdr:rowOff>19080</xdr:rowOff>
    </xdr:from>
    <xdr:to>
      <xdr:col>10</xdr:col>
      <xdr:colOff>95040</xdr:colOff>
      <xdr:row>20</xdr:row>
      <xdr:rowOff>47160</xdr:rowOff>
    </xdr:to>
    <xdr:graphicFrame>
      <xdr:nvGraphicFramePr>
        <xdr:cNvPr id="2" name="Chart 4"/>
        <xdr:cNvGraphicFramePr/>
      </xdr:nvGraphicFramePr>
      <xdr:xfrm>
        <a:off x="1205280" y="504720"/>
        <a:ext cx="5765040" cy="278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19080</xdr:colOff>
      <xdr:row>32</xdr:row>
      <xdr:rowOff>19080</xdr:rowOff>
    </xdr:from>
    <xdr:to>
      <xdr:col>9</xdr:col>
      <xdr:colOff>542520</xdr:colOff>
      <xdr:row>45</xdr:row>
      <xdr:rowOff>85320</xdr:rowOff>
    </xdr:to>
    <xdr:graphicFrame>
      <xdr:nvGraphicFramePr>
        <xdr:cNvPr id="3" name="Chart 9"/>
        <xdr:cNvGraphicFramePr/>
      </xdr:nvGraphicFramePr>
      <xdr:xfrm>
        <a:off x="1224360" y="5200560"/>
        <a:ext cx="5590800" cy="2171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4</xdr:col>
      <xdr:colOff>18720</xdr:colOff>
      <xdr:row>39</xdr:row>
      <xdr:rowOff>75960</xdr:rowOff>
    </xdr:from>
    <xdr:to>
      <xdr:col>6</xdr:col>
      <xdr:colOff>18720</xdr:colOff>
      <xdr:row>47</xdr:row>
      <xdr:rowOff>37800</xdr:rowOff>
    </xdr:to>
    <xdr:sp>
      <xdr:nvSpPr>
        <xdr:cNvPr id="4" name="Line 10"/>
        <xdr:cNvSpPr/>
      </xdr:nvSpPr>
      <xdr:spPr>
        <a:xfrm flipV="1">
          <a:off x="3278160" y="6391080"/>
          <a:ext cx="1205280" cy="1266840"/>
        </a:xfrm>
        <a:prstGeom prst="line">
          <a:avLst/>
        </a:prstGeom>
        <a:ln w="9525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17</xdr:col>
      <xdr:colOff>428400</xdr:colOff>
      <xdr:row>29</xdr:row>
      <xdr:rowOff>151920</xdr:rowOff>
    </xdr:to>
    <xdr:graphicFrame>
      <xdr:nvGraphicFramePr>
        <xdr:cNvPr id="5" name="4 - Γράφημα"/>
        <xdr:cNvGraphicFramePr/>
      </xdr:nvGraphicFramePr>
      <xdr:xfrm>
        <a:off x="8080200" y="2104920"/>
        <a:ext cx="53186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2</xdr:col>
      <xdr:colOff>0</xdr:colOff>
      <xdr:row>23</xdr:row>
      <xdr:rowOff>0</xdr:rowOff>
    </xdr:from>
    <xdr:to>
      <xdr:col>9</xdr:col>
      <xdr:colOff>480240</xdr:colOff>
      <xdr:row>27</xdr:row>
      <xdr:rowOff>30600</xdr:rowOff>
    </xdr:to>
    <xdr:pic>
      <xdr:nvPicPr>
        <xdr:cNvPr id="6" name="Picture 3" descr=""/>
        <xdr:cNvPicPr/>
      </xdr:nvPicPr>
      <xdr:blipFill>
        <a:blip r:embed="rId4"/>
        <a:stretch/>
      </xdr:blipFill>
      <xdr:spPr>
        <a:xfrm>
          <a:off x="1205280" y="3724200"/>
          <a:ext cx="5547600" cy="6782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M48"/>
  <sheetViews>
    <sheetView showFormulas="false" showGridLines="true" showRowColHeaders="true" showZeros="true" rightToLeft="false" tabSelected="true" showOutlineSymbols="true" defaultGridColor="true" view="normal" topLeftCell="D25" colorId="64" zoomScale="110" zoomScaleNormal="110" zoomScalePageLayoutView="100" workbookViewId="0">
      <selection pane="topLeft" activeCell="C8" activeCellId="0" sqref="C8"/>
    </sheetView>
  </sheetViews>
  <sheetFormatPr defaultColWidth="8.55078125" defaultRowHeight="12.75" zeroHeight="false" outlineLevelRow="0" outlineLevelCol="0"/>
  <cols>
    <col collapsed="false" customWidth="true" hidden="false" outlineLevel="0" max="2" min="2" style="0" width="37.29"/>
    <col collapsed="false" customWidth="true" hidden="false" outlineLevel="0" max="5" min="5" style="0" width="7.42"/>
    <col collapsed="false" customWidth="true" hidden="false" outlineLevel="0" max="6" min="6" style="0" width="9.58"/>
    <col collapsed="false" customWidth="true" hidden="false" outlineLevel="0" max="8" min="8" style="0" width="8.29"/>
    <col collapsed="false" customWidth="true" hidden="false" outlineLevel="0" max="13" min="9" style="0" width="7.42"/>
  </cols>
  <sheetData>
    <row r="3" customFormat="false" ht="12.75" hidden="false" customHeight="false" outlineLevel="0" collapsed="false">
      <c r="B3" s="0" t="s">
        <v>0</v>
      </c>
      <c r="C3" s="0" t="s">
        <v>1</v>
      </c>
      <c r="D3" s="1" t="n">
        <v>153000</v>
      </c>
      <c r="E3" s="0" t="s">
        <v>2</v>
      </c>
      <c r="G3" s="0" t="n">
        <f aca="false">AAM</f>
        <v>153000</v>
      </c>
    </row>
    <row r="4" customFormat="false" ht="12.75" hidden="false" customHeight="false" outlineLevel="0" collapsed="false">
      <c r="B4" s="0" t="s">
        <v>3</v>
      </c>
      <c r="C4" s="0" t="s">
        <v>4</v>
      </c>
      <c r="D4" s="0" t="n">
        <v>5</v>
      </c>
      <c r="E4" s="0" t="s">
        <v>5</v>
      </c>
    </row>
    <row r="5" customFormat="false" ht="12.75" hidden="false" customHeight="false" outlineLevel="0" collapsed="false">
      <c r="B5" s="0" t="s">
        <v>6</v>
      </c>
      <c r="C5" s="0" t="s">
        <v>7</v>
      </c>
      <c r="D5" s="1" t="n">
        <v>3000</v>
      </c>
      <c r="E5" s="0" t="s">
        <v>2</v>
      </c>
    </row>
    <row r="6" customFormat="false" ht="12.75" hidden="false" customHeight="false" outlineLevel="0" collapsed="false">
      <c r="B6" s="0" t="s">
        <v>8</v>
      </c>
      <c r="C6" s="0" t="s">
        <v>9</v>
      </c>
      <c r="D6" s="1" t="n">
        <v>90000</v>
      </c>
      <c r="E6" s="0" t="s">
        <v>2</v>
      </c>
    </row>
    <row r="7" customFormat="false" ht="12.75" hidden="false" customHeight="false" outlineLevel="0" collapsed="false">
      <c r="B7" s="0" t="s">
        <v>10</v>
      </c>
      <c r="C7" s="0" t="s">
        <v>11</v>
      </c>
      <c r="D7" s="2" t="n">
        <v>0.06</v>
      </c>
      <c r="E7" s="0" t="s">
        <v>12</v>
      </c>
    </row>
    <row r="8" customFormat="false" ht="12.75" hidden="false" customHeight="false" outlineLevel="0" collapsed="false">
      <c r="B8" s="0" t="s">
        <v>13</v>
      </c>
      <c r="C8" s="0" t="s">
        <v>14</v>
      </c>
      <c r="D8" s="1" t="n">
        <v>40000</v>
      </c>
      <c r="E8" s="0" t="s">
        <v>2</v>
      </c>
    </row>
    <row r="9" customFormat="false" ht="12.75" hidden="false" customHeight="false" outlineLevel="0" collapsed="false">
      <c r="B9" s="0" t="s">
        <v>15</v>
      </c>
      <c r="C9" s="0" t="s">
        <v>16</v>
      </c>
      <c r="D9" s="3" t="n">
        <v>0.04</v>
      </c>
      <c r="E9" s="0" t="s">
        <v>12</v>
      </c>
      <c r="H9" s="1"/>
    </row>
    <row r="10" customFormat="false" ht="12.75" hidden="false" customHeight="false" outlineLevel="0" collapsed="false">
      <c r="B10" s="0" t="s">
        <v>17</v>
      </c>
      <c r="C10" s="0" t="s">
        <v>18</v>
      </c>
      <c r="D10" s="1" t="n">
        <v>5000</v>
      </c>
      <c r="E10" s="0" t="s">
        <v>2</v>
      </c>
      <c r="H10" s="4"/>
    </row>
    <row r="11" customFormat="false" ht="12.75" hidden="false" customHeight="false" outlineLevel="0" collapsed="false">
      <c r="B11" s="0" t="s">
        <v>19</v>
      </c>
      <c r="C11" s="0" t="s">
        <v>20</v>
      </c>
      <c r="D11" s="5" t="n">
        <v>0.08</v>
      </c>
      <c r="E11" s="0" t="s">
        <v>12</v>
      </c>
      <c r="H11" s="4"/>
    </row>
    <row r="12" customFormat="false" ht="12.75" hidden="false" customHeight="false" outlineLevel="0" collapsed="false">
      <c r="B12" s="0" t="s">
        <v>21</v>
      </c>
      <c r="C12" s="0" t="s">
        <v>22</v>
      </c>
      <c r="D12" s="6" t="n">
        <v>0.4</v>
      </c>
      <c r="G12" s="7"/>
      <c r="H12" s="4"/>
    </row>
    <row r="13" customFormat="false" ht="12.75" hidden="false" customHeight="false" outlineLevel="0" collapsed="false">
      <c r="B13" s="0" t="s">
        <v>23</v>
      </c>
      <c r="C13" s="0" t="s">
        <v>24</v>
      </c>
      <c r="D13" s="8" t="n">
        <f aca="false">1/OFZ</f>
        <v>0.2</v>
      </c>
      <c r="H13" s="4"/>
    </row>
    <row r="14" customFormat="false" ht="12.75" hidden="false" customHeight="false" outlineLevel="0" collapsed="false">
      <c r="B14" s="9" t="s">
        <v>25</v>
      </c>
      <c r="C14" s="10" t="s">
        <v>26</v>
      </c>
      <c r="D14" s="11" t="n">
        <v>0.1</v>
      </c>
      <c r="E14" s="9" t="s">
        <v>27</v>
      </c>
      <c r="H14" s="4"/>
    </row>
    <row r="15" customFormat="false" ht="12.75" hidden="false" customHeight="false" outlineLevel="0" collapsed="false">
      <c r="B15" s="9"/>
      <c r="H15" s="4"/>
    </row>
    <row r="16" customFormat="false" ht="15" hidden="false" customHeight="true" outlineLevel="0" collapsed="false">
      <c r="A16" s="12" t="s">
        <v>28</v>
      </c>
      <c r="B16" s="12"/>
      <c r="H16" s="4"/>
    </row>
    <row r="17" customFormat="false" ht="12.75" hidden="false" customHeight="true" outlineLevel="0" collapsed="false">
      <c r="A17" s="13" t="s">
        <v>29</v>
      </c>
      <c r="B17" s="13"/>
      <c r="H17" s="4"/>
    </row>
    <row r="18" customFormat="false" ht="12.75" hidden="false" customHeight="false" outlineLevel="0" collapsed="false">
      <c r="A18" s="0" t="n">
        <v>1</v>
      </c>
      <c r="B18" s="0" t="s">
        <v>30</v>
      </c>
      <c r="H18" s="4"/>
    </row>
    <row r="19" customFormat="false" ht="12.75" hidden="false" customHeight="false" outlineLevel="0" collapsed="false">
      <c r="A19" s="0" t="n">
        <v>2</v>
      </c>
      <c r="B19" s="0" t="s">
        <v>31</v>
      </c>
      <c r="H19" s="4"/>
    </row>
    <row r="20" customFormat="false" ht="12.75" hidden="false" customHeight="false" outlineLevel="0" collapsed="false">
      <c r="A20" s="0" t="n">
        <v>3</v>
      </c>
      <c r="B20" s="0" t="s">
        <v>32</v>
      </c>
      <c r="H20" s="4"/>
    </row>
    <row r="21" customFormat="false" ht="12.75" hidden="false" customHeight="false" outlineLevel="0" collapsed="false">
      <c r="A21" s="0" t="n">
        <v>4</v>
      </c>
      <c r="B21" s="0" t="s">
        <v>33</v>
      </c>
    </row>
    <row r="22" customFormat="false" ht="12.75" hidden="false" customHeight="false" outlineLevel="0" collapsed="false">
      <c r="A22" s="0" t="n">
        <v>5</v>
      </c>
      <c r="B22" s="9" t="s">
        <v>34</v>
      </c>
    </row>
    <row r="23" customFormat="false" ht="12.75" hidden="false" customHeight="false" outlineLevel="0" collapsed="false">
      <c r="A23" s="0" t="n">
        <v>6</v>
      </c>
      <c r="B23" s="0" t="s">
        <v>35</v>
      </c>
    </row>
    <row r="24" customFormat="false" ht="12.75" hidden="false" customHeight="false" outlineLevel="0" collapsed="false">
      <c r="A24" s="0" t="n">
        <v>7</v>
      </c>
      <c r="B24" s="0" t="s">
        <v>36</v>
      </c>
    </row>
    <row r="25" customFormat="false" ht="12.75" hidden="false" customHeight="true" outlineLevel="0" collapsed="false">
      <c r="A25" s="0" t="s">
        <v>37</v>
      </c>
    </row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>
      <c r="B29" s="14" t="s">
        <v>38</v>
      </c>
    </row>
    <row r="30" customFormat="false" ht="12.75" hidden="false" customHeight="true" outlineLevel="0" collapsed="false">
      <c r="B30" s="14" t="s">
        <v>39</v>
      </c>
      <c r="C30" s="15" t="s">
        <v>40</v>
      </c>
    </row>
    <row r="31" customFormat="false" ht="12.75" hidden="false" customHeight="false" outlineLevel="0" collapsed="false">
      <c r="B31" s="14" t="s">
        <v>41</v>
      </c>
      <c r="C31" s="16" t="n">
        <f aca="false" t="array" ref="C31:C31">MONTEL!C39</f>
        <v>11621.7923018174</v>
      </c>
    </row>
    <row r="34" customFormat="false" ht="12.75" hidden="false" customHeight="false" outlineLevel="0" collapsed="false">
      <c r="A34" s="0" t="n">
        <v>2</v>
      </c>
      <c r="B34" s="9" t="s">
        <v>42</v>
      </c>
    </row>
    <row r="35" customFormat="false" ht="12.75" hidden="false" customHeight="false" outlineLevel="0" collapsed="false">
      <c r="B35" s="9" t="s">
        <v>43</v>
      </c>
    </row>
    <row r="36" customFormat="false" ht="12.75" hidden="false" customHeight="false" outlineLevel="0" collapsed="false">
      <c r="B36" s="9" t="s">
        <v>44</v>
      </c>
    </row>
    <row r="37" customFormat="false" ht="13.5" hidden="false" customHeight="false" outlineLevel="0" collapsed="false">
      <c r="F37" s="9" t="s">
        <v>45</v>
      </c>
      <c r="I37" s="17"/>
    </row>
    <row r="38" customFormat="false" ht="12.75" hidden="false" customHeight="false" outlineLevel="0" collapsed="false">
      <c r="C38" s="18" t="n">
        <f aca="false">C31</f>
        <v>11621.7923018174</v>
      </c>
      <c r="D38" s="19" t="n">
        <v>0.02</v>
      </c>
      <c r="E38" s="19" t="n">
        <v>0.04</v>
      </c>
      <c r="F38" s="19" t="n">
        <v>0.06</v>
      </c>
      <c r="G38" s="19" t="n">
        <v>0.08</v>
      </c>
      <c r="H38" s="19" t="n">
        <v>0.1</v>
      </c>
      <c r="I38" s="19" t="n">
        <v>0.12</v>
      </c>
      <c r="J38" s="19" t="n">
        <v>0.14</v>
      </c>
      <c r="K38" s="19" t="n">
        <v>0.16</v>
      </c>
      <c r="L38" s="19" t="n">
        <v>0.18</v>
      </c>
      <c r="M38" s="19" t="n">
        <v>0.2</v>
      </c>
    </row>
    <row r="39" customFormat="false" ht="12.75" hidden="false" customHeight="false" outlineLevel="0" collapsed="false">
      <c r="C39" s="20" t="n">
        <v>0.02</v>
      </c>
      <c r="D39" s="21" t="n">
        <f aca="true">TABLE($C$38,$D$7,$C39,$D$9,D$38)</f>
        <v>-877.467187412694</v>
      </c>
      <c r="E39" s="22" t="n">
        <f aca="true">TABLE($C$38,$D$7,$C39,$D$9,E$38)</f>
        <v>-4363.36916877265</v>
      </c>
      <c r="F39" s="21" t="n">
        <f aca="true">TABLE($C$38,$D$7,$C39,$D$9,F$38)</f>
        <v>-7981.98339656385</v>
      </c>
      <c r="G39" s="23" t="n">
        <f aca="true">TABLE($C$38,$D$7,$C39,$D$9,G$38)</f>
        <v>-11737.1009680164</v>
      </c>
      <c r="H39" s="21" t="n">
        <f aca="true">TABLE($C$38,$D$7,$C39,$D$9,H$38)</f>
        <v>-15632.5702044694</v>
      </c>
      <c r="I39" s="23" t="n">
        <f aca="true">TABLE($C$38,$D$7,$C39,$D$9,I$38)</f>
        <v>-19672.2966513713</v>
      </c>
      <c r="J39" s="21" t="n">
        <f aca="true">TABLE($C$38,$D$7,$C39,$D$9,J$38)</f>
        <v>-23860.2430782796</v>
      </c>
      <c r="K39" s="21" t="n">
        <f aca="true">TABLE($C$38,$D$7,$C39,$D$9,K$38)</f>
        <v>-28200.4294788608</v>
      </c>
      <c r="L39" s="21" t="n">
        <f aca="true">TABLE($C$38,$D$7,$C39,$D$9,L$38)</f>
        <v>-32696.9330708906</v>
      </c>
      <c r="M39" s="24" t="n">
        <f aca="true">TABLE($C$38,$D$7,$C39,$D$9,M$38)</f>
        <v>-37353.888296254</v>
      </c>
    </row>
    <row r="40" customFormat="false" ht="12.75" hidden="false" customHeight="false" outlineLevel="0" collapsed="false">
      <c r="C40" s="20" t="n">
        <v>0.04</v>
      </c>
      <c r="D40" s="21" t="n">
        <f aca="true">TABLE($C$38,$D$7,$C40,$D$9,D$38)</f>
        <v>6965.81227064715</v>
      </c>
      <c r="E40" s="22" t="n">
        <f aca="true">TABLE($C$38,$D$7,$C40,$D$9,E$38)</f>
        <v>3479.91028928722</v>
      </c>
      <c r="F40" s="21" t="n">
        <f aca="true">TABLE($C$38,$D$7,$C40,$D$9,F$38)</f>
        <v>-138.703938503983</v>
      </c>
      <c r="G40" s="23" t="n">
        <f aca="true">TABLE($C$38,$D$7,$C40,$D$9,G$38)</f>
        <v>-3893.8215099565</v>
      </c>
      <c r="H40" s="21" t="n">
        <f aca="true">TABLE($C$38,$D$7,$C40,$D$9,H$38)</f>
        <v>-7789.29074640956</v>
      </c>
      <c r="I40" s="23" t="n">
        <f aca="true">TABLE($C$38,$D$7,$C40,$D$9,I$38)</f>
        <v>-11829.0171933115</v>
      </c>
      <c r="J40" s="21" t="n">
        <f aca="true">TABLE($C$38,$D$7,$C40,$D$9,J$38)</f>
        <v>-16016.9636202197</v>
      </c>
      <c r="K40" s="21" t="n">
        <f aca="true">TABLE($C$38,$D$7,$C40,$D$9,K$38)</f>
        <v>-20357.1500208009</v>
      </c>
      <c r="L40" s="21" t="n">
        <f aca="true">TABLE($C$38,$D$7,$C40,$D$9,L$38)</f>
        <v>-24853.6536128307</v>
      </c>
      <c r="M40" s="24" t="n">
        <f aca="true">TABLE($C$38,$D$7,$C40,$D$9,M$38)</f>
        <v>-29510.6088381941</v>
      </c>
    </row>
    <row r="41" customFormat="false" ht="12.75" hidden="false" customHeight="false" outlineLevel="0" collapsed="false">
      <c r="B41" s="10" t="s">
        <v>46</v>
      </c>
      <c r="C41" s="20" t="n">
        <v>0.06</v>
      </c>
      <c r="D41" s="22" t="n">
        <f aca="true">TABLE($C$38,$D$7,$C41,$D$9,D$38)</f>
        <v>15107.6942831774</v>
      </c>
      <c r="E41" s="22" t="n">
        <f aca="true">TABLE($C$38,$D$7,$C41,$D$9,E$38)</f>
        <v>11621.7923018174</v>
      </c>
      <c r="F41" s="21" t="n">
        <f aca="true">TABLE($C$38,$D$7,$C41,$D$9,F$38)</f>
        <v>8003.17807402622</v>
      </c>
      <c r="G41" s="23" t="n">
        <f aca="true">TABLE($C$38,$D$7,$C41,$D$9,G$38)</f>
        <v>4248.06050257367</v>
      </c>
      <c r="H41" s="21" t="n">
        <f aca="true">TABLE($C$38,$D$7,$C41,$D$9,H$38)</f>
        <v>352.591266120609</v>
      </c>
      <c r="I41" s="23" t="n">
        <f aca="true">TABLE($C$38,$D$7,$C41,$D$9,I$38)</f>
        <v>-3687.1351807813</v>
      </c>
      <c r="J41" s="21" t="n">
        <f aca="true">TABLE($C$38,$D$7,$C41,$D$9,J$38)</f>
        <v>-7875.08160768956</v>
      </c>
      <c r="K41" s="21" t="n">
        <f aca="true">TABLE($C$38,$D$7,$C41,$D$9,K$38)</f>
        <v>-12215.2680082707</v>
      </c>
      <c r="L41" s="21" t="n">
        <f aca="true">TABLE($C$38,$D$7,$C41,$D$9,L$38)</f>
        <v>-16711.7716003006</v>
      </c>
      <c r="M41" s="24" t="n">
        <f aca="true">TABLE($C$38,$D$7,$C41,$D$9,M$38)</f>
        <v>-21368.7268256639</v>
      </c>
    </row>
    <row r="42" customFormat="false" ht="12.75" hidden="false" customHeight="false" outlineLevel="0" collapsed="false">
      <c r="C42" s="20" t="n">
        <v>0.08</v>
      </c>
      <c r="D42" s="21" t="n">
        <f aca="true">TABLE($C$38,$D$7,$C42,$D$9,D$38)</f>
        <v>23556.7088189455</v>
      </c>
      <c r="E42" s="21" t="n">
        <f aca="true">TABLE($C$38,$D$7,$C42,$D$9,E$38)</f>
        <v>20070.8068375856</v>
      </c>
      <c r="F42" s="21" t="n">
        <f aca="true">TABLE($C$38,$D$7,$C42,$D$9,F$38)</f>
        <v>16452.1926097944</v>
      </c>
      <c r="G42" s="23" t="n">
        <f aca="true">TABLE($C$38,$D$7,$C42,$D$9,G$38)</f>
        <v>12697.0750383419</v>
      </c>
      <c r="H42" s="21" t="n">
        <f aca="true">TABLE($C$38,$D$7,$C42,$D$9,H$38)</f>
        <v>8801.6058018888</v>
      </c>
      <c r="I42" s="23" t="n">
        <f aca="true">TABLE($C$38,$D$7,$C42,$D$9,I$38)</f>
        <v>4761.87935498686</v>
      </c>
      <c r="J42" s="21" t="n">
        <f aca="true">TABLE($C$38,$D$7,$C42,$D$9,J$38)</f>
        <v>573.932928078633</v>
      </c>
      <c r="K42" s="21" t="n">
        <f aca="true">TABLE($C$38,$D$7,$C42,$D$9,K$38)</f>
        <v>-3766.25347250252</v>
      </c>
      <c r="L42" s="21" t="n">
        <f aca="true">TABLE($C$38,$D$7,$C42,$D$9,L$38)</f>
        <v>-8262.75706453237</v>
      </c>
      <c r="M42" s="24" t="n">
        <f aca="true">TABLE($C$38,$D$7,$C42,$D$9,M$38)</f>
        <v>-12919.7122898958</v>
      </c>
    </row>
    <row r="43" customFormat="false" ht="12.75" hidden="false" customHeight="false" outlineLevel="0" collapsed="false">
      <c r="C43" s="20" t="n">
        <v>0.1</v>
      </c>
      <c r="D43" s="21" t="n">
        <f aca="true">TABLE($C$38,$D$7,$C43,$D$9,D$38)</f>
        <v>32321.5146009649</v>
      </c>
      <c r="E43" s="21" t="n">
        <f aca="true">TABLE($C$38,$D$7,$C43,$D$9,E$38)</f>
        <v>28835.612619605</v>
      </c>
      <c r="F43" s="21" t="n">
        <f aca="true">TABLE($C$38,$D$7,$C43,$D$9,F$38)</f>
        <v>25216.9983918138</v>
      </c>
      <c r="G43" s="23" t="n">
        <f aca="true">TABLE($C$38,$D$7,$C43,$D$9,G$38)</f>
        <v>21461.8808203613</v>
      </c>
      <c r="H43" s="21" t="n">
        <f aca="true">TABLE($C$38,$D$7,$C43,$D$9,H$38)</f>
        <v>17566.4115839082</v>
      </c>
      <c r="I43" s="23" t="n">
        <f aca="true">TABLE($C$38,$D$7,$C43,$D$9,I$38)</f>
        <v>13526.6851370063</v>
      </c>
      <c r="J43" s="21" t="n">
        <f aca="true">TABLE($C$38,$D$7,$C43,$D$9,J$38)</f>
        <v>9338.73871009803</v>
      </c>
      <c r="K43" s="21" t="n">
        <f aca="true">TABLE($C$38,$D$7,$C43,$D$9,K$38)</f>
        <v>4998.5523095169</v>
      </c>
      <c r="L43" s="21" t="n">
        <f aca="true">TABLE($C$38,$D$7,$C43,$D$9,L$38)</f>
        <v>502.048717487021</v>
      </c>
      <c r="M43" s="24" t="n">
        <f aca="true">TABLE($C$38,$D$7,$C43,$D$9,M$38)</f>
        <v>-4154.90650787635</v>
      </c>
    </row>
    <row r="44" customFormat="false" ht="12.75" hidden="false" customHeight="false" outlineLevel="0" collapsed="false">
      <c r="C44" s="20" t="n">
        <v>0.12</v>
      </c>
      <c r="D44" s="23" t="n">
        <f aca="true">TABLE($C$38,$D$7,$C44,$D$9,D$38)</f>
        <v>41410.8991064942</v>
      </c>
      <c r="E44" s="23" t="n">
        <f aca="true">TABLE($C$38,$D$7,$C44,$D$9,E$38)</f>
        <v>37924.9971251343</v>
      </c>
      <c r="F44" s="23" t="n">
        <f aca="true">TABLE($C$38,$D$7,$C44,$D$9,F$38)</f>
        <v>34306.3828973431</v>
      </c>
      <c r="G44" s="23" t="n">
        <f aca="true">TABLE($C$38,$D$7,$C44,$D$9,G$38)</f>
        <v>30551.2653258906</v>
      </c>
      <c r="H44" s="21" t="n">
        <f aca="true">TABLE($C$38,$D$7,$C44,$D$9,H$38)</f>
        <v>26655.7960894375</v>
      </c>
      <c r="I44" s="23" t="n">
        <f aca="true">TABLE($C$38,$D$7,$C44,$D$9,I$38)</f>
        <v>22616.0696425356</v>
      </c>
      <c r="J44" s="21" t="n">
        <f aca="true">TABLE($C$38,$D$7,$C44,$D$9,J$38)</f>
        <v>18428.1232156273</v>
      </c>
      <c r="K44" s="21" t="n">
        <f aca="true">TABLE($C$38,$D$7,$C44,$D$9,K$38)</f>
        <v>14087.9368150462</v>
      </c>
      <c r="L44" s="21" t="n">
        <f aca="true">TABLE($C$38,$D$7,$C44,$D$9,L$38)</f>
        <v>9591.43322301633</v>
      </c>
      <c r="M44" s="24" t="n">
        <f aca="true">TABLE($C$38,$D$7,$C44,$D$9,M$38)</f>
        <v>4934.47799765295</v>
      </c>
    </row>
    <row r="45" customFormat="false" ht="12.75" hidden="false" customHeight="false" outlineLevel="0" collapsed="false">
      <c r="C45" s="20" t="n">
        <v>0.14</v>
      </c>
      <c r="D45" s="21" t="n">
        <f aca="true">TABLE($C$38,$D$7,$C45,$D$9,D$38)</f>
        <v>50833.7785670378</v>
      </c>
      <c r="E45" s="21" t="n">
        <f aca="true">TABLE($C$38,$D$7,$C45,$D$9,E$38)</f>
        <v>47347.8765856779</v>
      </c>
      <c r="F45" s="21" t="n">
        <f aca="true">TABLE($C$38,$D$7,$C45,$D$9,F$38)</f>
        <v>43729.2623578867</v>
      </c>
      <c r="G45" s="21" t="n">
        <f aca="true">TABLE($C$38,$D$7,$C45,$D$9,G$38)</f>
        <v>39974.1447864341</v>
      </c>
      <c r="H45" s="21" t="n">
        <f aca="true">TABLE($C$38,$D$7,$C45,$D$9,H$38)</f>
        <v>36078.6755499811</v>
      </c>
      <c r="I45" s="23" t="n">
        <f aca="true">TABLE($C$38,$D$7,$C45,$D$9,I$38)</f>
        <v>32038.9491030792</v>
      </c>
      <c r="J45" s="21" t="n">
        <f aca="true">TABLE($C$38,$D$7,$C45,$D$9,J$38)</f>
        <v>27851.0026761709</v>
      </c>
      <c r="K45" s="21" t="n">
        <f aca="true">TABLE($C$38,$D$7,$C45,$D$9,K$38)</f>
        <v>23510.8162755898</v>
      </c>
      <c r="L45" s="21" t="n">
        <f aca="true">TABLE($C$38,$D$7,$C45,$D$9,L$38)</f>
        <v>19014.3126835599</v>
      </c>
      <c r="M45" s="24" t="n">
        <f aca="true">TABLE($C$38,$D$7,$C45,$D$9,M$38)</f>
        <v>14357.3574581965</v>
      </c>
    </row>
    <row r="46" customFormat="false" ht="12.75" hidden="false" customHeight="false" outlineLevel="0" collapsed="false">
      <c r="C46" s="20" t="n">
        <v>0.16</v>
      </c>
      <c r="D46" s="21" t="n">
        <f aca="true">TABLE($C$38,$D$7,$C46,$D$9,D$38)</f>
        <v>60599.1979683454</v>
      </c>
      <c r="E46" s="21" t="n">
        <f aca="true">TABLE($C$38,$D$7,$C46,$D$9,E$38)</f>
        <v>57113.2959869854</v>
      </c>
      <c r="F46" s="21" t="n">
        <f aca="true">TABLE($C$38,$D$7,$C46,$D$9,F$38)</f>
        <v>53494.6817591942</v>
      </c>
      <c r="G46" s="21" t="n">
        <f aca="true">TABLE($C$38,$D$7,$C46,$D$9,G$38)</f>
        <v>49739.5641877417</v>
      </c>
      <c r="H46" s="21" t="n">
        <f aca="true">TABLE($C$38,$D$7,$C46,$D$9,H$38)</f>
        <v>45844.0949512886</v>
      </c>
      <c r="I46" s="23" t="n">
        <f aca="true">TABLE($C$38,$D$7,$C46,$D$9,I$38)</f>
        <v>41804.3685043867</v>
      </c>
      <c r="J46" s="21" t="n">
        <f aca="true">TABLE($C$38,$D$7,$C46,$D$9,J$38)</f>
        <v>37616.4220774785</v>
      </c>
      <c r="K46" s="21" t="n">
        <f aca="true">TABLE($C$38,$D$7,$C46,$D$9,K$38)</f>
        <v>33276.2356768973</v>
      </c>
      <c r="L46" s="21" t="n">
        <f aca="true">TABLE($C$38,$D$7,$C46,$D$9,L$38)</f>
        <v>28779.7320848675</v>
      </c>
      <c r="M46" s="24" t="n">
        <f aca="true">TABLE($C$38,$D$7,$C46,$D$9,M$38)</f>
        <v>24122.7768595041</v>
      </c>
    </row>
    <row r="47" customFormat="false" ht="12.75" hidden="false" customHeight="false" outlineLevel="0" collapsed="false">
      <c r="C47" s="20" t="n">
        <v>0.18</v>
      </c>
      <c r="D47" s="21" t="n">
        <f aca="true">TABLE($C$38,$D$7,$C47,$D$9,D$38)</f>
        <v>70716.3310504126</v>
      </c>
      <c r="E47" s="21" t="n">
        <f aca="true">TABLE($C$38,$D$7,$C47,$D$9,E$38)</f>
        <v>67230.4290690526</v>
      </c>
      <c r="F47" s="21" t="n">
        <f aca="true">TABLE($C$38,$D$7,$C47,$D$9,F$38)</f>
        <v>63611.8148412614</v>
      </c>
      <c r="G47" s="21" t="n">
        <f aca="true">TABLE($C$38,$D$7,$C47,$D$9,G$38)</f>
        <v>59856.6972698089</v>
      </c>
      <c r="H47" s="21" t="n">
        <f aca="true">TABLE($C$38,$D$7,$C47,$D$9,H$38)</f>
        <v>55961.2280333558</v>
      </c>
      <c r="I47" s="23" t="n">
        <f aca="true">TABLE($C$38,$D$7,$C47,$D$9,I$38)</f>
        <v>51921.5015864539</v>
      </c>
      <c r="J47" s="21" t="n">
        <f aca="true">TABLE($C$38,$D$7,$C47,$D$9,J$38)</f>
        <v>47733.5551595457</v>
      </c>
      <c r="K47" s="21" t="n">
        <f aca="true">TABLE($C$38,$D$7,$C47,$D$9,K$38)</f>
        <v>43393.3687589645</v>
      </c>
      <c r="L47" s="21" t="n">
        <f aca="true">TABLE($C$38,$D$7,$C47,$D$9,L$38)</f>
        <v>38896.8651669346</v>
      </c>
      <c r="M47" s="24" t="n">
        <f aca="true">TABLE($C$38,$D$7,$C47,$D$9,M$38)</f>
        <v>34239.9099415712</v>
      </c>
    </row>
    <row r="48" customFormat="false" ht="13.5" hidden="false" customHeight="false" outlineLevel="0" collapsed="false">
      <c r="C48" s="20" t="n">
        <v>0.2</v>
      </c>
      <c r="D48" s="25" t="n">
        <f aca="true">TABLE($C$38,$D$7,$C48,$D$9,D$38)</f>
        <v>81194.4803074802</v>
      </c>
      <c r="E48" s="25" t="n">
        <f aca="true">TABLE($C$38,$D$7,$C48,$D$9,E$38)</f>
        <v>77708.5783261202</v>
      </c>
      <c r="F48" s="25" t="n">
        <f aca="true">TABLE($C$38,$D$7,$C48,$D$9,F$38)</f>
        <v>74089.964098329</v>
      </c>
      <c r="G48" s="25" t="n">
        <f aca="true">TABLE($C$38,$D$7,$C48,$D$9,G$38)</f>
        <v>70334.8465268765</v>
      </c>
      <c r="H48" s="25" t="n">
        <f aca="true">TABLE($C$38,$D$7,$C48,$D$9,H$38)</f>
        <v>66439.3772904235</v>
      </c>
      <c r="I48" s="26" t="n">
        <f aca="true">TABLE($C$38,$D$7,$C48,$D$9,I$38)</f>
        <v>62399.6508435215</v>
      </c>
      <c r="J48" s="25" t="n">
        <f aca="true">TABLE($C$38,$D$7,$C48,$D$9,J$38)</f>
        <v>58211.7044166133</v>
      </c>
      <c r="K48" s="25" t="n">
        <f aca="true">TABLE($C$38,$D$7,$C48,$D$9,K$38)</f>
        <v>53871.5180160321</v>
      </c>
      <c r="L48" s="25" t="n">
        <f aca="true">TABLE($C$38,$D$7,$C48,$D$9,L$38)</f>
        <v>49375.0144240023</v>
      </c>
      <c r="M48" s="27" t="n">
        <f aca="true">TABLE($C$38,$D$7,$C48,$D$9,M$38)</f>
        <v>44718.0591986389</v>
      </c>
    </row>
  </sheetData>
  <mergeCells count="2">
    <mergeCell ref="A16:B16"/>
    <mergeCell ref="A17:B1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false" showOutlineSymbols="true" defaultGridColor="true" view="normal" topLeftCell="A57" colorId="64" zoomScale="120" zoomScaleNormal="120" zoomScalePageLayoutView="100" workbookViewId="0">
      <selection pane="topLeft" activeCell="D64" activeCellId="0" sqref="D64"/>
    </sheetView>
  </sheetViews>
  <sheetFormatPr defaultColWidth="8.55078125" defaultRowHeight="12.75" zeroHeight="false" outlineLevelRow="0" outlineLevelCol="0"/>
  <cols>
    <col collapsed="false" customWidth="true" hidden="false" outlineLevel="0" max="2" min="2" style="0" width="42.29"/>
    <col collapsed="false" customWidth="true" hidden="false" outlineLevel="0" max="3" min="3" style="0" width="17.42"/>
    <col collapsed="false" customWidth="true" hidden="false" outlineLevel="0" max="4" min="4" style="0" width="12.42"/>
    <col collapsed="false" customWidth="true" hidden="false" outlineLevel="0" max="5" min="5" style="0" width="14.62"/>
    <col collapsed="false" customWidth="true" hidden="false" outlineLevel="0" max="8" min="8" style="0" width="9.38"/>
    <col collapsed="false" customWidth="true" hidden="false" outlineLevel="0" max="9" min="9" style="17" width="4.42"/>
    <col collapsed="false" customWidth="true" hidden="false" outlineLevel="0" max="10" min="10" style="0" width="12.29"/>
    <col collapsed="false" customWidth="true" hidden="false" outlineLevel="0" max="11" min="11" style="0" width="10.71"/>
    <col collapsed="false" customWidth="true" hidden="false" outlineLevel="0" max="12" min="12" style="0" width="6.86"/>
    <col collapsed="false" customWidth="true" hidden="false" outlineLevel="0" max="13" min="13" style="0" width="22.14"/>
    <col collapsed="false" customWidth="true" hidden="false" outlineLevel="0" max="14" min="14" style="0" width="11.29"/>
    <col collapsed="false" customWidth="true" hidden="false" outlineLevel="0" max="17" min="17" style="0" width="9.85"/>
  </cols>
  <sheetData>
    <row r="1" customFormat="false" ht="12.75" hidden="false" customHeight="false" outlineLevel="0" collapsed="false">
      <c r="C1" s="0" t="s">
        <v>47</v>
      </c>
      <c r="E1" s="0" t="s">
        <v>35</v>
      </c>
    </row>
    <row r="2" customFormat="false" ht="14.25" hidden="false" customHeight="false" outlineLevel="0" collapsed="false">
      <c r="E2" s="0" t="s">
        <v>48</v>
      </c>
    </row>
    <row r="3" customFormat="false" ht="14.25" hidden="false" customHeight="false" outlineLevel="0" collapsed="false">
      <c r="E3" s="0" t="s">
        <v>49</v>
      </c>
    </row>
    <row r="4" customFormat="false" ht="25.5" hidden="false" customHeight="false" outlineLevel="0" collapsed="false">
      <c r="B4" s="28" t="s">
        <v>50</v>
      </c>
    </row>
    <row r="5" customFormat="false" ht="14.25" hidden="false" customHeight="false" outlineLevel="0" collapsed="false">
      <c r="B5" s="28" t="s">
        <v>51</v>
      </c>
      <c r="D5" s="1" t="n">
        <f aca="false">_POL1*(1+M_POL)^C6</f>
        <v>90000</v>
      </c>
      <c r="E5" s="1" t="n">
        <f aca="false">_POL1*(1+M_POL)^D6</f>
        <v>95400</v>
      </c>
      <c r="F5" s="1" t="n">
        <f aca="false">_POL1*(1+M_POL)^E6</f>
        <v>101124</v>
      </c>
      <c r="G5" s="1" t="n">
        <f aca="false">_POL1*(1+M_POL)^F6</f>
        <v>107191.44</v>
      </c>
      <c r="H5" s="1" t="n">
        <f aca="false">_POL1*(1+M_POL)^G6</f>
        <v>113622.9264</v>
      </c>
      <c r="I5" s="29"/>
      <c r="J5" s="0" t="s">
        <v>49</v>
      </c>
    </row>
    <row r="6" customFormat="false" ht="12.75" hidden="false" customHeight="false" outlineLevel="0" collapsed="false">
      <c r="B6" s="30" t="s">
        <v>52</v>
      </c>
      <c r="C6" s="31" t="n">
        <v>0</v>
      </c>
      <c r="D6" s="31" t="n">
        <v>1</v>
      </c>
      <c r="E6" s="31" t="n">
        <v>2</v>
      </c>
      <c r="F6" s="31" t="n">
        <v>3</v>
      </c>
      <c r="G6" s="31" t="n">
        <v>4</v>
      </c>
      <c r="H6" s="31" t="n">
        <v>5</v>
      </c>
      <c r="I6" s="32"/>
    </row>
    <row r="7" customFormat="false" ht="12.75" hidden="false" customHeight="false" outlineLevel="0" collapsed="false">
      <c r="B7" s="33" t="s">
        <v>53</v>
      </c>
      <c r="D7" s="1" t="n">
        <f aca="false">_POL1</f>
        <v>90000</v>
      </c>
      <c r="E7" s="1" t="n">
        <f aca="false">D7*(1+M_POL)</f>
        <v>95400</v>
      </c>
      <c r="F7" s="1" t="n">
        <f aca="false">E7*(1+M_POL)</f>
        <v>101124</v>
      </c>
      <c r="G7" s="1" t="n">
        <f aca="false">F7*(1+M_POL)</f>
        <v>107191.44</v>
      </c>
      <c r="H7" s="1" t="n">
        <f aca="false">G7*(1+M_POL)</f>
        <v>113622.9264</v>
      </c>
      <c r="I7" s="29"/>
      <c r="J7" s="0" t="s">
        <v>54</v>
      </c>
    </row>
    <row r="8" customFormat="false" ht="12.75" hidden="false" customHeight="false" outlineLevel="0" collapsed="false">
      <c r="B8" s="33" t="s">
        <v>55</v>
      </c>
      <c r="D8" s="34" t="n">
        <f aca="false">KPOL1</f>
        <v>40000</v>
      </c>
      <c r="E8" s="35" t="n">
        <f aca="false">D8*(1+M_KPOL)</f>
        <v>41600</v>
      </c>
      <c r="F8" s="36" t="n">
        <f aca="false">E8*(1+M_KPOL)</f>
        <v>43264</v>
      </c>
      <c r="G8" s="36" t="n">
        <f aca="false">F8*(1+M_KPOL)</f>
        <v>44994.56</v>
      </c>
      <c r="H8" s="36" t="n">
        <f aca="false">G8*(1+M_KPOL)</f>
        <v>46794.3424</v>
      </c>
      <c r="I8" s="37"/>
      <c r="J8" s="1"/>
    </row>
    <row r="9" customFormat="false" ht="12.75" hidden="false" customHeight="false" outlineLevel="0" collapsed="false">
      <c r="B9" s="33" t="s">
        <v>56</v>
      </c>
      <c r="D9" s="1" t="n">
        <f aca="false">D7-D8</f>
        <v>50000</v>
      </c>
      <c r="E9" s="1" t="n">
        <f aca="false">E7-E8</f>
        <v>53800</v>
      </c>
      <c r="F9" s="1" t="n">
        <f aca="false">F7-F8</f>
        <v>57860</v>
      </c>
      <c r="G9" s="1" t="n">
        <f aca="false">G7-G8</f>
        <v>62196.88</v>
      </c>
      <c r="H9" s="1" t="n">
        <f aca="false">H7-H8</f>
        <v>66828.584</v>
      </c>
      <c r="I9" s="29"/>
      <c r="J9" s="1"/>
    </row>
    <row r="10" customFormat="false" ht="12.75" hidden="false" customHeight="false" outlineLevel="0" collapsed="false">
      <c r="B10" s="33" t="s">
        <v>57</v>
      </c>
      <c r="D10" s="34" t="n">
        <f aca="false">LE</f>
        <v>5000</v>
      </c>
      <c r="E10" s="34" t="n">
        <f aca="false">D10*(1+M_LE)</f>
        <v>5400</v>
      </c>
      <c r="F10" s="34" t="n">
        <f aca="false">E10*(1+M_LE)</f>
        <v>5832</v>
      </c>
      <c r="G10" s="34" t="n">
        <f aca="false">F10*(1+M_LE)</f>
        <v>6298.56</v>
      </c>
      <c r="H10" s="34" t="n">
        <f aca="false">G10*(1+M_LE)</f>
        <v>6802.4448</v>
      </c>
      <c r="I10" s="37"/>
      <c r="J10" s="1"/>
    </row>
    <row r="11" customFormat="false" ht="12.75" hidden="false" customHeight="false" outlineLevel="0" collapsed="false">
      <c r="B11" s="33" t="s">
        <v>58</v>
      </c>
      <c r="D11" s="1" t="n">
        <f aca="false">D9-D10</f>
        <v>45000</v>
      </c>
      <c r="E11" s="1" t="n">
        <f aca="false">E9-E10</f>
        <v>48400</v>
      </c>
      <c r="F11" s="1" t="n">
        <f aca="false">F9-F10</f>
        <v>52028</v>
      </c>
      <c r="G11" s="1" t="n">
        <f aca="false">G9-G10</f>
        <v>55898.32</v>
      </c>
      <c r="H11" s="1" t="n">
        <f aca="false">H9-H10</f>
        <v>60026.1392</v>
      </c>
      <c r="I11" s="29"/>
      <c r="J11" s="1"/>
    </row>
    <row r="12" customFormat="false" ht="12.75" hidden="false" customHeight="false" outlineLevel="0" collapsed="false">
      <c r="B12" s="33" t="s">
        <v>59</v>
      </c>
      <c r="D12" s="38" t="n">
        <f aca="false">DEP_F*(AAM-AT)</f>
        <v>30000</v>
      </c>
      <c r="E12" s="38" t="n">
        <f aca="false">DEP_F*(AAM-AT)</f>
        <v>30000</v>
      </c>
      <c r="F12" s="38" t="n">
        <f aca="false">DEP_F*(AAM-AT)</f>
        <v>30000</v>
      </c>
      <c r="G12" s="38" t="n">
        <f aca="false">DEP_F*(AAM-AT)</f>
        <v>30000</v>
      </c>
      <c r="H12" s="38" t="n">
        <f aca="false">DEP_F*(AAM-AT)</f>
        <v>30000</v>
      </c>
      <c r="I12" s="38"/>
      <c r="J12" s="1"/>
    </row>
    <row r="13" customFormat="false" ht="12.75" hidden="false" customHeight="false" outlineLevel="0" collapsed="false">
      <c r="B13" s="33" t="s">
        <v>60</v>
      </c>
      <c r="D13" s="1" t="n">
        <f aca="false">D11-D12</f>
        <v>15000</v>
      </c>
      <c r="E13" s="1" t="n">
        <f aca="false">E11-E12</f>
        <v>18400</v>
      </c>
      <c r="F13" s="1" t="n">
        <f aca="false">F11-F12</f>
        <v>22028</v>
      </c>
      <c r="G13" s="1" t="n">
        <f aca="false">G11-G12</f>
        <v>25898.32</v>
      </c>
      <c r="H13" s="1" t="n">
        <f aca="false">H11-H12</f>
        <v>30026.1392</v>
      </c>
      <c r="I13" s="29"/>
      <c r="J13" s="1"/>
    </row>
    <row r="14" customFormat="false" ht="12.75" hidden="false" customHeight="false" outlineLevel="0" collapsed="false">
      <c r="B14" s="33" t="s">
        <v>61</v>
      </c>
      <c r="D14" s="34" t="n">
        <f aca="false">D13*SF</f>
        <v>6000</v>
      </c>
      <c r="E14" s="34" t="n">
        <f aca="false">E13*SF</f>
        <v>7360</v>
      </c>
      <c r="F14" s="34" t="n">
        <f aca="false">F13*SF</f>
        <v>8811.2</v>
      </c>
      <c r="G14" s="34" t="n">
        <f aca="false">G13*SF</f>
        <v>10359.328</v>
      </c>
      <c r="H14" s="34" t="n">
        <f aca="false">H13*SF</f>
        <v>12010.45568</v>
      </c>
      <c r="I14" s="37"/>
      <c r="J14" s="1"/>
    </row>
    <row r="15" customFormat="false" ht="12.75" hidden="false" customHeight="false" outlineLevel="0" collapsed="false">
      <c r="B15" s="33" t="s">
        <v>62</v>
      </c>
      <c r="D15" s="39" t="n">
        <f aca="false">D13-D14</f>
        <v>9000</v>
      </c>
      <c r="E15" s="39" t="n">
        <f aca="false">E13-E14</f>
        <v>11040</v>
      </c>
      <c r="F15" s="39" t="n">
        <f aca="false">F13-F14</f>
        <v>13216.8</v>
      </c>
      <c r="G15" s="39" t="n">
        <f aca="false">G13-G14</f>
        <v>15538.992</v>
      </c>
      <c r="H15" s="39" t="n">
        <f aca="false">H13-H14</f>
        <v>18015.68352</v>
      </c>
      <c r="I15" s="29"/>
      <c r="J15" s="1"/>
    </row>
    <row r="16" customFormat="false" ht="12.75" hidden="false" customHeight="false" outlineLevel="0" collapsed="false">
      <c r="B16" s="40" t="s">
        <v>63</v>
      </c>
      <c r="D16" s="1"/>
      <c r="E16" s="1"/>
      <c r="F16" s="1"/>
      <c r="G16" s="1"/>
      <c r="H16" s="1"/>
      <c r="I16" s="29"/>
      <c r="J16" s="1"/>
    </row>
    <row r="17" customFormat="false" ht="12.75" hidden="false" customHeight="false" outlineLevel="0" collapsed="false">
      <c r="B17" s="33" t="s">
        <v>64</v>
      </c>
      <c r="D17" s="39" t="n">
        <f aca="false">D15</f>
        <v>9000</v>
      </c>
      <c r="E17" s="39" t="n">
        <f aca="false">E15</f>
        <v>11040</v>
      </c>
      <c r="F17" s="39" t="n">
        <f aca="false">F15</f>
        <v>13216.8</v>
      </c>
      <c r="G17" s="39" t="n">
        <f aca="false">G15</f>
        <v>15538.992</v>
      </c>
      <c r="H17" s="39" t="n">
        <f aca="false">H15</f>
        <v>18015.68352</v>
      </c>
      <c r="I17" s="29"/>
      <c r="J17" s="1"/>
    </row>
    <row r="18" customFormat="false" ht="12.75" hidden="false" customHeight="false" outlineLevel="0" collapsed="false">
      <c r="B18" s="33" t="s">
        <v>65</v>
      </c>
      <c r="D18" s="38" t="n">
        <f aca="false">D12</f>
        <v>30000</v>
      </c>
      <c r="E18" s="38" t="n">
        <f aca="false">E12</f>
        <v>30000</v>
      </c>
      <c r="F18" s="38" t="n">
        <f aca="false">F12</f>
        <v>30000</v>
      </c>
      <c r="G18" s="38" t="n">
        <f aca="false">G12</f>
        <v>30000</v>
      </c>
      <c r="H18" s="38" t="n">
        <f aca="false">H12</f>
        <v>30000</v>
      </c>
      <c r="I18" s="38"/>
      <c r="J18" s="1"/>
    </row>
    <row r="19" customFormat="false" ht="12.75" hidden="false" customHeight="false" outlineLevel="0" collapsed="false">
      <c r="B19" s="41" t="s">
        <v>66</v>
      </c>
      <c r="D19" s="1" t="n">
        <f aca="false">D17+D18</f>
        <v>39000</v>
      </c>
      <c r="E19" s="1" t="n">
        <f aca="false">E17+E18</f>
        <v>41040</v>
      </c>
      <c r="F19" s="1" t="n">
        <f aca="false">F17+F18</f>
        <v>43216.8</v>
      </c>
      <c r="G19" s="1" t="n">
        <f aca="false">G17+G18</f>
        <v>45538.992</v>
      </c>
      <c r="H19" s="1" t="n">
        <f aca="false">H17+H18</f>
        <v>48015.68352</v>
      </c>
      <c r="I19" s="29"/>
      <c r="J19" s="1"/>
    </row>
    <row r="20" customFormat="false" ht="12.75" hidden="false" customHeight="false" outlineLevel="0" collapsed="false">
      <c r="B20" s="42" t="s">
        <v>67</v>
      </c>
      <c r="D20" s="1"/>
      <c r="E20" s="1"/>
      <c r="F20" s="1"/>
      <c r="G20" s="1"/>
      <c r="H20" s="1"/>
      <c r="I20" s="29"/>
      <c r="J20" s="1"/>
    </row>
    <row r="21" customFormat="false" ht="12.75" hidden="false" customHeight="false" outlineLevel="0" collapsed="false">
      <c r="B21" s="41" t="s">
        <v>68</v>
      </c>
      <c r="D21" s="1" t="n">
        <f aca="false">D11*(1-SF)+SF*D12</f>
        <v>39000</v>
      </c>
      <c r="E21" s="1" t="n">
        <f aca="false">E11*(1-SF)+SF*E12</f>
        <v>41040</v>
      </c>
      <c r="F21" s="1" t="n">
        <f aca="false">F11*(1-SF)+SF*F12</f>
        <v>43216.8</v>
      </c>
      <c r="G21" s="1" t="n">
        <f aca="false">G11*(1-SF)+SF*G12</f>
        <v>45538.992</v>
      </c>
      <c r="H21" s="1" t="n">
        <f aca="false">H11*(1-SF)+SF*H12</f>
        <v>48015.68352</v>
      </c>
      <c r="I21" s="29"/>
      <c r="J21" s="1"/>
      <c r="K21" s="1"/>
      <c r="L21" s="1"/>
      <c r="M21" s="1"/>
      <c r="N21" s="1"/>
    </row>
    <row r="22" customFormat="false" ht="12.75" hidden="false" customHeight="false" outlineLevel="0" collapsed="false">
      <c r="B22" s="41"/>
      <c r="D22" s="1"/>
      <c r="E22" s="1"/>
      <c r="F22" s="1"/>
      <c r="G22" s="1"/>
      <c r="H22" s="1"/>
      <c r="I22" s="29"/>
      <c r="J22" s="1"/>
    </row>
    <row r="23" customFormat="false" ht="12.75" hidden="false" customHeight="false" outlineLevel="0" collapsed="false">
      <c r="B23" s="40" t="s">
        <v>69</v>
      </c>
      <c r="D23" s="1"/>
      <c r="E23" s="1"/>
      <c r="F23" s="1"/>
      <c r="G23" s="1"/>
      <c r="H23" s="1"/>
      <c r="I23" s="29"/>
      <c r="J23" s="1"/>
    </row>
    <row r="24" customFormat="false" ht="12.75" hidden="false" customHeight="false" outlineLevel="0" collapsed="false">
      <c r="B24" s="33" t="s">
        <v>70</v>
      </c>
      <c r="D24" s="1" t="n">
        <f aca="false">D21</f>
        <v>39000</v>
      </c>
      <c r="E24" s="1" t="n">
        <f aca="false">E21</f>
        <v>41040</v>
      </c>
      <c r="F24" s="1" t="n">
        <f aca="false">F21</f>
        <v>43216.8</v>
      </c>
      <c r="G24" s="1" t="n">
        <f aca="false">G21</f>
        <v>45538.992</v>
      </c>
      <c r="H24" s="1" t="n">
        <f aca="false">H21</f>
        <v>48015.68352</v>
      </c>
      <c r="I24" s="29"/>
      <c r="J24" s="1"/>
    </row>
    <row r="25" customFormat="false" ht="12.75" hidden="false" customHeight="false" outlineLevel="0" collapsed="false">
      <c r="B25" s="43" t="s">
        <v>71</v>
      </c>
      <c r="C25" s="44" t="n">
        <f aca="false">-AAM</f>
        <v>-153000</v>
      </c>
      <c r="D25" s="45"/>
      <c r="E25" s="45"/>
      <c r="F25" s="45"/>
      <c r="G25" s="45"/>
      <c r="H25" s="45" t="n">
        <f aca="false">AT</f>
        <v>3000</v>
      </c>
      <c r="I25" s="46"/>
      <c r="J25" s="1"/>
    </row>
    <row r="26" customFormat="false" ht="12.75" hidden="false" customHeight="false" outlineLevel="0" collapsed="false">
      <c r="B26" s="0" t="s">
        <v>72</v>
      </c>
      <c r="C26" s="47" t="n">
        <f aca="false">C24+C25</f>
        <v>-153000</v>
      </c>
      <c r="D26" s="47" t="n">
        <f aca="false">D24+D25</f>
        <v>39000</v>
      </c>
      <c r="E26" s="47" t="n">
        <f aca="false">E24+E25</f>
        <v>41040</v>
      </c>
      <c r="F26" s="47" t="n">
        <f aca="false">F24+F25</f>
        <v>43216.8</v>
      </c>
      <c r="G26" s="47" t="n">
        <f aca="false">G24+G25</f>
        <v>45538.992</v>
      </c>
      <c r="H26" s="47" t="n">
        <f aca="false">H24+H25</f>
        <v>51015.68352</v>
      </c>
      <c r="I26" s="48"/>
    </row>
    <row r="28" customFormat="false" ht="12.75" hidden="false" customHeight="false" outlineLevel="0" collapsed="false">
      <c r="B28" s="0" t="s">
        <v>25</v>
      </c>
    </row>
    <row r="29" customFormat="false" ht="12.75" hidden="false" customHeight="false" outlineLevel="0" collapsed="false">
      <c r="B29" s="49" t="n">
        <v>0.1</v>
      </c>
    </row>
    <row r="30" customFormat="false" ht="12.75" hidden="false" customHeight="false" outlineLevel="0" collapsed="false">
      <c r="B30" s="50" t="s">
        <v>73</v>
      </c>
      <c r="C30" s="51" t="n">
        <f aca="false">1/(1+$B$29)^C6</f>
        <v>1</v>
      </c>
      <c r="D30" s="51" t="n">
        <f aca="false">1/(1+$B$29)^D6</f>
        <v>0.909090909090909</v>
      </c>
      <c r="E30" s="51" t="n">
        <f aca="false">1/(1+$B$29)^E6</f>
        <v>0.826446280991735</v>
      </c>
      <c r="F30" s="51" t="n">
        <f aca="false">1/(1+$B$29)^F6</f>
        <v>0.751314800901578</v>
      </c>
      <c r="G30" s="51" t="n">
        <f aca="false">1/(1+$B$29)^G6</f>
        <v>0.683013455365071</v>
      </c>
      <c r="H30" s="51" t="n">
        <f aca="false">1/(1+$B$29)^H6</f>
        <v>0.620921323059155</v>
      </c>
      <c r="I30" s="52"/>
    </row>
    <row r="31" customFormat="false" ht="12.75" hidden="false" customHeight="false" outlineLevel="0" collapsed="false">
      <c r="B31" s="50" t="s">
        <v>74</v>
      </c>
      <c r="C31" s="51" t="n">
        <f aca="false">PV($B$29,MONTEL!C6,,-1)</f>
        <v>1</v>
      </c>
      <c r="D31" s="51" t="n">
        <f aca="false">PV($B$29,MONTEL!D6,,-1)</f>
        <v>0.909090909090909</v>
      </c>
      <c r="E31" s="51" t="n">
        <f aca="false">PV($B$29,MONTEL!E6,,-1)</f>
        <v>0.826446280991735</v>
      </c>
      <c r="F31" s="51" t="n">
        <f aca="false">PV($B$29,MONTEL!F6,,-1)</f>
        <v>0.751314800901578</v>
      </c>
      <c r="G31" s="51" t="n">
        <f aca="false">PV($B$29,MONTEL!G6,,-1)</f>
        <v>0.683013455365071</v>
      </c>
      <c r="H31" s="51" t="n">
        <f aca="false">PV($B$29,MONTEL!H6,,-1)</f>
        <v>0.620921323059155</v>
      </c>
      <c r="I31" s="52"/>
    </row>
    <row r="32" customFormat="false" ht="12.75" hidden="false" customHeight="false" outlineLevel="0" collapsed="false">
      <c r="B32" s="50" t="s">
        <v>75</v>
      </c>
      <c r="C32" s="21" t="n">
        <f aca="false">C30*C26</f>
        <v>-153000</v>
      </c>
      <c r="D32" s="21" t="n">
        <f aca="false">D30*D26</f>
        <v>35454.5454545455</v>
      </c>
      <c r="E32" s="21" t="n">
        <f aca="false">E30*E26</f>
        <v>33917.3553719008</v>
      </c>
      <c r="F32" s="21" t="n">
        <f aca="false">F30*F26</f>
        <v>32469.4214876033</v>
      </c>
      <c r="G32" s="21" t="n">
        <f aca="false">G30*G26</f>
        <v>31103.7442797623</v>
      </c>
      <c r="H32" s="21" t="n">
        <f aca="false">H30*H26</f>
        <v>31676.7257080055</v>
      </c>
      <c r="I32" s="29"/>
    </row>
    <row r="33" customFormat="false" ht="12.75" hidden="false" customHeight="false" outlineLevel="0" collapsed="false">
      <c r="B33" s="50"/>
      <c r="C33" s="21" t="n">
        <f aca="false">SUM(C32:H32)</f>
        <v>11621.7923018174</v>
      </c>
    </row>
    <row r="34" customFormat="false" ht="12.75" hidden="false" customHeight="false" outlineLevel="0" collapsed="false">
      <c r="D34" s="0" t="str">
        <f aca="false">IF(C33&gt;0,"ΕΠΕΝΔΥΣΗ ΑΠΟΔΕΚΤΗ","ΕΠΕΝΔΥΣΗ ΜΗ-ΑΠΟΔΕΚΤΗ")</f>
        <v>ΕΠΕΝΔΥΣΗ ΑΠΟΔΕΚΤΗ</v>
      </c>
      <c r="J34" s="53"/>
      <c r="K34" s="54"/>
      <c r="L34" s="54"/>
      <c r="M34" s="53"/>
      <c r="N34" s="53"/>
    </row>
    <row r="35" customFormat="false" ht="12.75" hidden="false" customHeight="false" outlineLevel="0" collapsed="false">
      <c r="B35" s="0" t="s">
        <v>76</v>
      </c>
      <c r="J35" s="17"/>
      <c r="K35" s="0" t="s">
        <v>77</v>
      </c>
      <c r="M35" s="17"/>
      <c r="N35" s="17"/>
      <c r="P35" s="0" t="s">
        <v>78</v>
      </c>
    </row>
    <row r="36" customFormat="false" ht="13.5" hidden="false" customHeight="false" outlineLevel="0" collapsed="false">
      <c r="B36" s="0" t="s">
        <v>79</v>
      </c>
      <c r="C36" s="1" t="n">
        <f aca="false">SUM(D32:H32)</f>
        <v>164621.792301817</v>
      </c>
      <c r="J36" s="55"/>
      <c r="K36" s="17"/>
      <c r="L36" s="17"/>
      <c r="M36" s="56" t="s">
        <v>80</v>
      </c>
      <c r="N36" s="55"/>
    </row>
    <row r="37" customFormat="false" ht="15.75" hidden="false" customHeight="false" outlineLevel="0" collapsed="false">
      <c r="B37" s="0" t="s">
        <v>81</v>
      </c>
      <c r="C37" s="34" t="n">
        <f aca="false">C26</f>
        <v>-153000</v>
      </c>
      <c r="J37" s="17"/>
      <c r="K37" s="56" t="s">
        <v>82</v>
      </c>
      <c r="L37" s="56"/>
      <c r="M37" s="57" t="n">
        <f aca="false">N38-K38</f>
        <v>0.06</v>
      </c>
      <c r="N37" s="56" t="s">
        <v>83</v>
      </c>
      <c r="P37" s="58" t="n">
        <f aca="false">M37</f>
        <v>0.06</v>
      </c>
      <c r="Q37" s="59"/>
      <c r="R37" s="60" t="s">
        <v>84</v>
      </c>
    </row>
    <row r="38" customFormat="false" ht="15" hidden="false" customHeight="false" outlineLevel="0" collapsed="false">
      <c r="C38" s="1" t="n">
        <f aca="false">SUM(C36:C37)</f>
        <v>11621.7923018174</v>
      </c>
      <c r="J38" s="0" t="s">
        <v>85</v>
      </c>
      <c r="K38" s="61" t="n">
        <f aca="false">C54</f>
        <v>0.1</v>
      </c>
      <c r="L38" s="62"/>
      <c r="M38" s="63" t="s">
        <v>86</v>
      </c>
      <c r="N38" s="64" t="n">
        <f aca="false">C57</f>
        <v>0.16</v>
      </c>
      <c r="P38" s="65"/>
      <c r="Q38" s="53"/>
      <c r="R38" s="66"/>
    </row>
    <row r="39" customFormat="false" ht="13.5" hidden="false" customHeight="false" outlineLevel="0" collapsed="false">
      <c r="B39" s="0" t="s">
        <v>87</v>
      </c>
      <c r="C39" s="1" t="n">
        <f aca="false">NPV(B29,D26:H26)+C32</f>
        <v>11621.7923018174</v>
      </c>
      <c r="D39" s="0" t="str">
        <f aca="false">IF(C38&gt;0,"ΕΠΕΝΔΥΣΗ ΑΠΟΔΕΚΤΗ","ΕΠΕΝΔΥΣΗ ΜΗ-ΑΠΟΔΕΚΤΗ")</f>
        <v>ΕΠΕΝΔΥΣΗ ΑΠΟΔΕΚΤΗ</v>
      </c>
      <c r="K39" s="67" t="n">
        <f aca="false">D54</f>
        <v>11621.7923018174</v>
      </c>
      <c r="L39" s="68"/>
      <c r="M39" s="69" t="n">
        <v>0</v>
      </c>
      <c r="N39" s="70" t="n">
        <f aca="false">D57</f>
        <v>-11752.7195270728</v>
      </c>
      <c r="P39" s="71" t="n">
        <f aca="false">M40</f>
        <v>-23374.5118288902</v>
      </c>
      <c r="Q39" s="72"/>
      <c r="R39" s="73" t="n">
        <f aca="false">N42</f>
        <v>-11752.7195270728</v>
      </c>
    </row>
    <row r="40" customFormat="false" ht="15.75" hidden="false" customHeight="false" outlineLevel="0" collapsed="false">
      <c r="C40" s="1"/>
      <c r="K40" s="74" t="s">
        <v>88</v>
      </c>
      <c r="L40" s="74"/>
      <c r="M40" s="75" t="n">
        <f aca="false">N39-K39</f>
        <v>-23374.5118288902</v>
      </c>
      <c r="N40" s="56" t="s">
        <v>89</v>
      </c>
    </row>
    <row r="41" customFormat="false" ht="15.75" hidden="false" customHeight="false" outlineLevel="0" collapsed="false">
      <c r="B41" s="0" t="s">
        <v>90</v>
      </c>
      <c r="C41" s="1"/>
      <c r="K41" s="76"/>
      <c r="L41" s="76"/>
      <c r="M41" s="74" t="s">
        <v>91</v>
      </c>
      <c r="P41" s="77" t="s">
        <v>84</v>
      </c>
      <c r="Q41" s="78" t="n">
        <f aca="false">(P37*R39)/(P39)</f>
        <v>0.030168038450874</v>
      </c>
      <c r="R41" s="5"/>
    </row>
    <row r="42" customFormat="false" ht="12.75" hidden="false" customHeight="false" outlineLevel="0" collapsed="false">
      <c r="B42" s="79" t="s">
        <v>92</v>
      </c>
      <c r="C42" s="80" t="n">
        <f aca="false">IRR(C26:H26)</f>
        <v>0.128010301002446</v>
      </c>
      <c r="D42" s="9" t="s">
        <v>93</v>
      </c>
      <c r="K42" s="81" t="n">
        <f aca="false">M39-K39</f>
        <v>-11621.7923018174</v>
      </c>
      <c r="N42" s="81" t="n">
        <f aca="false">N39-M39</f>
        <v>-11752.7195270728</v>
      </c>
      <c r="P42" s="79" t="s">
        <v>94</v>
      </c>
      <c r="Q42" s="82" t="n">
        <f aca="false">N38-Q41</f>
        <v>0.129831961549126</v>
      </c>
    </row>
    <row r="43" customFormat="false" ht="16.5" hidden="false" customHeight="false" outlineLevel="0" collapsed="false">
      <c r="B43" s="83" t="s">
        <v>95</v>
      </c>
      <c r="C43" s="5"/>
      <c r="K43" s="84" t="s">
        <v>96</v>
      </c>
      <c r="N43" s="84" t="s">
        <v>97</v>
      </c>
    </row>
    <row r="44" customFormat="false" ht="15.75" hidden="false" customHeight="false" outlineLevel="0" collapsed="false">
      <c r="B44" s="85" t="s">
        <v>98</v>
      </c>
      <c r="K44" s="84" t="s">
        <v>99</v>
      </c>
      <c r="N44" s="84" t="s">
        <v>100</v>
      </c>
      <c r="P44" s="58" t="n">
        <f aca="false">M37</f>
        <v>0.06</v>
      </c>
      <c r="Q44" s="59"/>
      <c r="R44" s="60" t="s">
        <v>101</v>
      </c>
    </row>
    <row r="45" customFormat="false" ht="12.75" hidden="false" customHeight="false" outlineLevel="0" collapsed="false">
      <c r="B45" s="85" t="s">
        <v>102</v>
      </c>
      <c r="P45" s="65"/>
      <c r="Q45" s="53"/>
      <c r="R45" s="66"/>
    </row>
    <row r="46" customFormat="false" ht="13.5" hidden="false" customHeight="false" outlineLevel="0" collapsed="false">
      <c r="B46" s="85" t="s">
        <v>103</v>
      </c>
      <c r="P46" s="71" t="n">
        <f aca="false">M40</f>
        <v>-23374.5118288902</v>
      </c>
      <c r="Q46" s="72"/>
      <c r="R46" s="73" t="n">
        <f aca="false">K42</f>
        <v>-11621.7923018174</v>
      </c>
    </row>
    <row r="48" customFormat="false" ht="16.5" hidden="false" customHeight="false" outlineLevel="0" collapsed="false">
      <c r="P48" s="77" t="s">
        <v>104</v>
      </c>
      <c r="Q48" s="78" t="n">
        <f aca="false">(P44*R46)/(P46)</f>
        <v>0.029831961549126</v>
      </c>
    </row>
    <row r="49" customFormat="false" ht="12.75" hidden="false" customHeight="false" outlineLevel="0" collapsed="false">
      <c r="A49" s="0" t="n">
        <v>1</v>
      </c>
      <c r="B49" s="9" t="s">
        <v>42</v>
      </c>
      <c r="C49" s="86"/>
      <c r="D49" s="87" t="n">
        <f aca="false">C39</f>
        <v>11621.7923018174</v>
      </c>
      <c r="E49" s="1"/>
      <c r="F49" s="1"/>
      <c r="G49" s="1"/>
      <c r="H49" s="1"/>
      <c r="I49" s="29"/>
      <c r="L49" s="0" t="s">
        <v>105</v>
      </c>
      <c r="M49" s="78" t="n">
        <f aca="false">K38+((M37/(K39+ABS(N39))*K39))</f>
        <v>0.129831961549126</v>
      </c>
      <c r="P49" s="79" t="s">
        <v>94</v>
      </c>
      <c r="Q49" s="82" t="n">
        <f aca="false">K38+Q48</f>
        <v>0.129831961549126</v>
      </c>
    </row>
    <row r="50" customFormat="false" ht="12.75" hidden="false" customHeight="false" outlineLevel="0" collapsed="false">
      <c r="B50" s="9" t="s">
        <v>106</v>
      </c>
      <c r="C50" s="88" t="n">
        <v>0.02</v>
      </c>
      <c r="D50" s="89" t="n">
        <f aca="true">TABLE(D$49,$B$29,$C50)</f>
        <v>53683.282580961</v>
      </c>
    </row>
    <row r="51" customFormat="false" ht="12.75" hidden="false" customHeight="false" outlineLevel="0" collapsed="false">
      <c r="C51" s="88" t="n">
        <v>0.04</v>
      </c>
      <c r="D51" s="89" t="n">
        <f aca="true">TABLE(D$49,$B$29,$C51)</f>
        <v>41721.4591874712</v>
      </c>
    </row>
    <row r="52" customFormat="false" ht="12.75" hidden="false" customHeight="false" outlineLevel="0" collapsed="false">
      <c r="C52" s="88" t="n">
        <v>0.06</v>
      </c>
      <c r="D52" s="89" t="n">
        <f aca="true">TABLE(D$49,$B$29,$C52)</f>
        <v>30796.5988074386</v>
      </c>
    </row>
    <row r="53" customFormat="false" ht="12.75" hidden="false" customHeight="false" outlineLevel="0" collapsed="false">
      <c r="B53" s="9" t="s">
        <v>107</v>
      </c>
      <c r="C53" s="88" t="n">
        <v>0.08</v>
      </c>
      <c r="D53" s="89" t="n">
        <f aca="true">TABLE(D$49,$B$29,$C53)</f>
        <v>20796.1210651794</v>
      </c>
    </row>
    <row r="54" customFormat="false" ht="12.75" hidden="false" customHeight="false" outlineLevel="0" collapsed="false">
      <c r="C54" s="90" t="n">
        <v>0.1</v>
      </c>
      <c r="D54" s="91" t="n">
        <f aca="true">TABLE(D$49,$B$29,$C54)</f>
        <v>11621.7923018174</v>
      </c>
    </row>
    <row r="55" customFormat="false" ht="12.75" hidden="false" customHeight="false" outlineLevel="0" collapsed="false">
      <c r="C55" s="92" t="n">
        <v>0.12</v>
      </c>
      <c r="D55" s="93" t="n">
        <f aca="true">TABLE(D$49,$B$29,$C55)</f>
        <v>3187.65150024678</v>
      </c>
      <c r="K55" s="7"/>
      <c r="L55" s="7"/>
    </row>
    <row r="56" customFormat="false" ht="12.75" hidden="false" customHeight="false" outlineLevel="0" collapsed="false">
      <c r="C56" s="92" t="n">
        <v>0.14</v>
      </c>
      <c r="D56" s="93" t="n">
        <f aca="true">TABLE(D$49,$B$29,$C56)</f>
        <v>-4581.73086868593</v>
      </c>
    </row>
    <row r="57" customFormat="false" ht="12.75" hidden="false" customHeight="false" outlineLevel="0" collapsed="false">
      <c r="B57" s="10" t="s">
        <v>108</v>
      </c>
      <c r="C57" s="88" t="n">
        <v>0.16</v>
      </c>
      <c r="D57" s="89" t="n">
        <f aca="true">TABLE(D$49,$B$29,$C57)</f>
        <v>-11752.7195270728</v>
      </c>
    </row>
    <row r="58" customFormat="false" ht="12.75" hidden="false" customHeight="false" outlineLevel="0" collapsed="false">
      <c r="C58" s="88" t="n">
        <v>0.18</v>
      </c>
      <c r="D58" s="89" t="n">
        <f aca="true">TABLE(D$49,$B$29,$C58)</f>
        <v>-18383.8539484304</v>
      </c>
    </row>
    <row r="59" customFormat="false" ht="12.75" hidden="false" customHeight="false" outlineLevel="0" collapsed="false">
      <c r="C59" s="88" t="n">
        <v>0.2</v>
      </c>
      <c r="D59" s="89" t="n">
        <f aca="true">TABLE(D$49,$B$29,$C59)</f>
        <v>-24526.8993055555</v>
      </c>
    </row>
    <row r="60" customFormat="false" ht="13.5" hidden="false" customHeight="false" outlineLevel="0" collapsed="false">
      <c r="C60" s="94" t="n">
        <v>0.22</v>
      </c>
      <c r="D60" s="95" t="n">
        <f aca="true">TABLE(D$49,$B$29,$C60)</f>
        <v>-30227.7402503092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M4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2" activeCellId="0" sqref="C32"/>
    </sheetView>
  </sheetViews>
  <sheetFormatPr defaultColWidth="8.55078125" defaultRowHeight="12.75" zeroHeight="false" outlineLevelRow="0" outlineLevelCol="0"/>
  <cols>
    <col collapsed="false" customWidth="true" hidden="false" outlineLevel="0" max="3" min="3" style="0" width="20.57"/>
    <col collapsed="false" customWidth="true" hidden="false" outlineLevel="0" max="13" min="13" style="0" width="35.14"/>
  </cols>
  <sheetData>
    <row r="1" customFormat="false" ht="12.75" hidden="false" customHeight="false" outlineLevel="0" collapsed="false">
      <c r="C1" s="0" t="s">
        <v>109</v>
      </c>
      <c r="M1" s="96" t="s">
        <v>110</v>
      </c>
    </row>
    <row r="2" customFormat="false" ht="12.75" hidden="false" customHeight="false" outlineLevel="0" collapsed="false">
      <c r="C2" s="0" t="s">
        <v>111</v>
      </c>
      <c r="M2" s="0" t="s">
        <v>112</v>
      </c>
    </row>
    <row r="3" customFormat="false" ht="12.75" hidden="false" customHeight="false" outlineLevel="0" collapsed="false">
      <c r="M3" s="9" t="s">
        <v>113</v>
      </c>
    </row>
    <row r="4" customFormat="false" ht="12.75" hidden="false" customHeight="false" outlineLevel="0" collapsed="false">
      <c r="M4" s="9" t="s">
        <v>114</v>
      </c>
    </row>
    <row r="5" customFormat="false" ht="12.75" hidden="false" customHeight="false" outlineLevel="0" collapsed="false">
      <c r="M5" s="0" t="s">
        <v>115</v>
      </c>
    </row>
    <row r="7" customFormat="false" ht="12.75" hidden="false" customHeight="false" outlineLevel="0" collapsed="false">
      <c r="M7" s="97" t="s">
        <v>116</v>
      </c>
    </row>
    <row r="8" customFormat="false" ht="12.75" hidden="false" customHeight="false" outlineLevel="0" collapsed="false">
      <c r="M8" s="9" t="s">
        <v>117</v>
      </c>
    </row>
    <row r="9" customFormat="false" ht="12.75" hidden="false" customHeight="false" outlineLevel="0" collapsed="false">
      <c r="M9" s="9" t="s">
        <v>118</v>
      </c>
    </row>
    <row r="10" customFormat="false" ht="12.75" hidden="false" customHeight="false" outlineLevel="0" collapsed="false">
      <c r="M10" s="9" t="s">
        <v>119</v>
      </c>
    </row>
    <row r="22" customFormat="false" ht="12.75" hidden="false" customHeight="false" outlineLevel="0" collapsed="false">
      <c r="C22" s="98"/>
    </row>
    <row r="30" customFormat="false" ht="12.75" hidden="false" customHeight="false" outlineLevel="0" collapsed="false">
      <c r="C30" s="0" t="s">
        <v>120</v>
      </c>
    </row>
    <row r="31" customFormat="false" ht="12.75" hidden="false" customHeight="false" outlineLevel="0" collapsed="false">
      <c r="C31" s="0" t="s">
        <v>121</v>
      </c>
    </row>
    <row r="47" customFormat="false" ht="13.5" hidden="false" customHeight="false" outlineLevel="0" collapsed="false"/>
    <row r="48" customFormat="false" ht="12.75" hidden="false" customHeight="false" outlineLevel="0" collapsed="false">
      <c r="C48" s="99" t="s">
        <v>122</v>
      </c>
      <c r="D48" s="100" t="n">
        <v>0</v>
      </c>
    </row>
    <row r="49" customFormat="false" ht="13.5" hidden="false" customHeight="false" outlineLevel="0" collapsed="false">
      <c r="C49" s="101" t="s">
        <v>123</v>
      </c>
      <c r="D49" s="102" t="n">
        <f aca="false">MONTEL!C42</f>
        <v>0.128010301002446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  <Company>UoM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2011-10-06T10:38:14Z</dcterms:created>
  <dc:creator>student</dc:creator>
  <dc:description/>
  <dc:language>el-GR</dc:language>
  <cp:lastModifiedBy/>
  <dcterms:modified xsi:type="dcterms:W3CDTF">2022-06-01T04:17:35Z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