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ominik\Documents\EA Games\Ishigami Village\"/>
    </mc:Choice>
  </mc:AlternateContent>
  <xr:revisionPtr revIDLastSave="0" documentId="13_ncr:1_{55C13BDD-B7D0-4E7E-805E-26E7CA30073D}" xr6:coauthVersionLast="47" xr6:coauthVersionMax="47" xr10:uidLastSave="{00000000-0000-0000-0000-000000000000}"/>
  <bookViews>
    <workbookView xWindow="28680" yWindow="-120" windowWidth="29040" windowHeight="15840" activeTab="1" xr2:uid="{4D69580D-AC5A-4492-8515-50A598F45A5D}"/>
  </bookViews>
  <sheets>
    <sheet name="Database" sheetId="5" r:id="rId1"/>
    <sheet name="Relatedness" sheetId="1" r:id="rId2"/>
    <sheet name="Rotation" sheetId="2" r:id="rId3"/>
    <sheet name="Birth Rate" sheetId="4" r:id="rId4"/>
    <sheet name="Names" sheetId="6" r:id="rId5"/>
    <sheet name="Genetics" sheetId="8" r:id="rId6"/>
    <sheet name="Aspiration" sheetId="9" r:id="rId7"/>
  </sheets>
  <definedNames>
    <definedName name="_xlchart.v1.0" hidden="1">Database!$F$2:$F$59</definedName>
  </definedNames>
  <calcPr calcId="191029"/>
  <pivotCaches>
    <pivotCache cacheId="3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4" l="1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34" i="5"/>
  <c r="C18" i="5"/>
  <c r="C35" i="5"/>
  <c r="C36" i="5"/>
  <c r="C19" i="5"/>
  <c r="C20" i="5"/>
  <c r="C21" i="5"/>
  <c r="C22" i="5"/>
  <c r="C23" i="5"/>
  <c r="C24" i="5"/>
  <c r="C25" i="5"/>
  <c r="C37" i="5"/>
  <c r="C26" i="5"/>
  <c r="C27" i="5"/>
  <c r="C28" i="5"/>
  <c r="C29" i="5"/>
  <c r="C30" i="5"/>
  <c r="C48" i="5"/>
  <c r="C49" i="5"/>
  <c r="C41" i="5"/>
  <c r="C31" i="5"/>
  <c r="C32" i="5"/>
  <c r="C42" i="5"/>
  <c r="C43" i="5"/>
  <c r="C50" i="5"/>
  <c r="C33" i="5"/>
  <c r="C51" i="5"/>
  <c r="C52" i="5"/>
  <c r="C44" i="5"/>
  <c r="C45" i="5"/>
  <c r="C53" i="5"/>
  <c r="C38" i="5"/>
  <c r="C54" i="5"/>
  <c r="C55" i="5"/>
  <c r="C39" i="5"/>
  <c r="C57" i="5"/>
  <c r="C58" i="5"/>
  <c r="C46" i="5"/>
  <c r="C56" i="5"/>
  <c r="C47" i="5"/>
  <c r="C40" i="5"/>
  <c r="C59" i="5"/>
  <c r="T21" i="2"/>
  <c r="T19" i="2"/>
  <c r="T20" i="2"/>
  <c r="W3" i="2"/>
  <c r="W4" i="2" s="1"/>
  <c r="W5" i="2" s="1"/>
  <c r="W6" i="2" s="1"/>
  <c r="W7" i="2" s="1"/>
  <c r="N5" i="4"/>
  <c r="N6" i="4"/>
  <c r="N7" i="4"/>
  <c r="N8" i="4"/>
  <c r="N9" i="4"/>
  <c r="N10" i="4"/>
  <c r="N4" i="4"/>
  <c r="N3" i="4"/>
  <c r="G46" i="2" l="1"/>
  <c r="H46" i="2" s="1"/>
  <c r="I46" i="2" s="1"/>
  <c r="G44" i="2"/>
  <c r="H44" i="2" s="1"/>
  <c r="I44" i="2" s="1"/>
  <c r="G15" i="2"/>
  <c r="H15" i="2" s="1"/>
  <c r="I15" i="2" s="1"/>
  <c r="G43" i="2"/>
  <c r="H43" i="2" s="1"/>
  <c r="I43" i="2" s="1"/>
  <c r="G42" i="2"/>
  <c r="H42" i="2" s="1"/>
  <c r="I42" i="2" s="1"/>
  <c r="G41" i="2"/>
  <c r="H41" i="2" s="1"/>
  <c r="I41" i="2" s="1"/>
  <c r="G40" i="2"/>
  <c r="H40" i="2" s="1"/>
  <c r="I40" i="2" s="1"/>
  <c r="G39" i="2"/>
  <c r="H39" i="2" s="1"/>
  <c r="I39" i="2" s="1"/>
  <c r="G38" i="2"/>
  <c r="H38" i="2" s="1"/>
  <c r="I38" i="2" s="1"/>
  <c r="G37" i="2"/>
  <c r="H37" i="2" s="1"/>
  <c r="I37" i="2" s="1"/>
  <c r="G36" i="2"/>
  <c r="H36" i="2" s="1"/>
  <c r="I36" i="2" s="1"/>
  <c r="G35" i="2"/>
  <c r="H35" i="2" s="1"/>
  <c r="I35" i="2" s="1"/>
  <c r="G34" i="2"/>
  <c r="H34" i="2" s="1"/>
  <c r="I34" i="2" s="1"/>
  <c r="G33" i="2"/>
  <c r="H33" i="2" s="1"/>
  <c r="I33" i="2" s="1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4" i="2"/>
  <c r="G13" i="2"/>
  <c r="G12" i="2"/>
  <c r="G11" i="2"/>
  <c r="G10" i="2"/>
  <c r="G9" i="2"/>
  <c r="G8" i="2"/>
  <c r="G7" i="2"/>
  <c r="G6" i="2"/>
  <c r="G5" i="2"/>
  <c r="G4" i="2"/>
  <c r="G3" i="2"/>
  <c r="G45" i="2"/>
  <c r="H45" i="2" s="1"/>
  <c r="I45" i="2" s="1"/>
  <c r="G2" i="2"/>
  <c r="F2" i="2"/>
  <c r="F45" i="2"/>
  <c r="F3" i="2"/>
  <c r="F4" i="2"/>
  <c r="F5" i="2"/>
  <c r="F6" i="2"/>
  <c r="F7" i="2"/>
  <c r="F8" i="2"/>
  <c r="F9" i="2"/>
  <c r="F10" i="2"/>
  <c r="F11" i="2"/>
  <c r="F12" i="2"/>
  <c r="F13" i="2"/>
  <c r="F14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15" i="2"/>
  <c r="F44" i="2"/>
  <c r="F46" i="2"/>
  <c r="L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34" i="5"/>
  <c r="L18" i="5"/>
  <c r="L35" i="5"/>
  <c r="L36" i="5"/>
  <c r="L19" i="5"/>
  <c r="L20" i="5"/>
  <c r="L21" i="5"/>
  <c r="L22" i="5"/>
  <c r="L23" i="5"/>
  <c r="L24" i="5"/>
  <c r="L25" i="5"/>
  <c r="L37" i="5"/>
  <c r="L26" i="5"/>
  <c r="L27" i="5"/>
  <c r="L28" i="5"/>
  <c r="L29" i="5"/>
  <c r="L30" i="5"/>
  <c r="L48" i="5"/>
  <c r="L49" i="5"/>
  <c r="L41" i="5"/>
  <c r="L31" i="5"/>
  <c r="L32" i="5"/>
  <c r="L42" i="5"/>
  <c r="L43" i="5"/>
  <c r="L50" i="5"/>
  <c r="L33" i="5"/>
  <c r="L51" i="5"/>
  <c r="L52" i="5"/>
  <c r="L44" i="5"/>
  <c r="L45" i="5"/>
  <c r="L53" i="5"/>
  <c r="L38" i="5"/>
  <c r="L54" i="5"/>
  <c r="L55" i="5"/>
  <c r="L39" i="5"/>
  <c r="L57" i="5"/>
  <c r="L58" i="5"/>
  <c r="L46" i="5"/>
  <c r="L56" i="5"/>
  <c r="L47" i="5"/>
  <c r="L40" i="5"/>
  <c r="L59" i="5"/>
  <c r="O2" i="2" l="1"/>
  <c r="M5" i="2" s="1" a="1"/>
  <c r="M5" i="2" s="1"/>
  <c r="K58" i="5"/>
  <c r="K57" i="5"/>
  <c r="K55" i="5"/>
  <c r="K54" i="5"/>
  <c r="K40" i="5"/>
  <c r="K38" i="5"/>
  <c r="K59" i="5"/>
  <c r="K39" i="5"/>
  <c r="K56" i="5"/>
  <c r="K46" i="5"/>
  <c r="AG29" i="1"/>
  <c r="AC32" i="1"/>
  <c r="AH29" i="1"/>
  <c r="AC31" i="1"/>
  <c r="AI29" i="1"/>
  <c r="AC30" i="1"/>
  <c r="AJ28" i="1"/>
  <c r="AB29" i="1"/>
  <c r="AC28" i="1"/>
  <c r="AC27" i="1"/>
  <c r="AJ26" i="1"/>
  <c r="AC26" i="1"/>
  <c r="AJ25" i="1"/>
  <c r="AC25" i="1"/>
  <c r="AJ24" i="1"/>
  <c r="AC24" i="1"/>
  <c r="AJ23" i="1"/>
  <c r="AC23" i="1"/>
  <c r="AJ22" i="1"/>
  <c r="AJ21" i="1"/>
  <c r="AC22" i="1"/>
  <c r="AC21" i="1"/>
  <c r="AJ20" i="1"/>
  <c r="AJ19" i="1"/>
  <c r="AC20" i="1"/>
  <c r="AC19" i="1"/>
  <c r="AJ18" i="1"/>
  <c r="AC18" i="1"/>
  <c r="AJ17" i="1"/>
  <c r="AC17" i="1"/>
  <c r="AJ16" i="1"/>
  <c r="AC16" i="1"/>
  <c r="AJ15" i="1"/>
  <c r="AC15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M36" i="1"/>
  <c r="AD29" i="1"/>
  <c r="AC29" i="1"/>
  <c r="Z29" i="1"/>
  <c r="AA29" i="1"/>
  <c r="Y29" i="1"/>
  <c r="AJ27" i="1"/>
  <c r="X29" i="1"/>
  <c r="W29" i="1"/>
  <c r="V29" i="1"/>
  <c r="U29" i="1"/>
  <c r="T29" i="1"/>
  <c r="S29" i="1"/>
  <c r="R29" i="1"/>
  <c r="Q29" i="1"/>
  <c r="P29" i="1"/>
  <c r="O29" i="1"/>
  <c r="M29" i="1"/>
  <c r="V11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30" i="1"/>
  <c r="AF31" i="1"/>
  <c r="AF32" i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H4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M34" i="1"/>
  <c r="AE33" i="1"/>
  <c r="AD33" i="1"/>
  <c r="AF29" i="1"/>
  <c r="AC33" i="1"/>
  <c r="AF28" i="1"/>
  <c r="AB33" i="1"/>
  <c r="Y33" i="1"/>
  <c r="AA33" i="1"/>
  <c r="Z33" i="1"/>
  <c r="AF27" i="1"/>
  <c r="X33" i="1"/>
  <c r="W33" i="1"/>
  <c r="V33" i="1"/>
  <c r="U33" i="1"/>
  <c r="T33" i="1"/>
  <c r="S33" i="1"/>
  <c r="R33" i="1"/>
  <c r="Q33" i="1"/>
  <c r="M33" i="1"/>
  <c r="AD31" i="1"/>
  <c r="AH28" i="1"/>
  <c r="AB31" i="1"/>
  <c r="AA31" i="1"/>
  <c r="Z31" i="1"/>
  <c r="Y31" i="1"/>
  <c r="AH27" i="1"/>
  <c r="X31" i="1"/>
  <c r="W31" i="1"/>
  <c r="V31" i="1"/>
  <c r="U31" i="1"/>
  <c r="T31" i="1"/>
  <c r="S31" i="1"/>
  <c r="R31" i="1"/>
  <c r="Q31" i="1"/>
  <c r="M31" i="1"/>
  <c r="W14" i="1"/>
  <c r="AA32" i="1"/>
  <c r="AA30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H30" i="2"/>
  <c r="I30" i="2" s="1"/>
  <c r="AK26" i="1"/>
  <c r="AB26" i="1"/>
  <c r="Z26" i="1"/>
  <c r="Y26" i="1"/>
  <c r="X26" i="1"/>
  <c r="W26" i="1"/>
  <c r="V26" i="1"/>
  <c r="U26" i="1"/>
  <c r="T26" i="1"/>
  <c r="S26" i="1"/>
  <c r="R26" i="1"/>
  <c r="Q26" i="1"/>
  <c r="P26" i="1"/>
  <c r="O26" i="1"/>
  <c r="M26" i="1"/>
  <c r="AD32" i="1"/>
  <c r="AD30" i="1"/>
  <c r="AD28" i="1"/>
  <c r="AD16" i="1"/>
  <c r="AD27" i="1"/>
  <c r="AD26" i="1"/>
  <c r="AD25" i="1"/>
  <c r="AD24" i="1"/>
  <c r="AD23" i="1"/>
  <c r="AD22" i="1"/>
  <c r="AD21" i="1"/>
  <c r="AD20" i="1"/>
  <c r="AD19" i="1"/>
  <c r="AD18" i="1"/>
  <c r="AD17" i="1"/>
  <c r="X35" i="1"/>
  <c r="AD15" i="1"/>
  <c r="N20" i="1"/>
  <c r="N19" i="1"/>
  <c r="H22" i="2"/>
  <c r="I22" i="2" s="1"/>
  <c r="H23" i="2"/>
  <c r="I23" i="2" s="1"/>
  <c r="AB17" i="1"/>
  <c r="AB18" i="1"/>
  <c r="AB23" i="1"/>
  <c r="Z37" i="1"/>
  <c r="V37" i="1"/>
  <c r="U37" i="1"/>
  <c r="T37" i="1"/>
  <c r="M37" i="1"/>
  <c r="M28" i="1"/>
  <c r="L37" i="1"/>
  <c r="K37" i="1"/>
  <c r="AK23" i="1"/>
  <c r="AK18" i="1"/>
  <c r="AK17" i="1"/>
  <c r="Z28" i="1"/>
  <c r="V28" i="1"/>
  <c r="U28" i="1"/>
  <c r="T28" i="1"/>
  <c r="L28" i="1"/>
  <c r="K28" i="1"/>
  <c r="M32" i="1"/>
  <c r="AG27" i="1"/>
  <c r="AG28" i="1"/>
  <c r="AB32" i="1"/>
  <c r="Z32" i="1"/>
  <c r="Y32" i="1"/>
  <c r="X32" i="1"/>
  <c r="W32" i="1"/>
  <c r="U32" i="1"/>
  <c r="T32" i="1"/>
  <c r="V32" i="1"/>
  <c r="S32" i="1"/>
  <c r="R32" i="1"/>
  <c r="Q32" i="1"/>
  <c r="H17" i="2"/>
  <c r="I17" i="2" s="1"/>
  <c r="AI28" i="1"/>
  <c r="AI27" i="1"/>
  <c r="AB30" i="1"/>
  <c r="Z30" i="1"/>
  <c r="Y30" i="1"/>
  <c r="X30" i="1"/>
  <c r="W30" i="1"/>
  <c r="V30" i="1"/>
  <c r="U30" i="1"/>
  <c r="T30" i="1"/>
  <c r="S30" i="1"/>
  <c r="R30" i="1"/>
  <c r="Q30" i="1"/>
  <c r="AI17" i="1"/>
  <c r="P30" i="1"/>
  <c r="M30" i="1"/>
  <c r="H12" i="2"/>
  <c r="I12" i="2" s="1"/>
  <c r="AB27" i="1"/>
  <c r="AK27" i="1"/>
  <c r="AB25" i="1"/>
  <c r="AK25" i="1"/>
  <c r="AB24" i="1"/>
  <c r="AK24" i="1"/>
  <c r="AB22" i="1"/>
  <c r="AB21" i="1"/>
  <c r="AK21" i="1"/>
  <c r="AB20" i="1"/>
  <c r="AB19" i="1"/>
  <c r="AK19" i="1"/>
  <c r="AB16" i="1"/>
  <c r="AK16" i="1"/>
  <c r="AB15" i="1"/>
  <c r="AK15" i="1"/>
  <c r="Y37" i="1"/>
  <c r="Y28" i="1"/>
  <c r="X37" i="1"/>
  <c r="X28" i="1"/>
  <c r="W37" i="1"/>
  <c r="W28" i="1"/>
  <c r="S37" i="1"/>
  <c r="R37" i="1"/>
  <c r="Q37" i="1"/>
  <c r="AK22" i="1"/>
  <c r="AK20" i="1"/>
  <c r="AB28" i="1"/>
  <c r="S28" i="1"/>
  <c r="R28" i="1"/>
  <c r="Q28" i="1"/>
  <c r="H5" i="2"/>
  <c r="I5" i="2" s="1"/>
  <c r="H6" i="2"/>
  <c r="I6" i="2" s="1"/>
  <c r="K42" i="1"/>
  <c r="K46" i="1"/>
  <c r="K47" i="1"/>
  <c r="K49" i="1"/>
  <c r="K51" i="1"/>
  <c r="Q39" i="1"/>
  <c r="Q40" i="1"/>
  <c r="Q42" i="1"/>
  <c r="Q43" i="1"/>
  <c r="Q44" i="1"/>
  <c r="Q46" i="1"/>
  <c r="Q47" i="1"/>
  <c r="P48" i="1"/>
  <c r="N48" i="1"/>
  <c r="K48" i="1"/>
  <c r="J48" i="1"/>
  <c r="X39" i="1"/>
  <c r="Z27" i="1"/>
  <c r="Z25" i="1"/>
  <c r="Z24" i="1"/>
  <c r="Z23" i="1"/>
  <c r="Z22" i="1"/>
  <c r="Z21" i="1"/>
  <c r="Z20" i="1"/>
  <c r="Z19" i="1"/>
  <c r="Z18" i="1"/>
  <c r="Z17" i="1"/>
  <c r="Z12" i="1"/>
  <c r="Z11" i="1"/>
  <c r="P39" i="1"/>
  <c r="X40" i="1"/>
  <c r="Z16" i="1"/>
  <c r="Z15" i="1"/>
  <c r="Y27" i="1"/>
  <c r="Y25" i="1"/>
  <c r="Y24" i="1"/>
  <c r="Y23" i="1"/>
  <c r="Y22" i="1"/>
  <c r="Y21" i="1"/>
  <c r="Y20" i="1"/>
  <c r="Y19" i="1"/>
  <c r="Y18" i="1"/>
  <c r="Y17" i="1"/>
  <c r="Y16" i="1"/>
  <c r="Y15" i="1"/>
  <c r="H11" i="2"/>
  <c r="I11" i="2" s="1"/>
  <c r="AN20" i="1"/>
  <c r="AN19" i="1"/>
  <c r="AO19" i="1"/>
  <c r="AP19" i="1"/>
  <c r="AO20" i="1"/>
  <c r="AP20" i="1"/>
  <c r="AQ20" i="1"/>
  <c r="AQ19" i="1"/>
  <c r="AR19" i="1"/>
  <c r="AR20" i="1"/>
  <c r="AT17" i="1"/>
  <c r="AS17" i="1"/>
  <c r="T42" i="1"/>
  <c r="T43" i="1"/>
  <c r="T44" i="1"/>
  <c r="S45" i="1"/>
  <c r="R45" i="1"/>
  <c r="Q45" i="1"/>
  <c r="P45" i="1"/>
  <c r="N45" i="1"/>
  <c r="J45" i="1"/>
  <c r="I45" i="1"/>
  <c r="P2" i="2" l="1"/>
  <c r="Q2" i="2" s="1"/>
  <c r="R2" i="2" s="1"/>
  <c r="AN18" i="1"/>
  <c r="AO18" i="1"/>
  <c r="AP18" i="1"/>
  <c r="AQ18" i="1"/>
  <c r="AR18" i="1"/>
  <c r="AS18" i="1"/>
  <c r="AT18" i="1"/>
  <c r="AU17" i="1"/>
  <c r="AU16" i="1"/>
  <c r="AU14" i="1"/>
  <c r="AU12" i="1"/>
  <c r="AU11" i="1"/>
  <c r="W27" i="1"/>
  <c r="W24" i="1"/>
  <c r="W23" i="1"/>
  <c r="W22" i="1"/>
  <c r="W21" i="1"/>
  <c r="W20" i="1"/>
  <c r="W19" i="1"/>
  <c r="AL25" i="1"/>
  <c r="W18" i="1"/>
  <c r="W17" i="1"/>
  <c r="W16" i="1"/>
  <c r="W15" i="1"/>
  <c r="W11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H8" i="2"/>
  <c r="I8" i="2" s="1"/>
  <c r="H9" i="2"/>
  <c r="I9" i="2" s="1"/>
  <c r="H10" i="2"/>
  <c r="I10" i="2" s="1"/>
  <c r="H24" i="2"/>
  <c r="I24" i="2" s="1"/>
  <c r="H25" i="2"/>
  <c r="I25" i="2" s="1"/>
  <c r="H26" i="2"/>
  <c r="I26" i="2" s="1"/>
  <c r="H27" i="2"/>
  <c r="I27" i="2" s="1"/>
  <c r="H28" i="2"/>
  <c r="I28" i="2" s="1"/>
  <c r="H29" i="2"/>
  <c r="I29" i="2" s="1"/>
  <c r="H13" i="2"/>
  <c r="I13" i="2" s="1"/>
  <c r="H14" i="2"/>
  <c r="I14" i="2" s="1"/>
  <c r="H16" i="2"/>
  <c r="I16" i="2" s="1"/>
  <c r="H2" i="2"/>
  <c r="I2" i="2" s="1"/>
  <c r="H3" i="2"/>
  <c r="I3" i="2" s="1"/>
  <c r="H4" i="2"/>
  <c r="I4" i="2" s="1"/>
  <c r="H31" i="2"/>
  <c r="I31" i="2" s="1"/>
  <c r="H32" i="2"/>
  <c r="I32" i="2" s="1"/>
  <c r="H18" i="2"/>
  <c r="I18" i="2" s="1"/>
  <c r="H19" i="2"/>
  <c r="I19" i="2" s="1"/>
  <c r="H20" i="2"/>
  <c r="I20" i="2" s="1"/>
  <c r="H21" i="2"/>
  <c r="I21" i="2" s="1"/>
  <c r="H7" i="2"/>
  <c r="I7" i="2" s="1"/>
  <c r="S2" i="2" l="1"/>
  <c r="M12" i="2" s="1" a="1"/>
  <c r="U9" i="1"/>
  <c r="T9" i="1"/>
  <c r="X9" i="1"/>
  <c r="Q9" i="1"/>
  <c r="S9" i="1"/>
  <c r="R9" i="1"/>
  <c r="O9" i="1"/>
  <c r="M9" i="1"/>
  <c r="K9" i="1"/>
  <c r="L9" i="1"/>
  <c r="U8" i="1"/>
  <c r="X8" i="1"/>
  <c r="Q8" i="1"/>
  <c r="P8" i="1"/>
  <c r="N8" i="1"/>
  <c r="M8" i="1"/>
  <c r="L8" i="1"/>
  <c r="X6" i="1"/>
  <c r="V5" i="1"/>
  <c r="U5" i="1"/>
  <c r="T5" i="1"/>
  <c r="X5" i="1"/>
  <c r="F24" i="1"/>
  <c r="E24" i="1"/>
  <c r="F27" i="1"/>
  <c r="E27" i="1"/>
  <c r="C27" i="1"/>
  <c r="F23" i="1"/>
  <c r="F22" i="1"/>
  <c r="F21" i="1"/>
  <c r="F18" i="1"/>
  <c r="F20" i="1"/>
  <c r="F19" i="1"/>
  <c r="F16" i="1"/>
  <c r="F15" i="1"/>
  <c r="H15" i="1"/>
  <c r="H16" i="1"/>
  <c r="H17" i="1"/>
  <c r="H19" i="1"/>
  <c r="H20" i="1"/>
  <c r="H18" i="1"/>
  <c r="H23" i="1"/>
  <c r="H27" i="1"/>
  <c r="H24" i="1"/>
  <c r="I46" i="1"/>
  <c r="I47" i="1"/>
  <c r="I49" i="1"/>
  <c r="I51" i="1"/>
  <c r="AO15" i="1"/>
  <c r="AP15" i="1"/>
  <c r="AQ15" i="1"/>
  <c r="AR15" i="1"/>
  <c r="AU15" i="1"/>
  <c r="AW15" i="1"/>
  <c r="AX14" i="1"/>
  <c r="AX11" i="1"/>
  <c r="AX12" i="1"/>
  <c r="V14" i="1"/>
  <c r="V15" i="1"/>
  <c r="V16" i="1"/>
  <c r="V17" i="1"/>
  <c r="V19" i="1"/>
  <c r="V20" i="1"/>
  <c r="V18" i="1"/>
  <c r="V21" i="1"/>
  <c r="V22" i="1"/>
  <c r="V23" i="1"/>
  <c r="V27" i="1"/>
  <c r="V24" i="1"/>
  <c r="AY9" i="1"/>
  <c r="G44" i="1"/>
  <c r="G45" i="1"/>
  <c r="G46" i="1"/>
  <c r="G47" i="1"/>
  <c r="G51" i="1"/>
  <c r="G55" i="1"/>
  <c r="AV16" i="1"/>
  <c r="AV15" i="1"/>
  <c r="AV14" i="1"/>
  <c r="AW11" i="1"/>
  <c r="AV9" i="1"/>
  <c r="O44" i="1"/>
  <c r="O45" i="1"/>
  <c r="O48" i="1"/>
  <c r="O49" i="1"/>
  <c r="O46" i="1"/>
  <c r="O47" i="1"/>
  <c r="N50" i="1"/>
  <c r="K50" i="1"/>
  <c r="J50" i="1"/>
  <c r="I50" i="1"/>
  <c r="G50" i="1"/>
  <c r="L44" i="1"/>
  <c r="L45" i="1"/>
  <c r="L48" i="1"/>
  <c r="L46" i="1"/>
  <c r="L47" i="1"/>
  <c r="L49" i="1"/>
  <c r="L51" i="1"/>
  <c r="L50" i="1"/>
  <c r="K53" i="1"/>
  <c r="J53" i="1"/>
  <c r="I53" i="1"/>
  <c r="G53" i="1"/>
  <c r="J54" i="1"/>
  <c r="G54" i="1"/>
  <c r="F44" i="1"/>
  <c r="F45" i="1"/>
  <c r="F48" i="1"/>
  <c r="F46" i="1"/>
  <c r="F47" i="1"/>
  <c r="F49" i="1"/>
  <c r="F51" i="1"/>
  <c r="F53" i="1"/>
  <c r="M44" i="1"/>
  <c r="M45" i="1"/>
  <c r="M48" i="1"/>
  <c r="M46" i="1"/>
  <c r="M47" i="1"/>
  <c r="M49" i="1"/>
  <c r="M50" i="1"/>
  <c r="M51" i="1"/>
  <c r="K52" i="1"/>
  <c r="L52" i="1"/>
  <c r="G52" i="1"/>
  <c r="F52" i="1"/>
  <c r="AO10" i="1"/>
  <c r="AP10" i="1"/>
  <c r="AQ10" i="1"/>
  <c r="AR10" i="1"/>
  <c r="AU10" i="1"/>
  <c r="AV10" i="1"/>
  <c r="AW10" i="1"/>
  <c r="AY10" i="1"/>
  <c r="BA10" i="1"/>
  <c r="E41" i="1"/>
  <c r="AL6" i="1"/>
  <c r="C44" i="1"/>
  <c r="C45" i="1"/>
  <c r="C41" i="1"/>
  <c r="AO7" i="1"/>
  <c r="AL5" i="1"/>
  <c r="AS16" i="1"/>
  <c r="AS15" i="1"/>
  <c r="AS14" i="1"/>
  <c r="AS10" i="1"/>
  <c r="AS11" i="1"/>
  <c r="M24" i="1"/>
  <c r="K24" i="1"/>
  <c r="L24" i="1"/>
  <c r="J24" i="1"/>
  <c r="I24" i="1"/>
  <c r="G24" i="1"/>
  <c r="AO13" i="1"/>
  <c r="M41" i="1"/>
  <c r="M27" i="1"/>
  <c r="K41" i="1"/>
  <c r="K27" i="1"/>
  <c r="L41" i="1"/>
  <c r="L27" i="1"/>
  <c r="J41" i="1"/>
  <c r="J27" i="1"/>
  <c r="G41" i="1"/>
  <c r="G27" i="1"/>
  <c r="F41" i="1"/>
  <c r="M21" i="1"/>
  <c r="U24" i="1"/>
  <c r="U41" i="1"/>
  <c r="U27" i="1"/>
  <c r="U22" i="1"/>
  <c r="U21" i="1"/>
  <c r="U20" i="1"/>
  <c r="U19" i="1"/>
  <c r="U15" i="1"/>
  <c r="U14" i="1"/>
  <c r="U11" i="1"/>
  <c r="U12" i="1"/>
  <c r="T24" i="1"/>
  <c r="T41" i="1"/>
  <c r="T27" i="1"/>
  <c r="T22" i="1"/>
  <c r="T21" i="1"/>
  <c r="T20" i="1"/>
  <c r="T19" i="1"/>
  <c r="T15" i="1"/>
  <c r="T14" i="1"/>
  <c r="T11" i="1"/>
  <c r="T12" i="1"/>
  <c r="AL24" i="1"/>
  <c r="X24" i="1"/>
  <c r="AL22" i="1"/>
  <c r="AL21" i="1"/>
  <c r="X22" i="1"/>
  <c r="X21" i="1"/>
  <c r="AL20" i="1"/>
  <c r="AL19" i="1"/>
  <c r="X20" i="1"/>
  <c r="X19" i="1"/>
  <c r="AL14" i="1"/>
  <c r="X14" i="1"/>
  <c r="AL17" i="1"/>
  <c r="AL11" i="1"/>
  <c r="AL10" i="1"/>
  <c r="AL12" i="1"/>
  <c r="AL9" i="1"/>
  <c r="AL8" i="1"/>
  <c r="X11" i="1"/>
  <c r="X12" i="1"/>
  <c r="Q24" i="1"/>
  <c r="Q22" i="1"/>
  <c r="Q21" i="1"/>
  <c r="Q20" i="1"/>
  <c r="Q19" i="1"/>
  <c r="Q41" i="1"/>
  <c r="Q27" i="1"/>
  <c r="Q15" i="1"/>
  <c r="Q14" i="1"/>
  <c r="S24" i="1"/>
  <c r="R24" i="1"/>
  <c r="S41" i="1"/>
  <c r="S27" i="1"/>
  <c r="R41" i="1"/>
  <c r="R27" i="1"/>
  <c r="R22" i="1"/>
  <c r="S22" i="1"/>
  <c r="S21" i="1"/>
  <c r="R21" i="1"/>
  <c r="S15" i="1"/>
  <c r="R15" i="1"/>
  <c r="S14" i="1"/>
  <c r="R14" i="1"/>
  <c r="P24" i="1"/>
  <c r="P41" i="1"/>
  <c r="P27" i="1"/>
  <c r="P15" i="1"/>
  <c r="P14" i="1"/>
  <c r="N24" i="1"/>
  <c r="N41" i="1"/>
  <c r="N27" i="1"/>
  <c r="N15" i="1"/>
  <c r="N14" i="1"/>
  <c r="U10" i="1"/>
  <c r="T10" i="1"/>
  <c r="X10" i="1"/>
  <c r="U23" i="1"/>
  <c r="T23" i="1"/>
  <c r="AL23" i="1"/>
  <c r="X23" i="1"/>
  <c r="Q23" i="1"/>
  <c r="S23" i="1"/>
  <c r="R23" i="1"/>
  <c r="P23" i="1"/>
  <c r="N23" i="1"/>
  <c r="M23" i="1"/>
  <c r="K23" i="1"/>
  <c r="L23" i="1"/>
  <c r="O24" i="1"/>
  <c r="O41" i="1"/>
  <c r="O27" i="1"/>
  <c r="O23" i="1"/>
  <c r="U18" i="1"/>
  <c r="T18" i="1"/>
  <c r="AL18" i="1"/>
  <c r="X18" i="1"/>
  <c r="Q18" i="1"/>
  <c r="S18" i="1"/>
  <c r="R18" i="1"/>
  <c r="P18" i="1"/>
  <c r="N18" i="1"/>
  <c r="O18" i="1"/>
  <c r="M18" i="1"/>
  <c r="K18" i="1"/>
  <c r="L18" i="1"/>
  <c r="U17" i="1"/>
  <c r="T17" i="1"/>
  <c r="X17" i="1"/>
  <c r="Q17" i="1"/>
  <c r="S17" i="1"/>
  <c r="R17" i="1"/>
  <c r="N17" i="1"/>
  <c r="O17" i="1"/>
  <c r="M17" i="1"/>
  <c r="K17" i="1"/>
  <c r="L17" i="1"/>
  <c r="Q11" i="1"/>
  <c r="N16" i="1"/>
  <c r="Q12" i="1"/>
  <c r="S11" i="1"/>
  <c r="R11" i="1"/>
  <c r="S12" i="1"/>
  <c r="R12" i="1"/>
  <c r="P10" i="1"/>
  <c r="N11" i="1"/>
  <c r="N10" i="1"/>
  <c r="N12" i="1"/>
  <c r="I23" i="1"/>
  <c r="I18" i="1"/>
  <c r="I17" i="1"/>
  <c r="J23" i="1"/>
  <c r="J17" i="1"/>
  <c r="G23" i="1"/>
  <c r="G18" i="1"/>
  <c r="G17" i="1"/>
  <c r="AP13" i="1"/>
  <c r="AS19" i="1"/>
  <c r="S20" i="1"/>
  <c r="R20" i="1"/>
  <c r="P20" i="1"/>
  <c r="O20" i="1"/>
  <c r="M20" i="1"/>
  <c r="K20" i="1"/>
  <c r="L20" i="1"/>
  <c r="L19" i="1"/>
  <c r="J20" i="1"/>
  <c r="I20" i="1"/>
  <c r="BA11" i="1"/>
  <c r="U16" i="1"/>
  <c r="T16" i="1"/>
  <c r="AL16" i="1"/>
  <c r="X16" i="1"/>
  <c r="Q16" i="1"/>
  <c r="S16" i="1"/>
  <c r="R16" i="1"/>
  <c r="P16" i="1"/>
  <c r="O16" i="1"/>
  <c r="M16" i="1"/>
  <c r="K16" i="1"/>
  <c r="L16" i="1"/>
  <c r="J16" i="1"/>
  <c r="I16" i="1"/>
  <c r="AZ11" i="1"/>
  <c r="I11" i="1"/>
  <c r="I12" i="1"/>
  <c r="AT11" i="1"/>
  <c r="S19" i="1"/>
  <c r="R19" i="1"/>
  <c r="P19" i="1"/>
  <c r="AT16" i="1"/>
  <c r="AT15" i="1"/>
  <c r="O19" i="1"/>
  <c r="M19" i="1"/>
  <c r="K19" i="1"/>
  <c r="AT14" i="1"/>
  <c r="J19" i="1"/>
  <c r="I19" i="1"/>
  <c r="AT10" i="1"/>
  <c r="U13" i="1"/>
  <c r="H45" i="1"/>
  <c r="T13" i="1"/>
  <c r="H41" i="1"/>
  <c r="AL13" i="1"/>
  <c r="H48" i="1"/>
  <c r="AS13" i="1"/>
  <c r="AV13" i="1"/>
  <c r="AW13" i="1"/>
  <c r="AT13" i="1"/>
  <c r="X13" i="1"/>
  <c r="H49" i="1"/>
  <c r="P13" i="1"/>
  <c r="Q13" i="1"/>
  <c r="N13" i="1"/>
  <c r="O15" i="1"/>
  <c r="M15" i="1"/>
  <c r="K15" i="1"/>
  <c r="J15" i="1"/>
  <c r="L15" i="1"/>
  <c r="O14" i="1"/>
  <c r="O10" i="1"/>
  <c r="O13" i="1"/>
  <c r="M13" i="1"/>
  <c r="O22" i="1"/>
  <c r="O21" i="1"/>
  <c r="M22" i="1"/>
  <c r="L22" i="1"/>
  <c r="L21" i="1"/>
  <c r="K22" i="1"/>
  <c r="K21" i="1"/>
  <c r="I22" i="1"/>
  <c r="I21" i="1"/>
  <c r="G21" i="1"/>
  <c r="G22" i="1"/>
  <c r="M14" i="1"/>
  <c r="M11" i="1"/>
  <c r="M12" i="1"/>
  <c r="K14" i="1"/>
  <c r="K10" i="1"/>
  <c r="K13" i="1"/>
  <c r="L14" i="1"/>
  <c r="L11" i="1"/>
  <c r="L12" i="1"/>
  <c r="J14" i="1"/>
  <c r="I14" i="1"/>
  <c r="G14" i="1"/>
  <c r="M12" i="2" l="1"/>
  <c r="T15" i="2"/>
  <c r="T16" i="2"/>
  <c r="T18" i="2"/>
  <c r="T17" i="2"/>
  <c r="T14" i="2"/>
  <c r="T12" i="2"/>
  <c r="T1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<sst xmlns="http://schemas.openxmlformats.org/spreadsheetml/2006/main" count="826" uniqueCount="321">
  <si>
    <t>Ishigami Village Pairings</t>
  </si>
  <si>
    <t>Sim</t>
  </si>
  <si>
    <t>Noah</t>
  </si>
  <si>
    <t>Brandon</t>
  </si>
  <si>
    <t>Jonah</t>
  </si>
  <si>
    <t>Riku</t>
  </si>
  <si>
    <t>Arseny</t>
  </si>
  <si>
    <t>Eva</t>
  </si>
  <si>
    <t>Pavel</t>
  </si>
  <si>
    <t>Luna</t>
  </si>
  <si>
    <t>Suzu</t>
  </si>
  <si>
    <t>Haruto</t>
  </si>
  <si>
    <t>Jasper</t>
  </si>
  <si>
    <t>Tetsuken</t>
  </si>
  <si>
    <t>Seido</t>
  </si>
  <si>
    <t>Carbo</t>
  </si>
  <si>
    <t>Lapis</t>
  </si>
  <si>
    <t>Lazuli</t>
  </si>
  <si>
    <t>Magma</t>
  </si>
  <si>
    <t>Ken'Ichi</t>
  </si>
  <si>
    <t>G3</t>
  </si>
  <si>
    <t>Kinro</t>
  </si>
  <si>
    <t>Ginro</t>
  </si>
  <si>
    <t>Chik.</t>
  </si>
  <si>
    <t>Hika.</t>
  </si>
  <si>
    <t>Miyu.</t>
  </si>
  <si>
    <t>Sofi.</t>
  </si>
  <si>
    <t>Juli.</t>
  </si>
  <si>
    <t>Saku.</t>
  </si>
  <si>
    <t>Zina.</t>
  </si>
  <si>
    <t>Amet.</t>
  </si>
  <si>
    <t>Koha.</t>
  </si>
  <si>
    <t>Sang.</t>
  </si>
  <si>
    <t>Sulf.</t>
  </si>
  <si>
    <t>Varv.</t>
  </si>
  <si>
    <t>Saor.</t>
  </si>
  <si>
    <t>Garn.</t>
  </si>
  <si>
    <t>Nove.</t>
  </si>
  <si>
    <t>Haru.</t>
  </si>
  <si>
    <t>Jasp.</t>
  </si>
  <si>
    <t>Tets.</t>
  </si>
  <si>
    <t>Carb.</t>
  </si>
  <si>
    <t>Lapi.</t>
  </si>
  <si>
    <t>Lazu.</t>
  </si>
  <si>
    <t>Magm.</t>
  </si>
  <si>
    <t>Bran.</t>
  </si>
  <si>
    <t>Jona.</t>
  </si>
  <si>
    <t>Arse.</t>
  </si>
  <si>
    <t>Pave.</t>
  </si>
  <si>
    <t>Seid.</t>
  </si>
  <si>
    <t>Ginr.</t>
  </si>
  <si>
    <t>Ken'.</t>
  </si>
  <si>
    <t>Kinr.</t>
  </si>
  <si>
    <t>Byak.</t>
  </si>
  <si>
    <t>Sham.</t>
  </si>
  <si>
    <t>Yako.</t>
  </si>
  <si>
    <t>Lill.</t>
  </si>
  <si>
    <t>Conn.</t>
  </si>
  <si>
    <t>Dary.</t>
  </si>
  <si>
    <t>Generation</t>
  </si>
  <si>
    <t>Alum.</t>
  </si>
  <si>
    <t>G2</t>
  </si>
  <si>
    <t>Household</t>
  </si>
  <si>
    <t>Name</t>
  </si>
  <si>
    <t>Lifestage</t>
  </si>
  <si>
    <t>Age</t>
  </si>
  <si>
    <t>Year</t>
  </si>
  <si>
    <t>Goals</t>
  </si>
  <si>
    <t>Hikari</t>
  </si>
  <si>
    <t>Adult</t>
  </si>
  <si>
    <t>Julia</t>
  </si>
  <si>
    <t>Zinaida</t>
  </si>
  <si>
    <t>Teen</t>
  </si>
  <si>
    <t>Kohaku</t>
  </si>
  <si>
    <t>Sango</t>
  </si>
  <si>
    <t>Child</t>
  </si>
  <si>
    <t>Saori</t>
  </si>
  <si>
    <t>Garnet</t>
  </si>
  <si>
    <t>Baby</t>
  </si>
  <si>
    <t>Sofia</t>
  </si>
  <si>
    <t>Sulfina</t>
  </si>
  <si>
    <t>Varvara</t>
  </si>
  <si>
    <t>Sakura</t>
  </si>
  <si>
    <t>Alumi</t>
  </si>
  <si>
    <t>Miyuki</t>
  </si>
  <si>
    <t>Amethyst</t>
  </si>
  <si>
    <t>Toddler</t>
  </si>
  <si>
    <t>Ishigami</t>
  </si>
  <si>
    <t>Lee</t>
  </si>
  <si>
    <t>Nikitina</t>
  </si>
  <si>
    <t>Volkov</t>
  </si>
  <si>
    <t>Byakuya</t>
  </si>
  <si>
    <t>Connie</t>
  </si>
  <si>
    <t>Darya</t>
  </si>
  <si>
    <t>Lillian</t>
  </si>
  <si>
    <t>Hagane</t>
  </si>
  <si>
    <t>Turquoise</t>
  </si>
  <si>
    <t>Haga.</t>
  </si>
  <si>
    <t>Turq.</t>
  </si>
  <si>
    <t>Yakov</t>
  </si>
  <si>
    <t>Shamil</t>
  </si>
  <si>
    <t>Children</t>
  </si>
  <si>
    <t>Novel</t>
  </si>
  <si>
    <t>Chika</t>
  </si>
  <si>
    <t>Baby with Tetsuken</t>
  </si>
  <si>
    <t>Baby with Luna</t>
  </si>
  <si>
    <t>Elder</t>
  </si>
  <si>
    <t>Dead</t>
  </si>
  <si>
    <t>Tourmaline</t>
  </si>
  <si>
    <t>Shirogane</t>
  </si>
  <si>
    <t>Shir.</t>
  </si>
  <si>
    <t>Gender</t>
  </si>
  <si>
    <t>female</t>
  </si>
  <si>
    <t>male</t>
  </si>
  <si>
    <t>Unmo</t>
  </si>
  <si>
    <t>Mica</t>
  </si>
  <si>
    <t>Born</t>
  </si>
  <si>
    <t>G1</t>
  </si>
  <si>
    <t>Gen</t>
  </si>
  <si>
    <t>Agat</t>
  </si>
  <si>
    <t>G4</t>
  </si>
  <si>
    <t>Note</t>
  </si>
  <si>
    <t>Kokuyo</t>
  </si>
  <si>
    <t>Koku.</t>
  </si>
  <si>
    <t>Ganen</t>
  </si>
  <si>
    <t>En</t>
  </si>
  <si>
    <t>G4x</t>
  </si>
  <si>
    <t>G3-</t>
  </si>
  <si>
    <t>G4-</t>
  </si>
  <si>
    <t>G4x-</t>
  </si>
  <si>
    <t>G4y-</t>
  </si>
  <si>
    <t>Baby with Haruto</t>
  </si>
  <si>
    <t>Topaz</t>
  </si>
  <si>
    <t>Topa.</t>
  </si>
  <si>
    <t>move out</t>
  </si>
  <si>
    <t>Nitro</t>
  </si>
  <si>
    <t>Nitr.</t>
  </si>
  <si>
    <t>Tour.</t>
  </si>
  <si>
    <t>Sagan</t>
  </si>
  <si>
    <t>Lithia</t>
  </si>
  <si>
    <t>Apatite</t>
  </si>
  <si>
    <t>Azura</t>
  </si>
  <si>
    <t>Azur.</t>
  </si>
  <si>
    <t>Lith.</t>
  </si>
  <si>
    <t>Saga.</t>
  </si>
  <si>
    <t>Apat.</t>
  </si>
  <si>
    <t>Gane.</t>
  </si>
  <si>
    <t>B</t>
  </si>
  <si>
    <t>S</t>
  </si>
  <si>
    <t>Y</t>
  </si>
  <si>
    <t>C</t>
  </si>
  <si>
    <t>L</t>
  </si>
  <si>
    <t>Nov</t>
  </si>
  <si>
    <t>Rik</t>
  </si>
  <si>
    <t>Jon</t>
  </si>
  <si>
    <t>Bra</t>
  </si>
  <si>
    <t>Ars</t>
  </si>
  <si>
    <t>D</t>
  </si>
  <si>
    <t>Chi</t>
  </si>
  <si>
    <t>Miy</t>
  </si>
  <si>
    <t>Hik</t>
  </si>
  <si>
    <t>Sof</t>
  </si>
  <si>
    <t>File ID</t>
  </si>
  <si>
    <t>Consanguinity</t>
  </si>
  <si>
    <t>Mother</t>
  </si>
  <si>
    <t>Father</t>
  </si>
  <si>
    <t>Grand Total</t>
  </si>
  <si>
    <t>Avg Consanguinity</t>
  </si>
  <si>
    <t>Avg Children</t>
  </si>
  <si>
    <t>Status</t>
  </si>
  <si>
    <t>Count</t>
  </si>
  <si>
    <t>Abreviation</t>
  </si>
  <si>
    <t>Gernder</t>
  </si>
  <si>
    <t>earliest</t>
  </si>
  <si>
    <t>latest</t>
  </si>
  <si>
    <t>Match</t>
  </si>
  <si>
    <t>Relatedness</t>
  </si>
  <si>
    <t>Male</t>
  </si>
  <si>
    <t>Female</t>
  </si>
  <si>
    <t>Mantle</t>
  </si>
  <si>
    <t>Beryl</t>
  </si>
  <si>
    <t>Argo</t>
  </si>
  <si>
    <t>Natri</t>
  </si>
  <si>
    <t>Kaseki (fossil)</t>
  </si>
  <si>
    <t>Titan</t>
  </si>
  <si>
    <t>Chrome</t>
  </si>
  <si>
    <t>Bronce</t>
  </si>
  <si>
    <t>Kunzite</t>
  </si>
  <si>
    <t>Zoisite</t>
  </si>
  <si>
    <t>Peridot</t>
  </si>
  <si>
    <t>Alabaster (white)</t>
  </si>
  <si>
    <t>Namari (lead)</t>
  </si>
  <si>
    <t>Kujaku (green malachite)</t>
  </si>
  <si>
    <t>Dia</t>
  </si>
  <si>
    <t>Ruby</t>
  </si>
  <si>
    <t>Sapphire</t>
  </si>
  <si>
    <t>Emerald</t>
  </si>
  <si>
    <t>Jade</t>
  </si>
  <si>
    <t>Spinel</t>
  </si>
  <si>
    <t>Flourite</t>
  </si>
  <si>
    <t>Ametrine</t>
  </si>
  <si>
    <t>Padparadscha</t>
  </si>
  <si>
    <t>Alien</t>
  </si>
  <si>
    <t>12d4f3e1-fdbe-4fe7-ace3-46dd9ff52b51</t>
  </si>
  <si>
    <t>Brown</t>
  </si>
  <si>
    <t>32dee745-b6ce-419f-9e86-ae93802d2682</t>
  </si>
  <si>
    <t>Hazel</t>
  </si>
  <si>
    <t>a140a0a2-4bca-624f-326c-c6a306157797</t>
  </si>
  <si>
    <t>Green</t>
  </si>
  <si>
    <t>51c4a750-c9f4-4cfe-801c-898efc360cb7</t>
  </si>
  <si>
    <t>Grey</t>
  </si>
  <si>
    <t>0758508c-7111-40f9-b33b-706464626ac9</t>
  </si>
  <si>
    <t>Light Blue</t>
  </si>
  <si>
    <t>e43f3360-3a08-4755-8b83-a0d37a6c424b</t>
  </si>
  <si>
    <t>Dark Blue</t>
  </si>
  <si>
    <t>2d6839c5-0b7c-48a1-9c55-4bd9cc873b0f</t>
  </si>
  <si>
    <t>Violet</t>
  </si>
  <si>
    <t>693cc66f-498b-481e-5501-00bc379973ad</t>
  </si>
  <si>
    <t>Baby with Ginro</t>
  </si>
  <si>
    <t>Burgler Ghost</t>
  </si>
  <si>
    <t>Span</t>
  </si>
  <si>
    <t>Matches</t>
  </si>
  <si>
    <t>Baby with Lapis</t>
  </si>
  <si>
    <t>Baby with Sakura</t>
  </si>
  <si>
    <t>get to know sagan</t>
  </si>
  <si>
    <t>Baby with Lazuli</t>
  </si>
  <si>
    <t>Partner</t>
  </si>
  <si>
    <t>Baby with Kinro</t>
  </si>
  <si>
    <t>#</t>
  </si>
  <si>
    <t>Last Name</t>
  </si>
  <si>
    <t>Nikitin</t>
  </si>
  <si>
    <t>Marry Zinaida</t>
  </si>
  <si>
    <t>Deciding Aspiration based on Personality</t>
  </si>
  <si>
    <t>Personality</t>
  </si>
  <si>
    <t>Popularity</t>
  </si>
  <si>
    <t>Family</t>
  </si>
  <si>
    <t>Romance</t>
  </si>
  <si>
    <t>Knowledge</t>
  </si>
  <si>
    <t>Fortune</t>
  </si>
  <si>
    <t>Pleasure</t>
  </si>
  <si>
    <t>Aspiration</t>
  </si>
  <si>
    <t>Enneagram</t>
  </si>
  <si>
    <t>Type 2</t>
  </si>
  <si>
    <t>Type 3</t>
  </si>
  <si>
    <t>Type 5</t>
  </si>
  <si>
    <t>Type 7</t>
  </si>
  <si>
    <t>SCID</t>
  </si>
  <si>
    <t>18B</t>
  </si>
  <si>
    <t>Instance</t>
  </si>
  <si>
    <t>18E</t>
  </si>
  <si>
    <t>198</t>
  </si>
  <si>
    <t>19A</t>
  </si>
  <si>
    <t>19C</t>
  </si>
  <si>
    <t>19F</t>
  </si>
  <si>
    <t>1A0</t>
  </si>
  <si>
    <t>1A2</t>
  </si>
  <si>
    <t>1B1</t>
  </si>
  <si>
    <t>1B2</t>
  </si>
  <si>
    <t>1B3</t>
  </si>
  <si>
    <t>1B4</t>
  </si>
  <si>
    <t>1B5</t>
  </si>
  <si>
    <t>1B6</t>
  </si>
  <si>
    <t>1B7</t>
  </si>
  <si>
    <t>1B8</t>
  </si>
  <si>
    <t>1B9</t>
  </si>
  <si>
    <t>1BA</t>
  </si>
  <si>
    <t>1C2</t>
  </si>
  <si>
    <t>1C3</t>
  </si>
  <si>
    <t>1C5</t>
  </si>
  <si>
    <t>1C6</t>
  </si>
  <si>
    <t>1C7</t>
  </si>
  <si>
    <t>1C8</t>
  </si>
  <si>
    <t>1CA</t>
  </si>
  <si>
    <t>1CB</t>
  </si>
  <si>
    <t>1CD</t>
  </si>
  <si>
    <t>1CE</t>
  </si>
  <si>
    <t>1CF</t>
  </si>
  <si>
    <t>1D0</t>
  </si>
  <si>
    <t>1D1</t>
  </si>
  <si>
    <t>1D2</t>
  </si>
  <si>
    <t>1D3</t>
  </si>
  <si>
    <t>1D4</t>
  </si>
  <si>
    <t>1D5</t>
  </si>
  <si>
    <t>1D6</t>
  </si>
  <si>
    <t>1D7</t>
  </si>
  <si>
    <t>1D8</t>
  </si>
  <si>
    <t>1D9</t>
  </si>
  <si>
    <t>1DA</t>
  </si>
  <si>
    <t>1C1</t>
  </si>
  <si>
    <t>1BE</t>
  </si>
  <si>
    <t>1BD</t>
  </si>
  <si>
    <t>1BC</t>
  </si>
  <si>
    <t>180</t>
  </si>
  <si>
    <t>181</t>
  </si>
  <si>
    <t>183</t>
  </si>
  <si>
    <t>184</t>
  </si>
  <si>
    <t>185</t>
  </si>
  <si>
    <t>186</t>
  </si>
  <si>
    <t>18A</t>
  </si>
  <si>
    <t>190</t>
  </si>
  <si>
    <t>18D</t>
  </si>
  <si>
    <t>191</t>
  </si>
  <si>
    <t>193</t>
  </si>
  <si>
    <t>195</t>
  </si>
  <si>
    <t>19E</t>
  </si>
  <si>
    <t>Type 3, Type 8</t>
  </si>
  <si>
    <t>Type 8</t>
  </si>
  <si>
    <t>Nice, Neat, Outgoing</t>
  </si>
  <si>
    <t>Active, Outgoing</t>
  </si>
  <si>
    <t>Shy, Lazy</t>
  </si>
  <si>
    <t>Playful, Active, Sloppy</t>
  </si>
  <si>
    <t>Outgoing, Grouchy, Playful</t>
  </si>
  <si>
    <t>Outgoing, Active, Nice</t>
  </si>
  <si>
    <t>10 left</t>
  </si>
  <si>
    <t>14.1%</t>
  </si>
  <si>
    <t>12.5%</t>
  </si>
  <si>
    <t>14.5%</t>
  </si>
  <si>
    <t>kill</t>
  </si>
  <si>
    <t>replace face with sagan</t>
  </si>
  <si>
    <t>get with luna</t>
  </si>
  <si>
    <t>Sum of Field1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</si>
</sst>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3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theme="0" tint="-0.499984740745262"/>
      <name val="Calibri"/>
      <family val="2"/>
      <scheme val="minor"/>
    </font>
    <font>
      <b/>
      <strike/>
      <sz val="11"/>
      <color theme="0" tint="-0.499984740745262"/>
      <name val="Calibri"/>
      <family val="2"/>
      <scheme val="minor"/>
    </font>
    <font>
      <b/>
      <strike/>
      <sz val="11"/>
      <color theme="0"/>
      <name val="Calibri"/>
      <family val="2"/>
      <scheme val="minor"/>
    </font>
    <font>
      <strike/>
      <sz val="11"/>
      <name val="Calibri"/>
      <family val="2"/>
      <scheme val="minor"/>
    </font>
    <font>
      <b/>
      <strike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trike/>
      <sz val="11"/>
      <color rgb="FFC00000"/>
      <name val="Calibri"/>
      <family val="2"/>
      <scheme val="minor"/>
    </font>
    <font>
      <sz val="11"/>
      <color theme="9"/>
      <name val="Calibri"/>
      <family val="2"/>
      <scheme val="minor"/>
    </font>
    <font>
      <strike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833C0B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BF8F00"/>
      <name val="Calibri"/>
      <family val="2"/>
      <scheme val="minor"/>
    </font>
    <font>
      <b/>
      <sz val="11"/>
      <color rgb="FF70AD47"/>
      <name val="Calibri"/>
      <family val="2"/>
      <scheme val="minor"/>
    </font>
    <font>
      <b/>
      <sz val="11"/>
      <color rgb="FFA5A5A5"/>
      <name val="Calibri"/>
      <family val="2"/>
      <scheme val="minor"/>
    </font>
    <font>
      <b/>
      <sz val="11"/>
      <color rgb="FF5B9BD5"/>
      <name val="Calibri"/>
      <family val="2"/>
      <scheme val="minor"/>
    </font>
    <font>
      <b/>
      <sz val="11"/>
      <color rgb="FF4472C4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900FF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FF9933"/>
      <name val="Calibri"/>
      <family val="2"/>
      <scheme val="minor"/>
    </font>
    <font>
      <sz val="11"/>
      <color rgb="FF33CC33"/>
      <name val="Calibri"/>
      <family val="2"/>
      <scheme val="minor"/>
    </font>
    <font>
      <sz val="11"/>
      <color rgb="FF0070C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F2F2F2"/>
        <bgColor indexed="64"/>
      </patternFill>
    </fill>
  </fills>
  <borders count="2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</borders>
  <cellStyleXfs count="15">
    <xf numFmtId="0" fontId="0" fillId="0" borderId="0"/>
    <xf numFmtId="0" fontId="1" fillId="2" borderId="1" applyNumberFormat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9" fontId="16" fillId="0" borderId="0" applyFont="0" applyFill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7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1" borderId="0" applyNumberFormat="0" applyBorder="0" applyAlignment="0" applyProtection="0"/>
    <xf numFmtId="0" fontId="21" fillId="0" borderId="22" applyNumberFormat="0" applyFill="0" applyAlignment="0" applyProtection="0"/>
    <xf numFmtId="0" fontId="16" fillId="12" borderId="23" applyNumberFormat="0" applyFont="0" applyAlignment="0" applyProtection="0"/>
    <xf numFmtId="0" fontId="31" fillId="0" borderId="24" applyNumberFormat="0" applyFill="0" applyAlignment="0" applyProtection="0"/>
  </cellStyleXfs>
  <cellXfs count="211">
    <xf numFmtId="0" fontId="0" fillId="0" borderId="0" xfId="0"/>
    <xf numFmtId="0" fontId="13" fillId="4" borderId="0" xfId="4" applyFont="1" applyBorder="1"/>
    <xf numFmtId="164" fontId="10" fillId="0" borderId="0" xfId="0" applyNumberFormat="1" applyFont="1" applyAlignment="1">
      <alignment horizontal="center"/>
    </xf>
    <xf numFmtId="0" fontId="2" fillId="0" borderId="0" xfId="0" applyFont="1"/>
    <xf numFmtId="0" fontId="1" fillId="4" borderId="0" xfId="4" applyFont="1" applyBorder="1"/>
    <xf numFmtId="0" fontId="6" fillId="0" borderId="0" xfId="2" applyAlignment="1"/>
    <xf numFmtId="0" fontId="16" fillId="10" borderId="0" xfId="6" applyFill="1" applyBorder="1" applyAlignment="1">
      <alignment horizontal="center"/>
    </xf>
    <xf numFmtId="0" fontId="16" fillId="5" borderId="0" xfId="6" applyAlignment="1">
      <alignment horizontal="center"/>
    </xf>
    <xf numFmtId="0" fontId="16" fillId="10" borderId="3" xfId="6" applyFill="1" applyBorder="1" applyAlignment="1">
      <alignment horizontal="center"/>
    </xf>
    <xf numFmtId="164" fontId="10" fillId="0" borderId="3" xfId="0" applyNumberFormat="1" applyFont="1" applyBorder="1" applyAlignment="1">
      <alignment horizontal="center"/>
    </xf>
    <xf numFmtId="164" fontId="11" fillId="0" borderId="3" xfId="0" applyNumberFormat="1" applyFont="1" applyBorder="1" applyAlignment="1">
      <alignment horizontal="center"/>
    </xf>
    <xf numFmtId="0" fontId="13" fillId="4" borderId="2" xfId="4" applyFont="1" applyBorder="1"/>
    <xf numFmtId="164" fontId="11" fillId="0" borderId="2" xfId="0" applyNumberFormat="1" applyFont="1" applyBorder="1" applyAlignment="1">
      <alignment horizontal="center"/>
    </xf>
    <xf numFmtId="0" fontId="16" fillId="5" borderId="0" xfId="6" applyBorder="1" applyAlignment="1">
      <alignment horizontal="center"/>
    </xf>
    <xf numFmtId="0" fontId="16" fillId="5" borderId="3" xfId="6" applyBorder="1" applyAlignment="1">
      <alignment horizontal="center"/>
    </xf>
    <xf numFmtId="0" fontId="1" fillId="4" borderId="2" xfId="4" applyFont="1" applyBorder="1"/>
    <xf numFmtId="0" fontId="16" fillId="7" borderId="0" xfId="8" applyBorder="1" applyAlignment="1">
      <alignment horizontal="center"/>
    </xf>
    <xf numFmtId="0" fontId="16" fillId="7" borderId="2" xfId="8" applyBorder="1" applyAlignment="1">
      <alignment horizontal="center"/>
    </xf>
    <xf numFmtId="165" fontId="0" fillId="0" borderId="0" xfId="5" applyNumberFormat="1" applyFont="1"/>
    <xf numFmtId="0" fontId="1" fillId="8" borderId="0" xfId="9" applyFont="1" applyAlignment="1">
      <alignment horizontal="center"/>
    </xf>
    <xf numFmtId="0" fontId="16" fillId="9" borderId="0" xfId="10"/>
    <xf numFmtId="0" fontId="2" fillId="9" borderId="0" xfId="10" applyFont="1"/>
    <xf numFmtId="0" fontId="0" fillId="0" borderId="0" xfId="0" applyAlignment="1">
      <alignment horizontal="center"/>
    </xf>
    <xf numFmtId="1" fontId="0" fillId="0" borderId="0" xfId="0" applyNumberFormat="1"/>
    <xf numFmtId="1" fontId="0" fillId="0" borderId="0" xfId="5" applyNumberFormat="1" applyFont="1"/>
    <xf numFmtId="0" fontId="6" fillId="0" borderId="0" xfId="2" applyAlignment="1">
      <alignment horizontal="center"/>
    </xf>
    <xf numFmtId="0" fontId="19" fillId="0" borderId="0" xfId="0" applyFont="1"/>
    <xf numFmtId="164" fontId="9" fillId="0" borderId="0" xfId="0" applyNumberFormat="1" applyFont="1" applyAlignment="1">
      <alignment horizontal="center"/>
    </xf>
    <xf numFmtId="164" fontId="9" fillId="0" borderId="3" xfId="0" applyNumberFormat="1" applyFont="1" applyBorder="1" applyAlignment="1">
      <alignment horizontal="center"/>
    </xf>
    <xf numFmtId="164" fontId="14" fillId="0" borderId="0" xfId="0" applyNumberFormat="1" applyFont="1" applyAlignment="1">
      <alignment horizontal="center"/>
    </xf>
    <xf numFmtId="164" fontId="15" fillId="0" borderId="0" xfId="0" applyNumberFormat="1" applyFont="1" applyAlignment="1">
      <alignment horizontal="center"/>
    </xf>
    <xf numFmtId="164" fontId="14" fillId="0" borderId="3" xfId="0" applyNumberFormat="1" applyFont="1" applyBorder="1" applyAlignment="1">
      <alignment horizontal="center"/>
    </xf>
    <xf numFmtId="164" fontId="9" fillId="0" borderId="2" xfId="0" applyNumberFormat="1" applyFont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4" fontId="14" fillId="0" borderId="2" xfId="0" applyNumberFormat="1" applyFont="1" applyBorder="1" applyAlignment="1">
      <alignment horizontal="center"/>
    </xf>
    <xf numFmtId="164" fontId="14" fillId="0" borderId="4" xfId="0" applyNumberFormat="1" applyFont="1" applyBorder="1" applyAlignment="1">
      <alignment horizontal="center"/>
    </xf>
    <xf numFmtId="164" fontId="10" fillId="0" borderId="2" xfId="0" applyNumberFormat="1" applyFont="1" applyBorder="1" applyAlignment="1">
      <alignment horizontal="center"/>
    </xf>
    <xf numFmtId="164" fontId="10" fillId="0" borderId="4" xfId="0" applyNumberFormat="1" applyFont="1" applyBorder="1" applyAlignment="1">
      <alignment horizontal="center"/>
    </xf>
    <xf numFmtId="165" fontId="0" fillId="0" borderId="0" xfId="0" applyNumberFormat="1"/>
    <xf numFmtId="49" fontId="0" fillId="0" borderId="0" xfId="0" applyNumberFormat="1"/>
    <xf numFmtId="164" fontId="18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1" fillId="3" borderId="0" xfId="3" applyFont="1" applyBorder="1" applyAlignment="1">
      <alignment horizontal="center"/>
    </xf>
    <xf numFmtId="0" fontId="1" fillId="3" borderId="3" xfId="3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8" fillId="0" borderId="0" xfId="0" applyFont="1" applyAlignment="1">
      <alignment horizontal="center"/>
    </xf>
    <xf numFmtId="0" fontId="2" fillId="6" borderId="8" xfId="7" applyFont="1" applyBorder="1" applyAlignment="1">
      <alignment horizontal="center"/>
    </xf>
    <xf numFmtId="0" fontId="16" fillId="5" borderId="8" xfId="6" applyBorder="1" applyAlignment="1">
      <alignment horizontal="center"/>
    </xf>
    <xf numFmtId="164" fontId="14" fillId="0" borderId="8" xfId="0" applyNumberFormat="1" applyFont="1" applyBorder="1" applyAlignment="1">
      <alignment horizontal="center"/>
    </xf>
    <xf numFmtId="164" fontId="14" fillId="0" borderId="9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3" borderId="8" xfId="3" applyFont="1" applyBorder="1" applyAlignment="1">
      <alignment horizontal="center"/>
    </xf>
    <xf numFmtId="164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6" fillId="11" borderId="0" xfId="11" applyBorder="1" applyAlignment="1">
      <alignment horizontal="center"/>
    </xf>
    <xf numFmtId="164" fontId="0" fillId="0" borderId="0" xfId="0" applyNumberFormat="1" applyAlignment="1">
      <alignment horizontal="center"/>
    </xf>
    <xf numFmtId="0" fontId="7" fillId="3" borderId="0" xfId="3"/>
    <xf numFmtId="0" fontId="7" fillId="3" borderId="0" xfId="3" applyBorder="1"/>
    <xf numFmtId="0" fontId="1" fillId="4" borderId="10" xfId="4" applyFont="1" applyBorder="1"/>
    <xf numFmtId="164" fontId="10" fillId="0" borderId="10" xfId="0" applyNumberFormat="1" applyFont="1" applyBorder="1" applyAlignment="1">
      <alignment horizontal="center"/>
    </xf>
    <xf numFmtId="164" fontId="10" fillId="0" borderId="11" xfId="0" applyNumberFormat="1" applyFont="1" applyBorder="1" applyAlignment="1">
      <alignment horizontal="center"/>
    </xf>
    <xf numFmtId="0" fontId="16" fillId="11" borderId="3" xfId="11" applyBorder="1" applyAlignment="1">
      <alignment horizontal="center"/>
    </xf>
    <xf numFmtId="0" fontId="16" fillId="11" borderId="5" xfId="11" applyBorder="1" applyAlignment="1">
      <alignment horizontal="center"/>
    </xf>
    <xf numFmtId="0" fontId="2" fillId="6" borderId="8" xfId="7" applyFont="1" applyBorder="1"/>
    <xf numFmtId="0" fontId="16" fillId="11" borderId="8" xfId="11" applyBorder="1" applyAlignment="1">
      <alignment horizontal="center"/>
    </xf>
    <xf numFmtId="0" fontId="11" fillId="0" borderId="8" xfId="0" applyFont="1" applyBorder="1" applyAlignment="1">
      <alignment horizontal="center"/>
    </xf>
    <xf numFmtId="164" fontId="11" fillId="0" borderId="5" xfId="0" applyNumberFormat="1" applyFont="1" applyBorder="1" applyAlignment="1">
      <alignment horizontal="center"/>
    </xf>
    <xf numFmtId="0" fontId="7" fillId="3" borderId="2" xfId="3" applyBorder="1"/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3" borderId="2" xfId="3" applyFont="1" applyBorder="1" applyAlignment="1">
      <alignment horizontal="center"/>
    </xf>
    <xf numFmtId="0" fontId="7" fillId="3" borderId="16" xfId="3" applyBorder="1"/>
    <xf numFmtId="0" fontId="3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3" borderId="6" xfId="3" applyFont="1" applyBorder="1" applyAlignment="1">
      <alignment horizontal="center"/>
    </xf>
    <xf numFmtId="164" fontId="11" fillId="0" borderId="4" xfId="0" applyNumberFormat="1" applyFont="1" applyBorder="1" applyAlignment="1">
      <alignment horizontal="center"/>
    </xf>
    <xf numFmtId="0" fontId="16" fillId="7" borderId="10" xfId="8" applyBorder="1" applyAlignment="1">
      <alignment horizontal="center"/>
    </xf>
    <xf numFmtId="0" fontId="16" fillId="5" borderId="18" xfId="6" applyBorder="1" applyAlignment="1">
      <alignment horizontal="center"/>
    </xf>
    <xf numFmtId="164" fontId="14" fillId="0" borderId="18" xfId="0" applyNumberFormat="1" applyFont="1" applyBorder="1" applyAlignment="1">
      <alignment horizontal="center"/>
    </xf>
    <xf numFmtId="164" fontId="14" fillId="0" borderId="19" xfId="0" applyNumberFormat="1" applyFont="1" applyBorder="1" applyAlignment="1">
      <alignment horizontal="center"/>
    </xf>
    <xf numFmtId="164" fontId="11" fillId="0" borderId="3" xfId="1" applyNumberFormat="1" applyFont="1" applyFill="1" applyBorder="1" applyAlignment="1">
      <alignment horizontal="center"/>
    </xf>
    <xf numFmtId="164" fontId="11" fillId="0" borderId="8" xfId="0" applyNumberFormat="1" applyFont="1" applyBorder="1" applyAlignment="1">
      <alignment horizontal="center"/>
    </xf>
    <xf numFmtId="164" fontId="11" fillId="0" borderId="9" xfId="0" applyNumberFormat="1" applyFont="1" applyBorder="1" applyAlignment="1">
      <alignment horizontal="center"/>
    </xf>
    <xf numFmtId="164" fontId="11" fillId="0" borderId="4" xfId="1" applyNumberFormat="1" applyFont="1" applyFill="1" applyBorder="1" applyAlignment="1">
      <alignment horizontal="center"/>
    </xf>
    <xf numFmtId="164" fontId="11" fillId="0" borderId="13" xfId="0" applyNumberFormat="1" applyFont="1" applyBorder="1" applyAlignment="1">
      <alignment horizontal="center"/>
    </xf>
    <xf numFmtId="164" fontId="10" fillId="0" borderId="8" xfId="0" applyNumberFormat="1" applyFont="1" applyBorder="1" applyAlignment="1">
      <alignment horizontal="center"/>
    </xf>
    <xf numFmtId="164" fontId="10" fillId="0" borderId="18" xfId="0" applyNumberFormat="1" applyFont="1" applyBorder="1" applyAlignment="1">
      <alignment horizontal="center"/>
    </xf>
    <xf numFmtId="164" fontId="12" fillId="0" borderId="0" xfId="0" applyNumberFormat="1" applyFont="1" applyAlignment="1">
      <alignment horizontal="center"/>
    </xf>
    <xf numFmtId="164" fontId="0" fillId="0" borderId="3" xfId="0" applyNumberForma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3" fillId="0" borderId="14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4" fontId="3" fillId="0" borderId="16" xfId="0" applyNumberFormat="1" applyFont="1" applyBorder="1" applyAlignment="1">
      <alignment horizontal="center"/>
    </xf>
    <xf numFmtId="164" fontId="5" fillId="0" borderId="16" xfId="0" applyNumberFormat="1" applyFont="1" applyBorder="1" applyAlignment="1">
      <alignment horizontal="center"/>
    </xf>
    <xf numFmtId="164" fontId="8" fillId="0" borderId="0" xfId="0" applyNumberFormat="1" applyFont="1" applyAlignment="1">
      <alignment horizontal="center"/>
    </xf>
    <xf numFmtId="164" fontId="8" fillId="0" borderId="3" xfId="0" applyNumberFormat="1" applyFont="1" applyBorder="1" applyAlignment="1">
      <alignment horizontal="center"/>
    </xf>
    <xf numFmtId="164" fontId="8" fillId="0" borderId="8" xfId="0" applyNumberFormat="1" applyFont="1" applyBorder="1" applyAlignment="1">
      <alignment horizontal="center"/>
    </xf>
    <xf numFmtId="164" fontId="8" fillId="0" borderId="18" xfId="0" applyNumberFormat="1" applyFont="1" applyBorder="1" applyAlignment="1">
      <alignment horizontal="center"/>
    </xf>
    <xf numFmtId="164" fontId="8" fillId="0" borderId="2" xfId="0" applyNumberFormat="1" applyFont="1" applyBorder="1" applyAlignment="1">
      <alignment horizontal="center"/>
    </xf>
    <xf numFmtId="164" fontId="8" fillId="0" borderId="4" xfId="0" applyNumberFormat="1" applyFont="1" applyBorder="1" applyAlignment="1">
      <alignment horizontal="center"/>
    </xf>
    <xf numFmtId="164" fontId="8" fillId="0" borderId="9" xfId="0" applyNumberFormat="1" applyFont="1" applyBorder="1" applyAlignment="1">
      <alignment horizontal="center"/>
    </xf>
    <xf numFmtId="164" fontId="8" fillId="0" borderId="19" xfId="0" applyNumberFormat="1" applyFont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8" fillId="0" borderId="3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>
      <alignment horizontal="center"/>
    </xf>
    <xf numFmtId="164" fontId="8" fillId="0" borderId="20" xfId="0" applyNumberFormat="1" applyFont="1" applyBorder="1" applyAlignment="1">
      <alignment horizontal="center"/>
    </xf>
    <xf numFmtId="164" fontId="3" fillId="0" borderId="15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4" fontId="8" fillId="0" borderId="7" xfId="0" applyNumberFormat="1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8" fillId="0" borderId="10" xfId="0" applyNumberFormat="1" applyFont="1" applyBorder="1" applyAlignment="1">
      <alignment horizontal="center"/>
    </xf>
    <xf numFmtId="164" fontId="8" fillId="0" borderId="11" xfId="0" applyNumberFormat="1" applyFont="1" applyBorder="1" applyAlignment="1">
      <alignment horizontal="center"/>
    </xf>
    <xf numFmtId="164" fontId="8" fillId="0" borderId="12" xfId="0" applyNumberFormat="1" applyFont="1" applyBorder="1" applyAlignment="1">
      <alignment horizontal="center"/>
    </xf>
    <xf numFmtId="164" fontId="8" fillId="0" borderId="17" xfId="0" applyNumberFormat="1" applyFont="1" applyBorder="1" applyAlignment="1">
      <alignment horizontal="center"/>
    </xf>
    <xf numFmtId="164" fontId="5" fillId="0" borderId="2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0" fontId="13" fillId="3" borderId="0" xfId="3" applyFont="1" applyBorder="1" applyAlignment="1">
      <alignment horizontal="center"/>
    </xf>
    <xf numFmtId="0" fontId="13" fillId="3" borderId="3" xfId="3" applyFont="1" applyBorder="1" applyAlignment="1">
      <alignment horizontal="center"/>
    </xf>
    <xf numFmtId="0" fontId="1" fillId="3" borderId="18" xfId="3" applyFont="1" applyBorder="1" applyAlignment="1">
      <alignment horizontal="center"/>
    </xf>
    <xf numFmtId="0" fontId="7" fillId="4" borderId="0" xfId="4" applyBorder="1" applyAlignment="1">
      <alignment horizontal="center"/>
    </xf>
    <xf numFmtId="0" fontId="7" fillId="4" borderId="3" xfId="4" applyBorder="1" applyAlignment="1">
      <alignment horizontal="center"/>
    </xf>
    <xf numFmtId="0" fontId="7" fillId="4" borderId="5" xfId="4" applyBorder="1" applyAlignment="1">
      <alignment horizontal="center"/>
    </xf>
    <xf numFmtId="0" fontId="7" fillId="4" borderId="8" xfId="4" applyBorder="1" applyAlignment="1">
      <alignment horizontal="center"/>
    </xf>
    <xf numFmtId="0" fontId="20" fillId="4" borderId="0" xfId="4" applyFont="1" applyBorder="1" applyAlignment="1">
      <alignment horizontal="center"/>
    </xf>
    <xf numFmtId="0" fontId="20" fillId="4" borderId="3" xfId="4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13" fillId="4" borderId="0" xfId="4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13" fillId="4" borderId="2" xfId="4" applyFont="1" applyBorder="1" applyAlignment="1">
      <alignment horizontal="center"/>
    </xf>
    <xf numFmtId="0" fontId="13" fillId="4" borderId="3" xfId="4" applyFont="1" applyBorder="1" applyAlignment="1">
      <alignment horizontal="center"/>
    </xf>
    <xf numFmtId="0" fontId="1" fillId="4" borderId="0" xfId="4" applyFont="1" applyBorder="1" applyAlignment="1">
      <alignment horizontal="center"/>
    </xf>
    <xf numFmtId="0" fontId="1" fillId="4" borderId="2" xfId="4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4" borderId="14" xfId="4" applyFont="1" applyBorder="1" applyAlignment="1">
      <alignment horizontal="center"/>
    </xf>
    <xf numFmtId="0" fontId="1" fillId="4" borderId="3" xfId="4" applyFont="1" applyBorder="1" applyAlignment="1">
      <alignment horizontal="center"/>
    </xf>
    <xf numFmtId="0" fontId="1" fillId="0" borderId="4" xfId="4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0" xfId="4" applyFont="1" applyFill="1" applyBorder="1" applyAlignment="1">
      <alignment horizontal="center"/>
    </xf>
    <xf numFmtId="0" fontId="13" fillId="3" borderId="2" xfId="3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164" fontId="12" fillId="0" borderId="8" xfId="0" applyNumberFormat="1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2" fillId="6" borderId="5" xfId="7" applyFont="1" applyBorder="1" applyAlignment="1"/>
    <xf numFmtId="0" fontId="2" fillId="6" borderId="0" xfId="7" applyFont="1" applyBorder="1" applyAlignment="1"/>
    <xf numFmtId="0" fontId="2" fillId="6" borderId="3" xfId="7" applyFont="1" applyBorder="1" applyAlignment="1"/>
    <xf numFmtId="164" fontId="11" fillId="0" borderId="7" xfId="0" applyNumberFormat="1" applyFont="1" applyBorder="1" applyAlignment="1">
      <alignment horizontal="center"/>
    </xf>
    <xf numFmtId="164" fontId="12" fillId="0" borderId="3" xfId="0" applyNumberFormat="1" applyFont="1" applyBorder="1" applyAlignment="1">
      <alignment horizontal="center"/>
    </xf>
    <xf numFmtId="164" fontId="3" fillId="0" borderId="13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21" fillId="0" borderId="22" xfId="12"/>
    <xf numFmtId="0" fontId="21" fillId="0" borderId="22" xfId="12" applyFill="1"/>
    <xf numFmtId="0" fontId="0" fillId="12" borderId="23" xfId="13" applyFont="1"/>
    <xf numFmtId="165" fontId="21" fillId="0" borderId="22" xfId="12" applyNumberForma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13" borderId="0" xfId="0" applyFont="1" applyFill="1" applyAlignment="1">
      <alignment vertical="center" wrapText="1"/>
    </xf>
    <xf numFmtId="0" fontId="24" fillId="13" borderId="0" xfId="0" applyFont="1" applyFill="1" applyAlignment="1">
      <alignment vertical="center" wrapText="1"/>
    </xf>
    <xf numFmtId="0" fontId="25" fillId="0" borderId="0" xfId="0" applyFont="1" applyAlignment="1">
      <alignment vertical="center" wrapText="1"/>
    </xf>
    <xf numFmtId="0" fontId="26" fillId="13" borderId="0" xfId="0" applyFont="1" applyFill="1" applyAlignment="1">
      <alignment vertical="center" wrapText="1"/>
    </xf>
    <xf numFmtId="0" fontId="27" fillId="0" borderId="0" xfId="0" applyFont="1" applyAlignment="1">
      <alignment vertical="center" wrapText="1"/>
    </xf>
    <xf numFmtId="0" fontId="28" fillId="13" borderId="0" xfId="0" applyFont="1" applyFill="1" applyAlignment="1">
      <alignment vertical="center" wrapText="1"/>
    </xf>
    <xf numFmtId="0" fontId="29" fillId="0" borderId="0" xfId="0" applyFont="1" applyAlignment="1">
      <alignment vertical="center" wrapText="1"/>
    </xf>
    <xf numFmtId="0" fontId="30" fillId="13" borderId="0" xfId="0" applyFont="1" applyFill="1" applyAlignment="1">
      <alignment vertical="center" wrapText="1"/>
    </xf>
    <xf numFmtId="0" fontId="8" fillId="0" borderId="0" xfId="0" applyFont="1"/>
    <xf numFmtId="165" fontId="2" fillId="0" borderId="0" xfId="0" applyNumberFormat="1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2" fillId="0" borderId="0" xfId="0" applyFont="1"/>
    <xf numFmtId="49" fontId="0" fillId="0" borderId="0" xfId="0" applyNumberFormat="1" applyAlignment="1">
      <alignment horizontal="right"/>
    </xf>
    <xf numFmtId="0" fontId="37" fillId="0" borderId="0" xfId="0" applyFont="1"/>
    <xf numFmtId="0" fontId="31" fillId="0" borderId="0" xfId="14" applyBorder="1" applyAlignment="1"/>
    <xf numFmtId="0" fontId="2" fillId="6" borderId="5" xfId="7" applyFont="1" applyBorder="1" applyAlignment="1">
      <alignment horizontal="center"/>
    </xf>
    <xf numFmtId="0" fontId="2" fillId="6" borderId="0" xfId="7" applyFont="1" applyBorder="1" applyAlignment="1">
      <alignment horizontal="center"/>
    </xf>
    <xf numFmtId="0" fontId="2" fillId="6" borderId="3" xfId="7" applyFont="1" applyBorder="1" applyAlignment="1">
      <alignment horizontal="center"/>
    </xf>
    <xf numFmtId="0" fontId="2" fillId="6" borderId="0" xfId="7" applyFont="1" applyAlignment="1">
      <alignment horizontal="center"/>
    </xf>
    <xf numFmtId="0" fontId="6" fillId="0" borderId="0" xfId="2" applyAlignment="1"/>
    <xf numFmtId="0" fontId="31" fillId="0" borderId="0" xfId="14" applyBorder="1" applyAlignment="1"/>
    <xf numFmtId="0" fontId="0" fillId="0" borderId="0" xfId="0" applyNumberFormat="1"/>
    <xf numFmtId="9" fontId="0" fillId="0" borderId="0" xfId="5" applyNumberFormat="1" applyFont="1"/>
  </cellXfs>
  <cellStyles count="15">
    <cellStyle name="40% - Accent1" xfId="11" builtinId="31"/>
    <cellStyle name="40% - Accent2" xfId="6" builtinId="35"/>
    <cellStyle name="40% - Accent4" xfId="7" builtinId="43"/>
    <cellStyle name="40% - Accent5" xfId="8" builtinId="47"/>
    <cellStyle name="40% - Accent6" xfId="10" builtinId="51"/>
    <cellStyle name="Accent2" xfId="3" builtinId="33"/>
    <cellStyle name="Accent5" xfId="4" builtinId="45"/>
    <cellStyle name="Accent6" xfId="9" builtinId="49"/>
    <cellStyle name="Check Cell" xfId="1" builtinId="23"/>
    <cellStyle name="Heading 1" xfId="14" builtinId="16"/>
    <cellStyle name="Heading 3" xfId="12" builtinId="18"/>
    <cellStyle name="Normal" xfId="0" builtinId="0"/>
    <cellStyle name="Note" xfId="13" builtinId="10"/>
    <cellStyle name="Percent" xfId="5" builtinId="5"/>
    <cellStyle name="Title" xfId="2" builtinId="15"/>
  </cellStyles>
  <dxfs count="32">
    <dxf>
      <numFmt numFmtId="165" formatCode="0.0%"/>
    </dxf>
    <dxf>
      <numFmt numFmtId="2" formatCode="0.00"/>
    </dxf>
    <dxf>
      <font>
        <color theme="0"/>
      </font>
    </dxf>
    <dxf>
      <font>
        <b/>
        <i val="0"/>
        <color theme="4"/>
      </font>
    </dxf>
    <dxf>
      <font>
        <b/>
        <i val="0"/>
        <color rgb="FFC00000"/>
      </font>
    </dxf>
    <dxf>
      <font>
        <color theme="5"/>
      </font>
    </dxf>
    <dxf>
      <border>
        <bottom style="thin">
          <color auto="1"/>
        </bottom>
        <vertical/>
        <horizontal/>
      </border>
    </dxf>
    <dxf>
      <font>
        <color theme="0"/>
      </font>
    </dxf>
    <dxf>
      <font>
        <color theme="0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ont>
        <b/>
        <i val="0"/>
        <color theme="4"/>
      </font>
    </dxf>
    <dxf>
      <font>
        <b/>
        <i val="0"/>
        <color rgb="FFC00000"/>
      </font>
    </dxf>
    <dxf>
      <font>
        <b val="0"/>
        <i val="0"/>
        <strike val="0"/>
        <color theme="0" tint="-0.499984740745262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</font>
    </dxf>
    <dxf>
      <font>
        <b/>
      </font>
    </dxf>
    <dxf>
      <font>
        <b/>
      </font>
    </dxf>
    <dxf>
      <numFmt numFmtId="0" formatCode="General"/>
    </dxf>
    <dxf>
      <numFmt numFmtId="165" formatCode="0.0%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</font>
    </dxf>
    <dxf>
      <numFmt numFmtId="1" formatCode="0"/>
    </dxf>
    <dxf>
      <numFmt numFmtId="30" formatCode="@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33CC33"/>
      <color rgb="FFFF9933"/>
      <color rgb="FFFF00FF"/>
      <color rgb="FF9900FF"/>
      <color rgb="FFFF6600"/>
      <color rgb="FFCCCC00"/>
      <color rgb="FFD60093"/>
      <color rgb="FFFF0066"/>
      <color rgb="FFFF00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Database!$C$1</c:f>
              <c:strCache>
                <c:ptCount val="1"/>
                <c:pt idx="0">
                  <c:v>SCID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Database!$A$2:$B$59</c:f>
              <c:numCache>
                <c:formatCode>General</c:formatCode>
                <c:ptCount val="58"/>
                <c:pt idx="0">
                  <c:v>362</c:v>
                </c:pt>
                <c:pt idx="1">
                  <c:v>363</c:v>
                </c:pt>
                <c:pt idx="2">
                  <c:v>365</c:v>
                </c:pt>
                <c:pt idx="3">
                  <c:v>366</c:v>
                </c:pt>
                <c:pt idx="4">
                  <c:v>367</c:v>
                </c:pt>
                <c:pt idx="5">
                  <c:v>368</c:v>
                </c:pt>
                <c:pt idx="6">
                  <c:v>371</c:v>
                </c:pt>
                <c:pt idx="7">
                  <c:v>372</c:v>
                </c:pt>
                <c:pt idx="8">
                  <c:v>377</c:v>
                </c:pt>
                <c:pt idx="9">
                  <c:v>374</c:v>
                </c:pt>
                <c:pt idx="10">
                  <c:v>375</c:v>
                </c:pt>
                <c:pt idx="11">
                  <c:v>378</c:v>
                </c:pt>
                <c:pt idx="12">
                  <c:v>380</c:v>
                </c:pt>
                <c:pt idx="13">
                  <c:v>385</c:v>
                </c:pt>
                <c:pt idx="14">
                  <c:v>382</c:v>
                </c:pt>
                <c:pt idx="15">
                  <c:v>384</c:v>
                </c:pt>
                <c:pt idx="16">
                  <c:v>391</c:v>
                </c:pt>
                <c:pt idx="17">
                  <c:v>393</c:v>
                </c:pt>
                <c:pt idx="18">
                  <c:v>395</c:v>
                </c:pt>
                <c:pt idx="19">
                  <c:v>413</c:v>
                </c:pt>
                <c:pt idx="20">
                  <c:v>410</c:v>
                </c:pt>
                <c:pt idx="21">
                  <c:v>412</c:v>
                </c:pt>
                <c:pt idx="22">
                  <c:v>414</c:v>
                </c:pt>
                <c:pt idx="23">
                  <c:v>415</c:v>
                </c:pt>
                <c:pt idx="24">
                  <c:v>411</c:v>
                </c:pt>
                <c:pt idx="25">
                  <c:v>422</c:v>
                </c:pt>
                <c:pt idx="26">
                  <c:v>416</c:v>
                </c:pt>
                <c:pt idx="27">
                  <c:v>417</c:v>
                </c:pt>
                <c:pt idx="28">
                  <c:v>423</c:v>
                </c:pt>
                <c:pt idx="29">
                  <c:v>418</c:v>
                </c:pt>
                <c:pt idx="30">
                  <c:v>419</c:v>
                </c:pt>
                <c:pt idx="31">
                  <c:v>432</c:v>
                </c:pt>
                <c:pt idx="32">
                  <c:v>387</c:v>
                </c:pt>
                <c:pt idx="33">
                  <c:v>389</c:v>
                </c:pt>
                <c:pt idx="34">
                  <c:v>392</c:v>
                </c:pt>
                <c:pt idx="35">
                  <c:v>421</c:v>
                </c:pt>
                <c:pt idx="36">
                  <c:v>156</c:v>
                </c:pt>
                <c:pt idx="37">
                  <c:v>69</c:v>
                </c:pt>
                <c:pt idx="38">
                  <c:v>165</c:v>
                </c:pt>
                <c:pt idx="39">
                  <c:v>436</c:v>
                </c:pt>
                <c:pt idx="40">
                  <c:v>427</c:v>
                </c:pt>
                <c:pt idx="41">
                  <c:v>428</c:v>
                </c:pt>
                <c:pt idx="42">
                  <c:v>9</c:v>
                </c:pt>
                <c:pt idx="43">
                  <c:v>18</c:v>
                </c:pt>
                <c:pt idx="44">
                  <c:v>59</c:v>
                </c:pt>
                <c:pt idx="45">
                  <c:v>161</c:v>
                </c:pt>
                <c:pt idx="46">
                  <c:v>426</c:v>
                </c:pt>
                <c:pt idx="47">
                  <c:v>431</c:v>
                </c:pt>
                <c:pt idx="48">
                  <c:v>430</c:v>
                </c:pt>
                <c:pt idx="49">
                  <c:v>433</c:v>
                </c:pt>
                <c:pt idx="50">
                  <c:v>435</c:v>
                </c:pt>
                <c:pt idx="51">
                  <c:v>155</c:v>
                </c:pt>
                <c:pt idx="52">
                  <c:v>170</c:v>
                </c:pt>
                <c:pt idx="53">
                  <c:v>179</c:v>
                </c:pt>
                <c:pt idx="54">
                  <c:v>68</c:v>
                </c:pt>
                <c:pt idx="55">
                  <c:v>188</c:v>
                </c:pt>
                <c:pt idx="56">
                  <c:v>198</c:v>
                </c:pt>
                <c:pt idx="57">
                  <c:v>90</c:v>
                </c:pt>
              </c:numCache>
            </c:numRef>
          </c:xVal>
          <c:yVal>
            <c:numRef>
              <c:f>Database!$C$2:$C$59</c:f>
              <c:numCache>
                <c:formatCode>0</c:formatCode>
                <c:ptCount val="58"/>
                <c:pt idx="0">
                  <c:v>384</c:v>
                </c:pt>
                <c:pt idx="1">
                  <c:v>385</c:v>
                </c:pt>
                <c:pt idx="2">
                  <c:v>387</c:v>
                </c:pt>
                <c:pt idx="3">
                  <c:v>388</c:v>
                </c:pt>
                <c:pt idx="4">
                  <c:v>389</c:v>
                </c:pt>
                <c:pt idx="5">
                  <c:v>390</c:v>
                </c:pt>
                <c:pt idx="6">
                  <c:v>394</c:v>
                </c:pt>
                <c:pt idx="7">
                  <c:v>395</c:v>
                </c:pt>
                <c:pt idx="8">
                  <c:v>400</c:v>
                </c:pt>
                <c:pt idx="9">
                  <c:v>397</c:v>
                </c:pt>
                <c:pt idx="10">
                  <c:v>398</c:v>
                </c:pt>
                <c:pt idx="11">
                  <c:v>401</c:v>
                </c:pt>
                <c:pt idx="12">
                  <c:v>403</c:v>
                </c:pt>
                <c:pt idx="13">
                  <c:v>408</c:v>
                </c:pt>
                <c:pt idx="14">
                  <c:v>405</c:v>
                </c:pt>
                <c:pt idx="15">
                  <c:v>407</c:v>
                </c:pt>
                <c:pt idx="16">
                  <c:v>414</c:v>
                </c:pt>
                <c:pt idx="17">
                  <c:v>416</c:v>
                </c:pt>
                <c:pt idx="18">
                  <c:v>418</c:v>
                </c:pt>
                <c:pt idx="19">
                  <c:v>436</c:v>
                </c:pt>
                <c:pt idx="20">
                  <c:v>433</c:v>
                </c:pt>
                <c:pt idx="21">
                  <c:v>435</c:v>
                </c:pt>
                <c:pt idx="22">
                  <c:v>437</c:v>
                </c:pt>
                <c:pt idx="23">
                  <c:v>438</c:v>
                </c:pt>
                <c:pt idx="24">
                  <c:v>434</c:v>
                </c:pt>
                <c:pt idx="25">
                  <c:v>445</c:v>
                </c:pt>
                <c:pt idx="26">
                  <c:v>439</c:v>
                </c:pt>
                <c:pt idx="27">
                  <c:v>440</c:v>
                </c:pt>
                <c:pt idx="28">
                  <c:v>446</c:v>
                </c:pt>
                <c:pt idx="29">
                  <c:v>441</c:v>
                </c:pt>
                <c:pt idx="30">
                  <c:v>442</c:v>
                </c:pt>
                <c:pt idx="31">
                  <c:v>455</c:v>
                </c:pt>
                <c:pt idx="32">
                  <c:v>410</c:v>
                </c:pt>
                <c:pt idx="33">
                  <c:v>412</c:v>
                </c:pt>
                <c:pt idx="34">
                  <c:v>415</c:v>
                </c:pt>
                <c:pt idx="35">
                  <c:v>444</c:v>
                </c:pt>
                <c:pt idx="36">
                  <c:v>468</c:v>
                </c:pt>
                <c:pt idx="37">
                  <c:v>465</c:v>
                </c:pt>
                <c:pt idx="38">
                  <c:v>470</c:v>
                </c:pt>
                <c:pt idx="39">
                  <c:v>459</c:v>
                </c:pt>
                <c:pt idx="40">
                  <c:v>450</c:v>
                </c:pt>
                <c:pt idx="41">
                  <c:v>451</c:v>
                </c:pt>
                <c:pt idx="42">
                  <c:v>461</c:v>
                </c:pt>
                <c:pt idx="43">
                  <c:v>462</c:v>
                </c:pt>
                <c:pt idx="44">
                  <c:v>463</c:v>
                </c:pt>
                <c:pt idx="45">
                  <c:v>469</c:v>
                </c:pt>
                <c:pt idx="46">
                  <c:v>449</c:v>
                </c:pt>
                <c:pt idx="47">
                  <c:v>454</c:v>
                </c:pt>
                <c:pt idx="48">
                  <c:v>453</c:v>
                </c:pt>
                <c:pt idx="49">
                  <c:v>456</c:v>
                </c:pt>
                <c:pt idx="50">
                  <c:v>458</c:v>
                </c:pt>
                <c:pt idx="51">
                  <c:v>467</c:v>
                </c:pt>
                <c:pt idx="52">
                  <c:v>471</c:v>
                </c:pt>
                <c:pt idx="53">
                  <c:v>472</c:v>
                </c:pt>
                <c:pt idx="54">
                  <c:v>464</c:v>
                </c:pt>
                <c:pt idx="55">
                  <c:v>473</c:v>
                </c:pt>
                <c:pt idx="56">
                  <c:v>474</c:v>
                </c:pt>
                <c:pt idx="57">
                  <c:v>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A8-40D1-995D-3AB13251D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110351"/>
        <c:axId val="2086859199"/>
      </c:scatterChart>
      <c:valAx>
        <c:axId val="2086110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859199"/>
        <c:crosses val="autoZero"/>
        <c:crossBetween val="midCat"/>
      </c:valAx>
      <c:valAx>
        <c:axId val="2086859199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SCID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110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[Ishigami Village.xlsx]Birth Rate!PivotTable4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solidFill>
              <a:schemeClr val="accent6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solidFill>
              <a:schemeClr val="accent4"/>
            </a:solidFill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'Birth Rate'!$B$1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accent6"/>
              </a:solidFill>
            </a:ln>
            <a:effectLst/>
          </c:spPr>
          <c:invertIfNegative val="0"/>
          <c:cat>
            <c:strRef>
              <c:f>'Birth Rate'!$A$2:$A$11</c:f>
              <c:strCache>
                <c:ptCount val="9"/>
                <c:pt idx="0">
                  <c:v>G1</c:v>
                </c:pt>
                <c:pt idx="1">
                  <c:v>G2</c:v>
                </c:pt>
                <c:pt idx="2">
                  <c:v>G3</c:v>
                </c:pt>
                <c:pt idx="3">
                  <c:v>G3-</c:v>
                </c:pt>
                <c:pt idx="4">
                  <c:v>G4</c:v>
                </c:pt>
                <c:pt idx="5">
                  <c:v>G4-</c:v>
                </c:pt>
                <c:pt idx="6">
                  <c:v>G4x</c:v>
                </c:pt>
                <c:pt idx="7">
                  <c:v>G4x-</c:v>
                </c:pt>
                <c:pt idx="8">
                  <c:v>G4y-</c:v>
                </c:pt>
              </c:strCache>
            </c:strRef>
          </c:cat>
          <c:val>
            <c:numRef>
              <c:f>'Birth Rate'!$B$2:$B$11</c:f>
              <c:numCache>
                <c:formatCode>General</c:formatCode>
                <c:ptCount val="9"/>
                <c:pt idx="0">
                  <c:v>6</c:v>
                </c:pt>
                <c:pt idx="1">
                  <c:v>11</c:v>
                </c:pt>
                <c:pt idx="2">
                  <c:v>15</c:v>
                </c:pt>
                <c:pt idx="3">
                  <c:v>4</c:v>
                </c:pt>
                <c:pt idx="4">
                  <c:v>3</c:v>
                </c:pt>
                <c:pt idx="5">
                  <c:v>7</c:v>
                </c:pt>
                <c:pt idx="6">
                  <c:v>6</c:v>
                </c:pt>
                <c:pt idx="7">
                  <c:v>3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5D-4E74-A6CA-96399CFC1966}"/>
            </c:ext>
          </c:extLst>
        </c:ser>
        <c:ser>
          <c:idx val="1"/>
          <c:order val="1"/>
          <c:tx>
            <c:strRef>
              <c:f>'Birth Rate'!$C$1</c:f>
              <c:strCache>
                <c:ptCount val="1"/>
                <c:pt idx="0">
                  <c:v>Avg Consanguinity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'Birth Rate'!$A$2:$A$11</c:f>
              <c:strCache>
                <c:ptCount val="9"/>
                <c:pt idx="0">
                  <c:v>G1</c:v>
                </c:pt>
                <c:pt idx="1">
                  <c:v>G2</c:v>
                </c:pt>
                <c:pt idx="2">
                  <c:v>G3</c:v>
                </c:pt>
                <c:pt idx="3">
                  <c:v>G3-</c:v>
                </c:pt>
                <c:pt idx="4">
                  <c:v>G4</c:v>
                </c:pt>
                <c:pt idx="5">
                  <c:v>G4-</c:v>
                </c:pt>
                <c:pt idx="6">
                  <c:v>G4x</c:v>
                </c:pt>
                <c:pt idx="7">
                  <c:v>G4x-</c:v>
                </c:pt>
                <c:pt idx="8">
                  <c:v>G4y-</c:v>
                </c:pt>
              </c:strCache>
            </c:strRef>
          </c:cat>
          <c:val>
            <c:numRef>
              <c:f>'Birth Rate'!$C$2:$C$11</c:f>
              <c:numCache>
                <c:formatCode>0.0%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6.25E-2</c:v>
                </c:pt>
                <c:pt idx="5">
                  <c:v>4.464285714285714E-3</c:v>
                </c:pt>
                <c:pt idx="6">
                  <c:v>0</c:v>
                </c:pt>
                <c:pt idx="7">
                  <c:v>3.125E-2</c:v>
                </c:pt>
                <c:pt idx="8">
                  <c:v>3.125E-2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5D-4E74-A6CA-96399CFC1966}"/>
            </c:ext>
          </c:extLst>
        </c:ser>
        <c:ser>
          <c:idx val="2"/>
          <c:order val="2"/>
          <c:tx>
            <c:strRef>
              <c:f>'Birth Rate'!$D$1</c:f>
              <c:strCache>
                <c:ptCount val="1"/>
                <c:pt idx="0">
                  <c:v>Avg Children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accent4"/>
              </a:solidFill>
            </a:ln>
            <a:effectLst/>
          </c:spPr>
          <c:invertIfNegative val="0"/>
          <c:cat>
            <c:strRef>
              <c:f>'Birth Rate'!$A$2:$A$11</c:f>
              <c:strCache>
                <c:ptCount val="9"/>
                <c:pt idx="0">
                  <c:v>G1</c:v>
                </c:pt>
                <c:pt idx="1">
                  <c:v>G2</c:v>
                </c:pt>
                <c:pt idx="2">
                  <c:v>G3</c:v>
                </c:pt>
                <c:pt idx="3">
                  <c:v>G3-</c:v>
                </c:pt>
                <c:pt idx="4">
                  <c:v>G4</c:v>
                </c:pt>
                <c:pt idx="5">
                  <c:v>G4-</c:v>
                </c:pt>
                <c:pt idx="6">
                  <c:v>G4x</c:v>
                </c:pt>
                <c:pt idx="7">
                  <c:v>G4x-</c:v>
                </c:pt>
                <c:pt idx="8">
                  <c:v>G4y-</c:v>
                </c:pt>
              </c:strCache>
            </c:strRef>
          </c:cat>
          <c:val>
            <c:numRef>
              <c:f>'Birth Rate'!$D$2:$D$11</c:f>
              <c:numCache>
                <c:formatCode>0.00</c:formatCode>
                <c:ptCount val="9"/>
                <c:pt idx="0">
                  <c:v>4.333333333333333</c:v>
                </c:pt>
                <c:pt idx="1">
                  <c:v>4.1818181818181817</c:v>
                </c:pt>
                <c:pt idx="2">
                  <c:v>1</c:v>
                </c:pt>
                <c:pt idx="3">
                  <c:v>4.25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5D-4E74-A6CA-96399CFC1966}"/>
            </c:ext>
          </c:extLst>
        </c:ser>
        <c:ser>
          <c:idx val="3"/>
          <c:order val="3"/>
          <c:tx>
            <c:strRef>
              <c:f>'Birth Rate'!$E$1</c:f>
              <c:strCache>
                <c:ptCount val="1"/>
                <c:pt idx="0">
                  <c:v>Sum of Field1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'Birth Rate'!$A$2:$A$11</c:f>
              <c:strCache>
                <c:ptCount val="9"/>
                <c:pt idx="0">
                  <c:v>G1</c:v>
                </c:pt>
                <c:pt idx="1">
                  <c:v>G2</c:v>
                </c:pt>
                <c:pt idx="2">
                  <c:v>G3</c:v>
                </c:pt>
                <c:pt idx="3">
                  <c:v>G3-</c:v>
                </c:pt>
                <c:pt idx="4">
                  <c:v>G4</c:v>
                </c:pt>
                <c:pt idx="5">
                  <c:v>G4-</c:v>
                </c:pt>
                <c:pt idx="6">
                  <c:v>G4x</c:v>
                </c:pt>
                <c:pt idx="7">
                  <c:v>G4x-</c:v>
                </c:pt>
                <c:pt idx="8">
                  <c:v>G4y-</c:v>
                </c:pt>
              </c:strCache>
            </c:strRef>
          </c:cat>
          <c:val>
            <c:numRef>
              <c:f>'Birth Rate'!$E$2:$E$11</c:f>
              <c:numCache>
                <c:formatCode>General</c:formatCode>
                <c:ptCount val="9"/>
                <c:pt idx="0">
                  <c:v>2191</c:v>
                </c:pt>
                <c:pt idx="1">
                  <c:v>4169</c:v>
                </c:pt>
                <c:pt idx="2">
                  <c:v>6210</c:v>
                </c:pt>
                <c:pt idx="3">
                  <c:v>1589</c:v>
                </c:pt>
                <c:pt idx="4">
                  <c:v>390</c:v>
                </c:pt>
                <c:pt idx="5">
                  <c:v>1538</c:v>
                </c:pt>
                <c:pt idx="6">
                  <c:v>2310</c:v>
                </c:pt>
                <c:pt idx="7">
                  <c:v>417</c:v>
                </c:pt>
                <c:pt idx="8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03-4027-861B-D1756BB25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2513872"/>
        <c:axId val="731431664"/>
      </c:barChart>
      <c:catAx>
        <c:axId val="73251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431664"/>
        <c:crosses val="autoZero"/>
        <c:auto val="1"/>
        <c:lblAlgn val="ctr"/>
        <c:lblOffset val="100"/>
        <c:noMultiLvlLbl val="0"/>
      </c:catAx>
      <c:valAx>
        <c:axId val="73143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13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Births over 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Births over TIme</a:t>
          </a:r>
        </a:p>
      </cx:txPr>
    </cx:title>
    <cx:plotArea>
      <cx:plotAreaRegion>
        <cx:series layoutId="clusteredColumn" uniqueId="{05E38481-CF25-42D1-929B-99A93532008E}"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21</xdr:col>
      <xdr:colOff>0</xdr:colOff>
      <xdr:row>22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AC1EBE-4102-5AD5-67C3-73D29BBB11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9526</xdr:colOff>
      <xdr:row>0</xdr:row>
      <xdr:rowOff>0</xdr:rowOff>
    </xdr:from>
    <xdr:to>
      <xdr:col>12</xdr:col>
      <xdr:colOff>0</xdr:colOff>
      <xdr:row>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6428531-BA16-4C2E-8D5E-792E0C9125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76701" y="0"/>
              <a:ext cx="4562474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9524</xdr:colOff>
      <xdr:row>15</xdr:row>
      <xdr:rowOff>4761</xdr:rowOff>
    </xdr:from>
    <xdr:to>
      <xdr:col>11</xdr:col>
      <xdr:colOff>752475</xdr:colOff>
      <xdr:row>28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08E6A9-61CF-28EE-02A6-8E17B28526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minik" refreshedDate="45218.768802314815" createdVersion="8" refreshedVersion="8" minRefreshableVersion="3" recordCount="58" xr:uid="{7F4C0923-383B-4FF4-89CF-DD28A419B9D2}">
  <cacheSource type="worksheet">
    <worksheetSource name="SimList"/>
  </cacheSource>
  <cacheFields count="10">
    <cacheField name="File ID" numFmtId="0">
      <sharedItems containsSemiMixedTypes="0" containsString="0" containsNumber="1" containsInteger="1" minValue="9" maxValue="436"/>
    </cacheField>
    <cacheField name="Name" numFmtId="0">
      <sharedItems/>
    </cacheField>
    <cacheField name="Gender" numFmtId="0">
      <sharedItems count="2">
        <s v="male"/>
        <s v="female"/>
      </sharedItems>
    </cacheField>
    <cacheField name="Born" numFmtId="0">
      <sharedItems containsSemiMixedTypes="0" containsString="0" containsNumber="1" containsInteger="1" minValue="0" maxValue="70"/>
    </cacheField>
    <cacheField name="Gen" numFmtId="0">
      <sharedItems count="9">
        <s v="G1"/>
        <s v="G2"/>
        <s v="G3-"/>
        <s v="G3"/>
        <s v="G4x"/>
        <s v="G4-"/>
        <s v="G4"/>
        <s v="G4x-"/>
        <s v="G4y-"/>
      </sharedItems>
    </cacheField>
    <cacheField name="Mother" numFmtId="0">
      <sharedItems containsBlank="1"/>
    </cacheField>
    <cacheField name="Father" numFmtId="0">
      <sharedItems containsBlank="1"/>
    </cacheField>
    <cacheField name="Consanguinity" numFmtId="165">
      <sharedItems containsSemiMixedTypes="0" containsString="0" containsNumber="1" minValue="0" maxValue="6.25E-2"/>
    </cacheField>
    <cacheField name="Children" numFmtId="0">
      <sharedItems containsSemiMixedTypes="0" containsString="0" containsNumber="1" containsInteger="1" minValue="0" maxValue="7"/>
    </cacheField>
    <cacheField name="Field1" numFmtId="0" formula="'File ID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">
  <r>
    <n v="362"/>
    <s v="Byakuya"/>
    <x v="0"/>
    <n v="0"/>
    <x v="0"/>
    <m/>
    <m/>
    <n v="0"/>
    <n v="5"/>
  </r>
  <r>
    <n v="363"/>
    <s v="Lillian"/>
    <x v="1"/>
    <n v="0"/>
    <x v="0"/>
    <m/>
    <m/>
    <n v="0"/>
    <n v="4"/>
  </r>
  <r>
    <n v="365"/>
    <s v="Shamil"/>
    <x v="0"/>
    <n v="0"/>
    <x v="0"/>
    <m/>
    <m/>
    <n v="0"/>
    <n v="5"/>
  </r>
  <r>
    <n v="366"/>
    <s v="Connie"/>
    <x v="1"/>
    <n v="0"/>
    <x v="0"/>
    <m/>
    <m/>
    <n v="0"/>
    <n v="5"/>
  </r>
  <r>
    <n v="367"/>
    <s v="Darya"/>
    <x v="1"/>
    <n v="0"/>
    <x v="0"/>
    <m/>
    <m/>
    <n v="0"/>
    <n v="4"/>
  </r>
  <r>
    <n v="368"/>
    <s v="Yakov"/>
    <x v="0"/>
    <n v="0"/>
    <x v="0"/>
    <m/>
    <m/>
    <n v="0"/>
    <n v="3"/>
  </r>
  <r>
    <n v="371"/>
    <s v="Novel"/>
    <x v="0"/>
    <n v="4"/>
    <x v="1"/>
    <s v="Darya"/>
    <s v="Yakov"/>
    <n v="0"/>
    <n v="3"/>
  </r>
  <r>
    <n v="372"/>
    <s v="Noah"/>
    <x v="0"/>
    <n v="7"/>
    <x v="1"/>
    <s v="Connie"/>
    <s v="Shamil"/>
    <n v="0"/>
    <n v="6"/>
  </r>
  <r>
    <n v="377"/>
    <s v="Chika"/>
    <x v="1"/>
    <n v="11"/>
    <x v="1"/>
    <s v="Lillian"/>
    <s v="Byakuya"/>
    <n v="0"/>
    <n v="3"/>
  </r>
  <r>
    <n v="374"/>
    <s v="Hikari"/>
    <x v="1"/>
    <n v="12"/>
    <x v="1"/>
    <s v="Connie"/>
    <s v="Byakuya"/>
    <n v="0"/>
    <n v="4"/>
  </r>
  <r>
    <n v="375"/>
    <s v="Brandon"/>
    <x v="0"/>
    <n v="12"/>
    <x v="1"/>
    <s v="Connie"/>
    <s v="Byakuya"/>
    <n v="0"/>
    <n v="4"/>
  </r>
  <r>
    <n v="378"/>
    <s v="Miyuki"/>
    <x v="1"/>
    <n v="12"/>
    <x v="1"/>
    <s v="Darya"/>
    <s v="Byakuya"/>
    <n v="0"/>
    <n v="4"/>
  </r>
  <r>
    <n v="380"/>
    <s v="Jonah"/>
    <x v="0"/>
    <n v="16"/>
    <x v="1"/>
    <s v="Lillian"/>
    <s v="Shamil"/>
    <n v="0"/>
    <n v="7"/>
  </r>
  <r>
    <n v="385"/>
    <s v="Sofia"/>
    <x v="1"/>
    <n v="16"/>
    <x v="1"/>
    <s v="Connie"/>
    <s v="Yakov"/>
    <n v="0"/>
    <n v="5"/>
  </r>
  <r>
    <n v="382"/>
    <s v="Riku"/>
    <x v="0"/>
    <n v="19"/>
    <x v="1"/>
    <s v="Lillian"/>
    <s v="Yakov"/>
    <n v="0"/>
    <n v="5"/>
  </r>
  <r>
    <n v="384"/>
    <s v="Eva"/>
    <x v="1"/>
    <n v="21"/>
    <x v="1"/>
    <s v="Darya"/>
    <s v="Shamil"/>
    <n v="0"/>
    <n v="3"/>
  </r>
  <r>
    <n v="387"/>
    <s v="Pavel"/>
    <x v="0"/>
    <n v="22"/>
    <x v="2"/>
    <s v="Lillian"/>
    <s v="Novel"/>
    <n v="0"/>
    <n v="6"/>
  </r>
  <r>
    <n v="391"/>
    <s v="Arseny"/>
    <x v="0"/>
    <n v="25"/>
    <x v="1"/>
    <s v="Connie"/>
    <s v="Shamil"/>
    <n v="0"/>
    <n v="2"/>
  </r>
  <r>
    <n v="389"/>
    <s v="Julia"/>
    <x v="1"/>
    <n v="26"/>
    <x v="2"/>
    <s v="Chika"/>
    <s v="Shamil"/>
    <n v="0"/>
    <n v="4"/>
  </r>
  <r>
    <n v="392"/>
    <s v="Luna"/>
    <x v="1"/>
    <n v="30"/>
    <x v="2"/>
    <s v="Darya"/>
    <s v="Brandon"/>
    <n v="0"/>
    <n v="4"/>
  </r>
  <r>
    <n v="393"/>
    <s v="Zinaida"/>
    <x v="1"/>
    <n v="34"/>
    <x v="3"/>
    <s v="Hikari"/>
    <s v="Riku"/>
    <n v="0"/>
    <n v="1"/>
  </r>
  <r>
    <n v="395"/>
    <s v="Sakura"/>
    <x v="1"/>
    <n v="36"/>
    <x v="3"/>
    <s v="Chika"/>
    <s v="Novel"/>
    <n v="0"/>
    <n v="1"/>
  </r>
  <r>
    <n v="413"/>
    <s v="Amethyst"/>
    <x v="1"/>
    <n v="37"/>
    <x v="3"/>
    <s v="Miyuki"/>
    <s v="Riku"/>
    <n v="0"/>
    <n v="3"/>
  </r>
  <r>
    <n v="410"/>
    <s v="Haruto"/>
    <x v="0"/>
    <n v="42"/>
    <x v="3"/>
    <s v="Miyuki"/>
    <s v="Jonah"/>
    <n v="0"/>
    <n v="2"/>
  </r>
  <r>
    <n v="412"/>
    <s v="Tetsuken"/>
    <x v="0"/>
    <n v="43"/>
    <x v="3"/>
    <s v="Riku"/>
    <s v="Noah"/>
    <n v="0"/>
    <n v="1"/>
  </r>
  <r>
    <n v="414"/>
    <s v="Seido"/>
    <x v="0"/>
    <n v="43"/>
    <x v="3"/>
    <s v="Chika"/>
    <s v="Noah"/>
    <n v="0"/>
    <n v="1"/>
  </r>
  <r>
    <n v="415"/>
    <s v="Carbo"/>
    <x v="0"/>
    <n v="44"/>
    <x v="3"/>
    <s v="Eva"/>
    <s v="Brandon"/>
    <n v="0"/>
    <n v="3"/>
  </r>
  <r>
    <n v="421"/>
    <s v="Suzu"/>
    <x v="1"/>
    <n v="44"/>
    <x v="2"/>
    <s v="Sofia"/>
    <s v="Byakuya"/>
    <n v="0"/>
    <n v="3"/>
  </r>
  <r>
    <n v="411"/>
    <s v="Jasper"/>
    <x v="0"/>
    <n v="45"/>
    <x v="3"/>
    <s v="Miyuki"/>
    <s v="Noah"/>
    <n v="0"/>
    <n v="1"/>
  </r>
  <r>
    <n v="422"/>
    <s v="Magma"/>
    <x v="0"/>
    <n v="48"/>
    <x v="3"/>
    <s v="Miyuki"/>
    <s v="Noah"/>
    <n v="0"/>
    <n v="0"/>
  </r>
  <r>
    <n v="416"/>
    <s v="Lapis"/>
    <x v="0"/>
    <n v="49"/>
    <x v="3"/>
    <s v="Eva"/>
    <s v="Riku"/>
    <n v="0"/>
    <n v="1"/>
  </r>
  <r>
    <n v="417"/>
    <s v="Lazuli"/>
    <x v="0"/>
    <n v="49"/>
    <x v="3"/>
    <s v="Eva"/>
    <s v="Riku"/>
    <n v="0"/>
    <n v="0"/>
  </r>
  <r>
    <n v="423"/>
    <s v="Sulfina"/>
    <x v="1"/>
    <n v="49"/>
    <x v="3"/>
    <s v="Sofia"/>
    <s v="Jonah"/>
    <n v="0"/>
    <n v="1"/>
  </r>
  <r>
    <n v="426"/>
    <s v="Saori"/>
    <x v="1"/>
    <n v="49"/>
    <x v="4"/>
    <s v="Julia"/>
    <s v="Novel"/>
    <n v="0"/>
    <n v="0"/>
  </r>
  <r>
    <n v="431"/>
    <s v="Kinro"/>
    <x v="0"/>
    <n v="49"/>
    <x v="4"/>
    <s v="Arseny"/>
    <s v="Pavel"/>
    <n v="0"/>
    <n v="0"/>
  </r>
  <r>
    <n v="436"/>
    <s v="Turquoise"/>
    <x v="1"/>
    <n v="53"/>
    <x v="5"/>
    <s v="Amethyst"/>
    <s v="Noah"/>
    <n v="0"/>
    <n v="0"/>
  </r>
  <r>
    <n v="418"/>
    <s v="Kohaku"/>
    <x v="1"/>
    <n v="55"/>
    <x v="3"/>
    <s v="Hikari"/>
    <s v="Jonah"/>
    <n v="0"/>
    <n v="0"/>
  </r>
  <r>
    <n v="419"/>
    <s v="Sango"/>
    <x v="1"/>
    <n v="55"/>
    <x v="3"/>
    <s v="Hikari"/>
    <s v="Jonah"/>
    <n v="0"/>
    <n v="0"/>
  </r>
  <r>
    <n v="427"/>
    <s v="Ken'Ichi"/>
    <x v="0"/>
    <n v="56"/>
    <x v="5"/>
    <s v="Sofia"/>
    <s v="Haruto"/>
    <n v="0"/>
    <n v="0"/>
  </r>
  <r>
    <n v="428"/>
    <s v="Varvara"/>
    <x v="1"/>
    <n v="56"/>
    <x v="5"/>
    <s v="Sofia"/>
    <s v="Haruto"/>
    <n v="0"/>
    <n v="0"/>
  </r>
  <r>
    <n v="430"/>
    <s v="Garnet"/>
    <x v="1"/>
    <n v="56"/>
    <x v="4"/>
    <s v="Julia"/>
    <s v="Sofia"/>
    <n v="0"/>
    <n v="0"/>
  </r>
  <r>
    <n v="432"/>
    <s v="Ginro"/>
    <x v="0"/>
    <n v="58"/>
    <x v="3"/>
    <s v="Brandon"/>
    <s v="Jonah"/>
    <n v="0"/>
    <n v="0"/>
  </r>
  <r>
    <n v="433"/>
    <s v="Alumi"/>
    <x v="1"/>
    <n v="60"/>
    <x v="4"/>
    <s v="Luna"/>
    <s v="Jonah"/>
    <n v="0"/>
    <n v="0"/>
  </r>
  <r>
    <n v="435"/>
    <s v="Hagane"/>
    <x v="0"/>
    <n v="60"/>
    <x v="4"/>
    <s v="Suzu"/>
    <s v="Jonah"/>
    <n v="0"/>
    <n v="0"/>
  </r>
  <r>
    <n v="9"/>
    <s v="Tourmaline"/>
    <x v="1"/>
    <n v="63"/>
    <x v="5"/>
    <s v="Amethyst"/>
    <s v="Noah"/>
    <n v="0"/>
    <n v="0"/>
  </r>
  <r>
    <n v="18"/>
    <s v="Shirogane"/>
    <x v="1"/>
    <n v="64"/>
    <x v="5"/>
    <s v="Sakura"/>
    <s v="Arseny"/>
    <n v="0"/>
    <n v="0"/>
  </r>
  <r>
    <n v="155"/>
    <s v="Ganen"/>
    <x v="0"/>
    <n v="65"/>
    <x v="4"/>
    <s v="Hikari"/>
    <s v="Pavel"/>
    <n v="0"/>
    <n v="0"/>
  </r>
  <r>
    <n v="156"/>
    <s v="En"/>
    <x v="1"/>
    <n v="66"/>
    <x v="6"/>
    <s v="Zinaida"/>
    <s v="Jasper"/>
    <n v="6.25E-2"/>
    <n v="0"/>
  </r>
  <r>
    <n v="170"/>
    <s v="Sagan"/>
    <x v="0"/>
    <n v="66"/>
    <x v="7"/>
    <s v="Suzu"/>
    <s v="Pavel"/>
    <n v="3.125E-2"/>
    <n v="0"/>
  </r>
  <r>
    <n v="179"/>
    <s v="Lithia"/>
    <x v="1"/>
    <n v="66"/>
    <x v="7"/>
    <s v="Suzu"/>
    <s v="Pavel"/>
    <n v="3.125E-2"/>
    <n v="0"/>
  </r>
  <r>
    <n v="69"/>
    <s v="Agat"/>
    <x v="0"/>
    <n v="67"/>
    <x v="6"/>
    <s v="Amethyst"/>
    <s v="Seido"/>
    <n v="6.25E-2"/>
    <n v="0"/>
  </r>
  <r>
    <n v="188"/>
    <s v="Apatite"/>
    <x v="0"/>
    <n v="68"/>
    <x v="8"/>
    <s v="Pavel"/>
    <s v="Carbo"/>
    <n v="3.125E-2"/>
    <n v="0"/>
  </r>
  <r>
    <n v="198"/>
    <s v="Azura"/>
    <x v="1"/>
    <n v="68"/>
    <x v="8"/>
    <s v="Pavel"/>
    <s v="Carbo"/>
    <n v="3.125E-2"/>
    <n v="0"/>
  </r>
  <r>
    <n v="59"/>
    <s v="Unmo"/>
    <x v="0"/>
    <n v="69"/>
    <x v="5"/>
    <s v="Julia"/>
    <s v="Luna"/>
    <n v="3.125E-2"/>
    <n v="0"/>
  </r>
  <r>
    <n v="68"/>
    <s v="Mica"/>
    <x v="1"/>
    <n v="69"/>
    <x v="7"/>
    <s v="Julia"/>
    <s v="Luna"/>
    <n v="3.125E-2"/>
    <n v="0"/>
  </r>
  <r>
    <n v="161"/>
    <s v="Topaz"/>
    <x v="1"/>
    <n v="69"/>
    <x v="5"/>
    <s v="Lapis"/>
    <s v="Brandon"/>
    <n v="0"/>
    <n v="0"/>
  </r>
  <r>
    <n v="165"/>
    <s v="Nitro"/>
    <x v="0"/>
    <n v="69"/>
    <x v="6"/>
    <s v="Sulfina"/>
    <s v="Carbo"/>
    <n v="6.25E-2"/>
    <n v="0"/>
  </r>
  <r>
    <n v="90"/>
    <s v="Kokuyo"/>
    <x v="0"/>
    <n v="70"/>
    <x v="8"/>
    <s v="Luna"/>
    <s v="Tetsuken"/>
    <n v="3.125E-2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99F68C-2307-492E-92F3-C248F97C0D25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Generation">
  <location ref="A1:E11" firstHeaderRow="0" firstDataRow="1" firstDataCol="1"/>
  <pivotFields count="10">
    <pivotField showAll="0"/>
    <pivotField showAll="0"/>
    <pivotField showAll="0"/>
    <pivotField showAll="0"/>
    <pivotField axis="axisRow" dataField="1" showAll="0">
      <items count="10">
        <item x="0"/>
        <item x="1"/>
        <item x="3"/>
        <item x="2"/>
        <item x="6"/>
        <item x="5"/>
        <item x="4"/>
        <item x="7"/>
        <item x="8"/>
        <item t="default"/>
      </items>
    </pivotField>
    <pivotField showAll="0"/>
    <pivotField showAll="0"/>
    <pivotField dataField="1" numFmtId="165" showAll="0"/>
    <pivotField dataField="1" showAll="0"/>
    <pivotField dataField="1" dragToRow="0" dragToCol="0" dragToPage="0" showAll="0" defaultSubtota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" fld="4" subtotal="count" baseField="0" baseItem="0"/>
    <dataField name="Avg Consanguinity" fld="7" subtotal="average" baseField="4" baseItem="0" numFmtId="165"/>
    <dataField name="Avg Children" fld="8" subtotal="average" baseField="4" baseItem="0" numFmtId="2"/>
    <dataField name="Sum of Field1" fld="9" baseField="0" baseItem="0"/>
  </dataFields>
  <formats count="2">
    <format dxfId="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EB1613B-1A46-4EE9-AFF5-A6725F1E70D0}" name="SimList" displayName="SimList" ref="A1:L59" totalsRowShown="0">
  <autoFilter ref="A1:L59" xr:uid="{CEB1613B-1A46-4EE9-AFF5-A6725F1E70D0}"/>
  <sortState xmlns:xlrd2="http://schemas.microsoft.com/office/spreadsheetml/2017/richdata2" ref="A2:L59">
    <sortCondition ref="G1:G59"/>
  </sortState>
  <tableColumns count="12">
    <tableColumn id="10" xr3:uid="{4B0813D3-8D71-4CFF-9AB6-05F9C5758352}" name="File ID"/>
    <tableColumn id="2" xr3:uid="{E6E8FD17-DBDA-40D0-A67D-7AB10DDF2FE7}" name="Instance" dataDxfId="31">
      <calculatedColumnFormula>HEX2DEC(18)</calculatedColumnFormula>
    </tableColumn>
    <tableColumn id="3" xr3:uid="{3B22D1DD-1683-4C0B-B0DA-22559D3AC822}" name="SCID" dataDxfId="30">
      <calculatedColumnFormula>HEX2DEC(SimList[[#This Row],[Instance]])</calculatedColumnFormula>
    </tableColumn>
    <tableColumn id="4" xr3:uid="{36F9B7AC-DF41-4802-9311-9B353AFC76DE}" name="Name" dataDxfId="29"/>
    <tableColumn id="13" xr3:uid="{CFAE1629-CC2C-4FE5-ADA6-1576E8C61F30}" name="Gender" dataDxfId="28"/>
    <tableColumn id="11" xr3:uid="{B7462D19-9833-48E0-817D-940B9D7576C6}" name="Born" dataDxfId="27"/>
    <tableColumn id="9" xr3:uid="{889F3848-9C16-48E0-B7A2-C0A6DD60CE20}" name="Gen" dataDxfId="26"/>
    <tableColumn id="5" xr3:uid="{62A9F281-91AE-4220-BF4C-F4818104627F}" name="Mother"/>
    <tableColumn id="6" xr3:uid="{F8FFA172-49CC-4176-9AEA-71D9E263C28C}" name="Father"/>
    <tableColumn id="8" xr3:uid="{44AF341C-A8A7-48BC-99EF-6DA4AA6FA0E6}" name="Status"/>
    <tableColumn id="1" xr3:uid="{C05F3653-5A72-4074-84E7-DB6E452F01FD}" name="Consanguinity" dataDxfId="25" dataCellStyle="Percent"/>
    <tableColumn id="7" xr3:uid="{C846F2C7-DD68-4DCF-999B-30075FCFEF3D}" name="Children" dataDxfId="24">
      <calculatedColumnFormula>COUNTIF(SimList[[Mother]:[Father]], SimList[[#This Row],[Name]])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65CC0E-68EA-417B-8E42-77E6D7CBF126}" name="Rotation" displayName="Rotation" ref="A1:K46" totalsRowShown="0">
  <autoFilter ref="A1:K46" xr:uid="{8765CC0E-68EA-417B-8E42-77E6D7CBF126}"/>
  <sortState xmlns:xlrd2="http://schemas.microsoft.com/office/spreadsheetml/2017/richdata2" ref="A2:K46">
    <sortCondition ref="A1:A46"/>
  </sortState>
  <tableColumns count="11">
    <tableColumn id="12" xr3:uid="{C8F4D09E-9857-4A8D-856C-B23DD9683FF1}" name="#" dataDxfId="23"/>
    <tableColumn id="5" xr3:uid="{5509693E-A865-4483-A653-FEA020D772DB}" name="Year" dataDxfId="22"/>
    <tableColumn id="3" xr3:uid="{06D68C4E-8AF7-48FD-B0D8-B1871A4A7BFE}" name="Household"/>
    <tableColumn id="4" xr3:uid="{74369085-0DF6-4021-8175-1DE476687D7C}" name="Name" dataDxfId="21"/>
    <tableColumn id="1" xr3:uid="{7D329C35-86E1-4E7B-A8F8-9CD0FB26E922}" name="Last Name" dataDxfId="20"/>
    <tableColumn id="13" xr3:uid="{039B9B2A-AF0E-4409-B1C0-47682788FDF8}" name="Gender" dataDxfId="19">
      <calculatedColumnFormula>_xlfn.XLOOKUP(Rotation[[#This Row],[Name]],SimList[Name],SimList[Gender])</calculatedColumnFormula>
    </tableColumn>
    <tableColumn id="11" xr3:uid="{B35F226E-D3CF-4A4F-AAF8-362C7B5643ED}" name="Born">
      <calculatedColumnFormula>_xlfn.XLOOKUP(Rotation[[#This Row],[Name]],SimList[Name],SimList[Born])</calculatedColumnFormula>
    </tableColumn>
    <tableColumn id="7" xr3:uid="{0903F610-6FB9-45F4-A53D-BD393D61DDFD}" name="Age" dataDxfId="18">
      <calculatedColumnFormula>Rotation[[#This Row],[Year]]-Rotation[[#This Row],[Born]]</calculatedColumnFormula>
    </tableColumn>
    <tableColumn id="6" xr3:uid="{5D76A492-8C80-47AA-B768-62AEC0B45026}" name="Lifestage">
      <calculatedColumnFormula>_xlfn.XLOOKUP(Rotation[[#This Row],[Lifestage]],#REF!,Lifestages[Lifestage],"",-1)</calculatedColumnFormula>
    </tableColumn>
    <tableColumn id="8" xr3:uid="{C007F16D-A5A0-4E54-8FF3-6F2A88BF292D}" name="Goals"/>
    <tableColumn id="2" xr3:uid="{5B4EC2A0-8D55-4317-915E-A8513214B35A}" name="Not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8450C62-4208-4D08-9DFE-D9E391CD8E7C}" name="Lifestages" displayName="Lifestages" ref="U1:W7" totalsRowShown="0">
  <autoFilter ref="U1:W7" xr:uid="{D8450C62-4208-4D08-9DFE-D9E391CD8E7C}"/>
  <tableColumns count="3">
    <tableColumn id="2" xr3:uid="{B66C18B4-3823-402D-B435-6D2B86CE088C}" name="Lifestage"/>
    <tableColumn id="4" xr3:uid="{9669D0E2-EDF4-463E-A2FC-D25094AB61BB}" name="Span"/>
    <tableColumn id="5" xr3:uid="{0BF61EB8-0A91-4DFE-BF82-1EE68A8F0C7D}" name="Age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216A76-3BD9-465A-8B78-F73B046912C4}" name="Table2" displayName="Table2" ref="A1:B13" totalsRowShown="0">
  <autoFilter ref="A1:B13" xr:uid="{4C216A76-3BD9-465A-8B78-F73B046912C4}"/>
  <tableColumns count="2">
    <tableColumn id="1" xr3:uid="{A3DEE05D-3ECB-458D-B8C8-9FB48F1031E2}" name="Male"/>
    <tableColumn id="2" xr3:uid="{FF66977E-4797-4FF6-A90F-A3763F06F21C}" name="Female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25480A-8A94-44CE-930E-A59894888869}" name="Table3" displayName="Table3" ref="A3:C9" totalsRowShown="0">
  <autoFilter ref="A3:C9" xr:uid="{8A25480A-8A94-44CE-930E-A59894888869}"/>
  <tableColumns count="3">
    <tableColumn id="2" xr3:uid="{E282D693-9B20-4977-8DAD-9D18E9FBD8A6}" name="Enneagram" dataDxfId="17"/>
    <tableColumn id="1" xr3:uid="{117070A6-06EE-4CD5-9D6A-3654C03F368F}" name="Aspiration" dataDxfId="16"/>
    <tableColumn id="3" xr3:uid="{45E34EA3-1724-42E5-BC34-20AA63969758}" name="Personality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F705E-8FD0-4BC8-9A28-DABEDDAB5D4B}">
  <dimension ref="A1:L59"/>
  <sheetViews>
    <sheetView workbookViewId="0">
      <selection activeCell="G54" sqref="G54:G56"/>
    </sheetView>
  </sheetViews>
  <sheetFormatPr defaultRowHeight="15" x14ac:dyDescent="0.25"/>
  <cols>
    <col min="1" max="1" width="8.85546875" bestFit="1" customWidth="1"/>
    <col min="2" max="2" width="10.7109375" style="177" hidden="1" customWidth="1"/>
    <col min="3" max="3" width="7.28515625" style="177" bestFit="1" customWidth="1"/>
    <col min="4" max="4" width="11.140625" bestFit="1" customWidth="1"/>
    <col min="5" max="5" width="10" bestFit="1" customWidth="1"/>
    <col min="6" max="6" width="7.42578125" bestFit="1" customWidth="1"/>
    <col min="7" max="7" width="7" bestFit="1" customWidth="1"/>
    <col min="8" max="8" width="10" bestFit="1" customWidth="1"/>
    <col min="9" max="9" width="9.140625" bestFit="1" customWidth="1"/>
    <col min="10" max="10" width="8.7109375" bestFit="1" customWidth="1"/>
    <col min="11" max="11" width="16" bestFit="1" customWidth="1"/>
    <col min="12" max="12" width="10.85546875" bestFit="1" customWidth="1"/>
  </cols>
  <sheetData>
    <row r="1" spans="1:12" x14ac:dyDescent="0.25">
      <c r="A1" t="s">
        <v>162</v>
      </c>
      <c r="B1" s="177" t="s">
        <v>248</v>
      </c>
      <c r="C1" s="177" t="s">
        <v>246</v>
      </c>
      <c r="D1" t="s">
        <v>63</v>
      </c>
      <c r="E1" t="s">
        <v>111</v>
      </c>
      <c r="F1" s="23" t="s">
        <v>116</v>
      </c>
      <c r="G1" t="s">
        <v>118</v>
      </c>
      <c r="H1" t="s">
        <v>164</v>
      </c>
      <c r="I1" t="s">
        <v>165</v>
      </c>
      <c r="J1" t="s">
        <v>169</v>
      </c>
      <c r="K1" s="18" t="s">
        <v>163</v>
      </c>
      <c r="L1" t="s">
        <v>101</v>
      </c>
    </row>
    <row r="2" spans="1:12" x14ac:dyDescent="0.25">
      <c r="A2">
        <v>362</v>
      </c>
      <c r="B2" s="200" t="s">
        <v>292</v>
      </c>
      <c r="C2" s="23">
        <f>HEX2DEC(SimList[[#This Row],[Instance]])</f>
        <v>384</v>
      </c>
      <c r="D2" s="3" t="s">
        <v>91</v>
      </c>
      <c r="E2" s="3" t="s">
        <v>113</v>
      </c>
      <c r="F2">
        <v>0</v>
      </c>
      <c r="G2" t="s">
        <v>117</v>
      </c>
      <c r="J2" t="s">
        <v>107</v>
      </c>
      <c r="K2" s="18">
        <v>0</v>
      </c>
      <c r="L2">
        <f>COUNTIF(SimList[[Mother]:[Father]], SimList[[#This Row],[Name]])</f>
        <v>5</v>
      </c>
    </row>
    <row r="3" spans="1:12" x14ac:dyDescent="0.25">
      <c r="A3">
        <v>363</v>
      </c>
      <c r="B3" s="200" t="s">
        <v>293</v>
      </c>
      <c r="C3" s="23">
        <f>HEX2DEC(SimList[[#This Row],[Instance]])</f>
        <v>385</v>
      </c>
      <c r="D3" s="3" t="s">
        <v>94</v>
      </c>
      <c r="E3" s="3" t="s">
        <v>112</v>
      </c>
      <c r="F3">
        <v>0</v>
      </c>
      <c r="G3" t="s">
        <v>117</v>
      </c>
      <c r="J3" t="s">
        <v>107</v>
      </c>
      <c r="K3" s="18">
        <v>0</v>
      </c>
      <c r="L3">
        <f>COUNTIF(SimList[[Mother]:[Father]], SimList[[#This Row],[Name]])</f>
        <v>4</v>
      </c>
    </row>
    <row r="4" spans="1:12" x14ac:dyDescent="0.25">
      <c r="A4">
        <v>365</v>
      </c>
      <c r="B4" s="200" t="s">
        <v>294</v>
      </c>
      <c r="C4" s="23">
        <f>HEX2DEC(SimList[[#This Row],[Instance]])</f>
        <v>387</v>
      </c>
      <c r="D4" s="3" t="s">
        <v>100</v>
      </c>
      <c r="E4" s="3" t="s">
        <v>113</v>
      </c>
      <c r="F4">
        <v>0</v>
      </c>
      <c r="G4" t="s">
        <v>117</v>
      </c>
      <c r="J4" t="s">
        <v>107</v>
      </c>
      <c r="K4" s="18">
        <v>0</v>
      </c>
      <c r="L4">
        <f>COUNTIF(SimList[[Mother]:[Father]], SimList[[#This Row],[Name]])</f>
        <v>5</v>
      </c>
    </row>
    <row r="5" spans="1:12" x14ac:dyDescent="0.25">
      <c r="A5">
        <v>366</v>
      </c>
      <c r="B5" s="200" t="s">
        <v>295</v>
      </c>
      <c r="C5" s="23">
        <f>HEX2DEC(SimList[[#This Row],[Instance]])</f>
        <v>388</v>
      </c>
      <c r="D5" s="3" t="s">
        <v>92</v>
      </c>
      <c r="E5" s="3" t="s">
        <v>112</v>
      </c>
      <c r="F5">
        <v>0</v>
      </c>
      <c r="G5" t="s">
        <v>117</v>
      </c>
      <c r="J5" t="s">
        <v>107</v>
      </c>
      <c r="K5" s="18">
        <v>0</v>
      </c>
      <c r="L5">
        <f>COUNTIF(SimList[[Mother]:[Father]], SimList[[#This Row],[Name]])</f>
        <v>5</v>
      </c>
    </row>
    <row r="6" spans="1:12" x14ac:dyDescent="0.25">
      <c r="A6">
        <v>367</v>
      </c>
      <c r="B6" s="200" t="s">
        <v>296</v>
      </c>
      <c r="C6" s="23">
        <f>HEX2DEC(SimList[[#This Row],[Instance]])</f>
        <v>389</v>
      </c>
      <c r="D6" s="3" t="s">
        <v>93</v>
      </c>
      <c r="E6" s="3" t="s">
        <v>112</v>
      </c>
      <c r="F6">
        <v>0</v>
      </c>
      <c r="G6" t="s">
        <v>117</v>
      </c>
      <c r="J6" t="s">
        <v>107</v>
      </c>
      <c r="K6" s="18">
        <v>0</v>
      </c>
      <c r="L6">
        <f>COUNTIF(SimList[[Mother]:[Father]], SimList[[#This Row],[Name]])</f>
        <v>4</v>
      </c>
    </row>
    <row r="7" spans="1:12" x14ac:dyDescent="0.25">
      <c r="A7">
        <v>368</v>
      </c>
      <c r="B7" s="200" t="s">
        <v>297</v>
      </c>
      <c r="C7" s="23">
        <f>HEX2DEC(SimList[[#This Row],[Instance]])</f>
        <v>390</v>
      </c>
      <c r="D7" s="3" t="s">
        <v>99</v>
      </c>
      <c r="E7" s="3" t="s">
        <v>113</v>
      </c>
      <c r="F7">
        <v>0</v>
      </c>
      <c r="G7" t="s">
        <v>117</v>
      </c>
      <c r="J7" t="s">
        <v>107</v>
      </c>
      <c r="K7" s="18">
        <v>0</v>
      </c>
      <c r="L7">
        <f>COUNTIF(SimList[[Mother]:[Father]], SimList[[#This Row],[Name]])</f>
        <v>3</v>
      </c>
    </row>
    <row r="8" spans="1:12" x14ac:dyDescent="0.25">
      <c r="A8">
        <v>371</v>
      </c>
      <c r="B8" s="200" t="s">
        <v>298</v>
      </c>
      <c r="C8" s="23">
        <f>HEX2DEC(SimList[[#This Row],[Instance]])</f>
        <v>394</v>
      </c>
      <c r="D8" s="3" t="s">
        <v>102</v>
      </c>
      <c r="E8" s="3" t="s">
        <v>113</v>
      </c>
      <c r="F8">
        <v>4</v>
      </c>
      <c r="G8" t="s">
        <v>61</v>
      </c>
      <c r="H8" t="s">
        <v>93</v>
      </c>
      <c r="I8" t="s">
        <v>99</v>
      </c>
      <c r="J8" t="s">
        <v>107</v>
      </c>
      <c r="K8" s="18">
        <v>0</v>
      </c>
      <c r="L8">
        <f>COUNTIF(SimList[[Mother]:[Father]], SimList[[#This Row],[Name]])</f>
        <v>3</v>
      </c>
    </row>
    <row r="9" spans="1:12" x14ac:dyDescent="0.25">
      <c r="A9">
        <v>372</v>
      </c>
      <c r="B9" s="200" t="s">
        <v>247</v>
      </c>
      <c r="C9" s="23">
        <f>HEX2DEC(SimList[[#This Row],[Instance]])</f>
        <v>395</v>
      </c>
      <c r="D9" s="3" t="s">
        <v>2</v>
      </c>
      <c r="E9" t="s">
        <v>113</v>
      </c>
      <c r="F9" s="23">
        <v>7</v>
      </c>
      <c r="G9" t="s">
        <v>61</v>
      </c>
      <c r="H9" t="s">
        <v>92</v>
      </c>
      <c r="I9" t="s">
        <v>100</v>
      </c>
      <c r="K9" s="18">
        <v>0</v>
      </c>
      <c r="L9">
        <f>COUNTIF(SimList[[Mother]:[Father]], SimList[[#This Row],[Name]])</f>
        <v>5</v>
      </c>
    </row>
    <row r="10" spans="1:12" x14ac:dyDescent="0.25">
      <c r="A10">
        <v>377</v>
      </c>
      <c r="B10" s="200" t="s">
        <v>299</v>
      </c>
      <c r="C10" s="23">
        <f>HEX2DEC(SimList[[#This Row],[Instance]])</f>
        <v>400</v>
      </c>
      <c r="D10" s="3" t="s">
        <v>103</v>
      </c>
      <c r="E10" s="3" t="s">
        <v>112</v>
      </c>
      <c r="F10">
        <v>11</v>
      </c>
      <c r="G10" t="s">
        <v>61</v>
      </c>
      <c r="H10" t="s">
        <v>94</v>
      </c>
      <c r="I10" t="s">
        <v>91</v>
      </c>
      <c r="J10" t="s">
        <v>107</v>
      </c>
      <c r="K10" s="18">
        <v>0</v>
      </c>
      <c r="L10">
        <f>COUNTIF(SimList[[Mother]:[Father]], SimList[[#This Row],[Name]])</f>
        <v>3</v>
      </c>
    </row>
    <row r="11" spans="1:12" x14ac:dyDescent="0.25">
      <c r="A11">
        <v>374</v>
      </c>
      <c r="B11" s="200" t="s">
        <v>300</v>
      </c>
      <c r="C11" s="23">
        <f>HEX2DEC(SimList[[#This Row],[Instance]])</f>
        <v>397</v>
      </c>
      <c r="D11" s="3" t="s">
        <v>68</v>
      </c>
      <c r="E11" t="s">
        <v>112</v>
      </c>
      <c r="F11" s="23">
        <v>12</v>
      </c>
      <c r="G11" t="s">
        <v>61</v>
      </c>
      <c r="H11" t="s">
        <v>92</v>
      </c>
      <c r="I11" t="s">
        <v>91</v>
      </c>
      <c r="J11" t="s">
        <v>107</v>
      </c>
      <c r="K11" s="18">
        <v>0</v>
      </c>
      <c r="L11">
        <f>COUNTIF(SimList[[Mother]:[Father]], SimList[[#This Row],[Name]])</f>
        <v>4</v>
      </c>
    </row>
    <row r="12" spans="1:12" x14ac:dyDescent="0.25">
      <c r="A12">
        <v>375</v>
      </c>
      <c r="B12" s="200" t="s">
        <v>249</v>
      </c>
      <c r="C12" s="23">
        <f>HEX2DEC(SimList[[#This Row],[Instance]])</f>
        <v>398</v>
      </c>
      <c r="D12" s="3" t="s">
        <v>3</v>
      </c>
      <c r="E12" t="s">
        <v>113</v>
      </c>
      <c r="F12" s="23">
        <v>12</v>
      </c>
      <c r="G12" t="s">
        <v>61</v>
      </c>
      <c r="H12" t="s">
        <v>92</v>
      </c>
      <c r="I12" t="s">
        <v>91</v>
      </c>
      <c r="K12" s="18">
        <v>0</v>
      </c>
      <c r="L12">
        <f>COUNTIF(SimList[[Mother]:[Father]], SimList[[#This Row],[Name]])</f>
        <v>4</v>
      </c>
    </row>
    <row r="13" spans="1:12" x14ac:dyDescent="0.25">
      <c r="A13">
        <v>378</v>
      </c>
      <c r="B13" s="200" t="s">
        <v>301</v>
      </c>
      <c r="C13" s="23">
        <f>HEX2DEC(SimList[[#This Row],[Instance]])</f>
        <v>401</v>
      </c>
      <c r="D13" s="3" t="s">
        <v>84</v>
      </c>
      <c r="E13" s="3" t="s">
        <v>112</v>
      </c>
      <c r="F13">
        <v>12</v>
      </c>
      <c r="G13" t="s">
        <v>61</v>
      </c>
      <c r="H13" t="s">
        <v>93</v>
      </c>
      <c r="I13" t="s">
        <v>91</v>
      </c>
      <c r="J13" t="s">
        <v>107</v>
      </c>
      <c r="K13" s="18">
        <v>0</v>
      </c>
      <c r="L13">
        <f>COUNTIF(SimList[[Mother]:[Father]], SimList[[#This Row],[Name]])</f>
        <v>5</v>
      </c>
    </row>
    <row r="14" spans="1:12" x14ac:dyDescent="0.25">
      <c r="A14">
        <v>380</v>
      </c>
      <c r="B14" s="200" t="s">
        <v>302</v>
      </c>
      <c r="C14" s="23">
        <f>HEX2DEC(SimList[[#This Row],[Instance]])</f>
        <v>403</v>
      </c>
      <c r="D14" s="3" t="s">
        <v>4</v>
      </c>
      <c r="E14" s="3" t="s">
        <v>113</v>
      </c>
      <c r="F14">
        <v>16</v>
      </c>
      <c r="G14" t="s">
        <v>61</v>
      </c>
      <c r="H14" t="s">
        <v>94</v>
      </c>
      <c r="I14" t="s">
        <v>100</v>
      </c>
      <c r="J14" t="s">
        <v>107</v>
      </c>
      <c r="K14" s="18">
        <v>0</v>
      </c>
      <c r="L14">
        <f>COUNTIF(SimList[[Mother]:[Father]], SimList[[#This Row],[Name]])</f>
        <v>7</v>
      </c>
    </row>
    <row r="15" spans="1:12" x14ac:dyDescent="0.25">
      <c r="A15">
        <v>385</v>
      </c>
      <c r="B15" s="200" t="s">
        <v>250</v>
      </c>
      <c r="C15" s="23">
        <f>HEX2DEC(SimList[[#This Row],[Instance]])</f>
        <v>408</v>
      </c>
      <c r="D15" s="3" t="s">
        <v>79</v>
      </c>
      <c r="E15" t="s">
        <v>112</v>
      </c>
      <c r="F15" s="23">
        <v>16</v>
      </c>
      <c r="G15" t="s">
        <v>61</v>
      </c>
      <c r="H15" t="s">
        <v>92</v>
      </c>
      <c r="I15" t="s">
        <v>99</v>
      </c>
      <c r="K15" s="18">
        <v>0</v>
      </c>
      <c r="L15">
        <f>COUNTIF(SimList[[Mother]:[Father]], SimList[[#This Row],[Name]])</f>
        <v>5</v>
      </c>
    </row>
    <row r="16" spans="1:12" x14ac:dyDescent="0.25">
      <c r="A16">
        <v>382</v>
      </c>
      <c r="B16" s="200" t="s">
        <v>303</v>
      </c>
      <c r="C16" s="23">
        <f>HEX2DEC(SimList[[#This Row],[Instance]])</f>
        <v>405</v>
      </c>
      <c r="D16" s="3" t="s">
        <v>5</v>
      </c>
      <c r="E16" s="3" t="s">
        <v>113</v>
      </c>
      <c r="F16">
        <v>19</v>
      </c>
      <c r="G16" t="s">
        <v>61</v>
      </c>
      <c r="H16" t="s">
        <v>94</v>
      </c>
      <c r="I16" t="s">
        <v>99</v>
      </c>
      <c r="J16" t="s">
        <v>107</v>
      </c>
      <c r="K16" s="18">
        <v>0</v>
      </c>
      <c r="L16">
        <f>COUNTIF(SimList[[Mother]:[Father]], SimList[[#This Row],[Name]])</f>
        <v>5</v>
      </c>
    </row>
    <row r="17" spans="1:12" x14ac:dyDescent="0.25">
      <c r="A17">
        <v>384</v>
      </c>
      <c r="B17" s="200">
        <v>197</v>
      </c>
      <c r="C17" s="23">
        <f>HEX2DEC(SimList[[#This Row],[Instance]])</f>
        <v>407</v>
      </c>
      <c r="D17" s="3" t="s">
        <v>7</v>
      </c>
      <c r="E17" t="s">
        <v>112</v>
      </c>
      <c r="F17" s="23">
        <v>21</v>
      </c>
      <c r="G17" t="s">
        <v>61</v>
      </c>
      <c r="H17" t="s">
        <v>93</v>
      </c>
      <c r="I17" t="s">
        <v>100</v>
      </c>
      <c r="K17" s="18">
        <v>0</v>
      </c>
      <c r="L17">
        <f>COUNTIF(SimList[[Mother]:[Father]], SimList[[#This Row],[Name]])</f>
        <v>3</v>
      </c>
    </row>
    <row r="18" spans="1:12" x14ac:dyDescent="0.25">
      <c r="A18">
        <v>391</v>
      </c>
      <c r="B18" s="200" t="s">
        <v>304</v>
      </c>
      <c r="C18" s="23">
        <f>HEX2DEC(SimList[[#This Row],[Instance]])</f>
        <v>414</v>
      </c>
      <c r="D18" s="3" t="s">
        <v>6</v>
      </c>
      <c r="E18" t="s">
        <v>113</v>
      </c>
      <c r="F18" s="23">
        <v>25</v>
      </c>
      <c r="G18" t="s">
        <v>61</v>
      </c>
      <c r="H18" t="s">
        <v>92</v>
      </c>
      <c r="I18" t="s">
        <v>100</v>
      </c>
      <c r="J18" t="s">
        <v>107</v>
      </c>
      <c r="K18" s="18">
        <v>0</v>
      </c>
      <c r="L18">
        <f>COUNTIF(SimList[[Mother]:[Father]], SimList[[#This Row],[Name]])</f>
        <v>2</v>
      </c>
    </row>
    <row r="19" spans="1:12" x14ac:dyDescent="0.25">
      <c r="A19">
        <v>393</v>
      </c>
      <c r="B19" s="200" t="s">
        <v>254</v>
      </c>
      <c r="C19" s="23">
        <f>HEX2DEC(SimList[[#This Row],[Instance]])</f>
        <v>416</v>
      </c>
      <c r="D19" s="3" t="s">
        <v>71</v>
      </c>
      <c r="E19" t="s">
        <v>112</v>
      </c>
      <c r="F19" s="23">
        <v>34</v>
      </c>
      <c r="G19" t="s">
        <v>20</v>
      </c>
      <c r="H19" t="s">
        <v>68</v>
      </c>
      <c r="I19" t="s">
        <v>5</v>
      </c>
      <c r="K19" s="18">
        <v>0</v>
      </c>
      <c r="L19">
        <f>COUNTIF(SimList[[Mother]:[Father]], SimList[[#This Row],[Name]])</f>
        <v>1</v>
      </c>
    </row>
    <row r="20" spans="1:12" x14ac:dyDescent="0.25">
      <c r="A20">
        <v>395</v>
      </c>
      <c r="B20" s="200" t="s">
        <v>255</v>
      </c>
      <c r="C20" s="23">
        <f>HEX2DEC(SimList[[#This Row],[Instance]])</f>
        <v>418</v>
      </c>
      <c r="D20" s="3" t="s">
        <v>82</v>
      </c>
      <c r="E20" t="s">
        <v>112</v>
      </c>
      <c r="F20" s="23">
        <v>36</v>
      </c>
      <c r="G20" t="s">
        <v>20</v>
      </c>
      <c r="H20" t="s">
        <v>103</v>
      </c>
      <c r="I20" t="s">
        <v>102</v>
      </c>
      <c r="K20" s="18">
        <v>0</v>
      </c>
      <c r="L20">
        <f>COUNTIF(SimList[[Mother]:[Father]], SimList[[#This Row],[Name]])</f>
        <v>1</v>
      </c>
    </row>
    <row r="21" spans="1:12" x14ac:dyDescent="0.25">
      <c r="A21">
        <v>413</v>
      </c>
      <c r="B21" s="200" t="s">
        <v>259</v>
      </c>
      <c r="C21" s="23">
        <f>HEX2DEC(SimList[[#This Row],[Instance]])</f>
        <v>436</v>
      </c>
      <c r="D21" s="3" t="s">
        <v>85</v>
      </c>
      <c r="E21" t="s">
        <v>112</v>
      </c>
      <c r="F21" s="23">
        <v>37</v>
      </c>
      <c r="G21" t="s">
        <v>20</v>
      </c>
      <c r="H21" t="s">
        <v>84</v>
      </c>
      <c r="I21" t="s">
        <v>5</v>
      </c>
      <c r="K21" s="18">
        <v>0</v>
      </c>
      <c r="L21">
        <f>COUNTIF(SimList[[Mother]:[Father]], SimList[[#This Row],[Name]])</f>
        <v>2</v>
      </c>
    </row>
    <row r="22" spans="1:12" x14ac:dyDescent="0.25">
      <c r="A22">
        <v>410</v>
      </c>
      <c r="B22" s="200" t="s">
        <v>256</v>
      </c>
      <c r="C22" s="23">
        <f>HEX2DEC(SimList[[#This Row],[Instance]])</f>
        <v>433</v>
      </c>
      <c r="D22" s="3" t="s">
        <v>11</v>
      </c>
      <c r="E22" t="s">
        <v>113</v>
      </c>
      <c r="F22" s="23">
        <v>42</v>
      </c>
      <c r="G22" t="s">
        <v>20</v>
      </c>
      <c r="H22" t="s">
        <v>84</v>
      </c>
      <c r="I22" t="s">
        <v>4</v>
      </c>
      <c r="K22" s="18">
        <v>0</v>
      </c>
      <c r="L22">
        <f>COUNTIF(SimList[[Mother]:[Father]], SimList[[#This Row],[Name]])</f>
        <v>2</v>
      </c>
    </row>
    <row r="23" spans="1:12" x14ac:dyDescent="0.25">
      <c r="A23">
        <v>412</v>
      </c>
      <c r="B23" s="200" t="s">
        <v>258</v>
      </c>
      <c r="C23" s="23">
        <f>HEX2DEC(SimList[[#This Row],[Instance]])</f>
        <v>435</v>
      </c>
      <c r="D23" s="3" t="s">
        <v>13</v>
      </c>
      <c r="E23" t="s">
        <v>113</v>
      </c>
      <c r="F23" s="23">
        <v>43</v>
      </c>
      <c r="G23" t="s">
        <v>20</v>
      </c>
      <c r="H23" t="s">
        <v>5</v>
      </c>
      <c r="I23" t="s">
        <v>2</v>
      </c>
      <c r="K23" s="18">
        <v>0</v>
      </c>
      <c r="L23">
        <f>COUNTIF(SimList[[Mother]:[Father]], SimList[[#This Row],[Name]])</f>
        <v>2</v>
      </c>
    </row>
    <row r="24" spans="1:12" x14ac:dyDescent="0.25">
      <c r="A24">
        <v>414</v>
      </c>
      <c r="B24" s="200" t="s">
        <v>260</v>
      </c>
      <c r="C24" s="23">
        <f>HEX2DEC(SimList[[#This Row],[Instance]])</f>
        <v>437</v>
      </c>
      <c r="D24" s="3" t="s">
        <v>14</v>
      </c>
      <c r="E24" t="s">
        <v>113</v>
      </c>
      <c r="F24" s="23">
        <v>43</v>
      </c>
      <c r="G24" t="s">
        <v>20</v>
      </c>
      <c r="H24" t="s">
        <v>103</v>
      </c>
      <c r="I24" t="s">
        <v>2</v>
      </c>
      <c r="K24" s="18">
        <v>0</v>
      </c>
      <c r="L24">
        <f>COUNTIF(SimList[[Mother]:[Father]], SimList[[#This Row],[Name]])</f>
        <v>1</v>
      </c>
    </row>
    <row r="25" spans="1:12" x14ac:dyDescent="0.25">
      <c r="A25">
        <v>415</v>
      </c>
      <c r="B25" s="200" t="s">
        <v>261</v>
      </c>
      <c r="C25" s="23">
        <f>HEX2DEC(SimList[[#This Row],[Instance]])</f>
        <v>438</v>
      </c>
      <c r="D25" s="3" t="s">
        <v>15</v>
      </c>
      <c r="E25" t="s">
        <v>113</v>
      </c>
      <c r="F25" s="23">
        <v>44</v>
      </c>
      <c r="G25" t="s">
        <v>20</v>
      </c>
      <c r="H25" t="s">
        <v>7</v>
      </c>
      <c r="I25" t="s">
        <v>3</v>
      </c>
      <c r="K25" s="18">
        <v>0</v>
      </c>
      <c r="L25">
        <f>COUNTIF(SimList[[Mother]:[Father]], SimList[[#This Row],[Name]])</f>
        <v>3</v>
      </c>
    </row>
    <row r="26" spans="1:12" x14ac:dyDescent="0.25">
      <c r="A26">
        <v>411</v>
      </c>
      <c r="B26" s="200" t="s">
        <v>257</v>
      </c>
      <c r="C26" s="23">
        <f>HEX2DEC(SimList[[#This Row],[Instance]])</f>
        <v>434</v>
      </c>
      <c r="D26" s="3" t="s">
        <v>12</v>
      </c>
      <c r="E26" t="s">
        <v>113</v>
      </c>
      <c r="F26" s="23">
        <v>45</v>
      </c>
      <c r="G26" t="s">
        <v>20</v>
      </c>
      <c r="H26" t="s">
        <v>84</v>
      </c>
      <c r="I26" t="s">
        <v>2</v>
      </c>
      <c r="K26" s="18">
        <v>0</v>
      </c>
      <c r="L26">
        <f>COUNTIF(SimList[[Mother]:[Father]], SimList[[#This Row],[Name]])</f>
        <v>1</v>
      </c>
    </row>
    <row r="27" spans="1:12" x14ac:dyDescent="0.25">
      <c r="A27">
        <v>422</v>
      </c>
      <c r="B27" s="200" t="s">
        <v>290</v>
      </c>
      <c r="C27" s="23">
        <f>HEX2DEC(SimList[[#This Row],[Instance]])</f>
        <v>445</v>
      </c>
      <c r="D27" s="3" t="s">
        <v>18</v>
      </c>
      <c r="E27" t="s">
        <v>113</v>
      </c>
      <c r="F27" s="23">
        <v>48</v>
      </c>
      <c r="G27" t="s">
        <v>20</v>
      </c>
      <c r="H27" t="s">
        <v>84</v>
      </c>
      <c r="I27" t="s">
        <v>2</v>
      </c>
      <c r="K27" s="18">
        <v>0</v>
      </c>
      <c r="L27">
        <f>COUNTIF(SimList[[Mother]:[Father]], SimList[[#This Row],[Name]])</f>
        <v>0</v>
      </c>
    </row>
    <row r="28" spans="1:12" x14ac:dyDescent="0.25">
      <c r="A28">
        <v>416</v>
      </c>
      <c r="B28" s="200" t="s">
        <v>262</v>
      </c>
      <c r="C28" s="23">
        <f>HEX2DEC(SimList[[#This Row],[Instance]])</f>
        <v>439</v>
      </c>
      <c r="D28" s="3" t="s">
        <v>16</v>
      </c>
      <c r="E28" t="s">
        <v>113</v>
      </c>
      <c r="F28" s="23">
        <v>49</v>
      </c>
      <c r="G28" t="s">
        <v>20</v>
      </c>
      <c r="H28" t="s">
        <v>7</v>
      </c>
      <c r="I28" t="s">
        <v>5</v>
      </c>
      <c r="K28" s="18">
        <v>0</v>
      </c>
      <c r="L28">
        <f>COUNTIF(SimList[[Mother]:[Father]], SimList[[#This Row],[Name]])</f>
        <v>1</v>
      </c>
    </row>
    <row r="29" spans="1:12" x14ac:dyDescent="0.25">
      <c r="A29">
        <v>417</v>
      </c>
      <c r="B29" s="200" t="s">
        <v>263</v>
      </c>
      <c r="C29" s="23">
        <f>HEX2DEC(SimList[[#This Row],[Instance]])</f>
        <v>440</v>
      </c>
      <c r="D29" s="3" t="s">
        <v>17</v>
      </c>
      <c r="E29" t="s">
        <v>113</v>
      </c>
      <c r="F29" s="23">
        <v>49</v>
      </c>
      <c r="G29" t="s">
        <v>20</v>
      </c>
      <c r="H29" t="s">
        <v>7</v>
      </c>
      <c r="I29" t="s">
        <v>5</v>
      </c>
      <c r="K29" s="18">
        <v>0</v>
      </c>
      <c r="L29">
        <f>COUNTIF(SimList[[Mother]:[Father]], SimList[[#This Row],[Name]])</f>
        <v>0</v>
      </c>
    </row>
    <row r="30" spans="1:12" x14ac:dyDescent="0.25">
      <c r="A30">
        <v>423</v>
      </c>
      <c r="B30" s="200" t="s">
        <v>289</v>
      </c>
      <c r="C30" s="23">
        <f>HEX2DEC(SimList[[#This Row],[Instance]])</f>
        <v>446</v>
      </c>
      <c r="D30" s="3" t="s">
        <v>80</v>
      </c>
      <c r="E30" t="s">
        <v>112</v>
      </c>
      <c r="F30" s="23">
        <v>49</v>
      </c>
      <c r="G30" t="s">
        <v>20</v>
      </c>
      <c r="H30" t="s">
        <v>79</v>
      </c>
      <c r="I30" t="s">
        <v>4</v>
      </c>
      <c r="K30" s="18">
        <v>0</v>
      </c>
      <c r="L30">
        <f>COUNTIF(SimList[[Mother]:[Father]], SimList[[#This Row],[Name]])</f>
        <v>1</v>
      </c>
    </row>
    <row r="31" spans="1:12" x14ac:dyDescent="0.25">
      <c r="A31">
        <v>418</v>
      </c>
      <c r="B31" s="200" t="s">
        <v>264</v>
      </c>
      <c r="C31" s="23">
        <f>HEX2DEC(SimList[[#This Row],[Instance]])</f>
        <v>441</v>
      </c>
      <c r="D31" s="3" t="s">
        <v>73</v>
      </c>
      <c r="E31" t="s">
        <v>112</v>
      </c>
      <c r="F31" s="23">
        <v>55</v>
      </c>
      <c r="G31" t="s">
        <v>20</v>
      </c>
      <c r="H31" t="s">
        <v>68</v>
      </c>
      <c r="I31" t="s">
        <v>4</v>
      </c>
      <c r="K31" s="18">
        <v>0</v>
      </c>
      <c r="L31">
        <f>COUNTIF(SimList[[Mother]:[Father]], SimList[[#This Row],[Name]])</f>
        <v>0</v>
      </c>
    </row>
    <row r="32" spans="1:12" x14ac:dyDescent="0.25">
      <c r="A32">
        <v>419</v>
      </c>
      <c r="B32" s="200" t="s">
        <v>265</v>
      </c>
      <c r="C32" s="23">
        <f>HEX2DEC(SimList[[#This Row],[Instance]])</f>
        <v>442</v>
      </c>
      <c r="D32" s="3" t="s">
        <v>74</v>
      </c>
      <c r="E32" t="s">
        <v>112</v>
      </c>
      <c r="F32" s="23">
        <v>55</v>
      </c>
      <c r="G32" t="s">
        <v>20</v>
      </c>
      <c r="H32" t="s">
        <v>68</v>
      </c>
      <c r="I32" t="s">
        <v>4</v>
      </c>
      <c r="K32" s="18">
        <v>0</v>
      </c>
      <c r="L32">
        <f>COUNTIF(SimList[[Mother]:[Father]], SimList[[#This Row],[Name]])</f>
        <v>0</v>
      </c>
    </row>
    <row r="33" spans="1:12" x14ac:dyDescent="0.25">
      <c r="A33">
        <v>432</v>
      </c>
      <c r="B33" s="200" t="s">
        <v>270</v>
      </c>
      <c r="C33" s="23">
        <f>HEX2DEC(SimList[[#This Row],[Instance]])</f>
        <v>455</v>
      </c>
      <c r="D33" s="3" t="s">
        <v>22</v>
      </c>
      <c r="E33" t="s">
        <v>113</v>
      </c>
      <c r="F33" s="23">
        <v>58</v>
      </c>
      <c r="G33" t="s">
        <v>20</v>
      </c>
      <c r="H33" t="s">
        <v>3</v>
      </c>
      <c r="I33" t="s">
        <v>4</v>
      </c>
      <c r="K33" s="18">
        <v>0</v>
      </c>
      <c r="L33">
        <f>COUNTIF(SimList[[Mother]:[Father]], SimList[[#This Row],[Name]])</f>
        <v>0</v>
      </c>
    </row>
    <row r="34" spans="1:12" x14ac:dyDescent="0.25">
      <c r="A34">
        <v>387</v>
      </c>
      <c r="B34" s="200" t="s">
        <v>251</v>
      </c>
      <c r="C34" s="23">
        <f>HEX2DEC(SimList[[#This Row],[Instance]])</f>
        <v>410</v>
      </c>
      <c r="D34" s="3" t="s">
        <v>8</v>
      </c>
      <c r="E34" t="s">
        <v>113</v>
      </c>
      <c r="F34" s="23">
        <v>22</v>
      </c>
      <c r="G34" t="s">
        <v>127</v>
      </c>
      <c r="H34" t="s">
        <v>94</v>
      </c>
      <c r="I34" t="s">
        <v>102</v>
      </c>
      <c r="K34" s="18">
        <v>0</v>
      </c>
      <c r="L34">
        <f>COUNTIF(SimList[[Mother]:[Father]], SimList[[#This Row],[Name]])</f>
        <v>6</v>
      </c>
    </row>
    <row r="35" spans="1:12" x14ac:dyDescent="0.25">
      <c r="A35">
        <v>389</v>
      </c>
      <c r="B35" s="200" t="s">
        <v>252</v>
      </c>
      <c r="C35" s="23">
        <f>HEX2DEC(SimList[[#This Row],[Instance]])</f>
        <v>412</v>
      </c>
      <c r="D35" s="3" t="s">
        <v>70</v>
      </c>
      <c r="E35" t="s">
        <v>112</v>
      </c>
      <c r="F35" s="23">
        <v>26</v>
      </c>
      <c r="G35" t="s">
        <v>127</v>
      </c>
      <c r="H35" t="s">
        <v>103</v>
      </c>
      <c r="I35" t="s">
        <v>100</v>
      </c>
      <c r="K35" s="18">
        <v>0</v>
      </c>
      <c r="L35">
        <f>COUNTIF(SimList[[Mother]:[Father]], SimList[[#This Row],[Name]])</f>
        <v>4</v>
      </c>
    </row>
    <row r="36" spans="1:12" x14ac:dyDescent="0.25">
      <c r="A36">
        <v>392</v>
      </c>
      <c r="B36" s="200" t="s">
        <v>253</v>
      </c>
      <c r="C36" s="23">
        <f>HEX2DEC(SimList[[#This Row],[Instance]])</f>
        <v>415</v>
      </c>
      <c r="D36" s="3" t="s">
        <v>9</v>
      </c>
      <c r="E36" t="s">
        <v>112</v>
      </c>
      <c r="F36" s="23">
        <v>30</v>
      </c>
      <c r="G36" t="s">
        <v>127</v>
      </c>
      <c r="H36" t="s">
        <v>93</v>
      </c>
      <c r="I36" t="s">
        <v>3</v>
      </c>
      <c r="K36" s="18">
        <v>0</v>
      </c>
      <c r="L36">
        <f>COUNTIF(SimList[[Mother]:[Father]], SimList[[#This Row],[Name]])</f>
        <v>4</v>
      </c>
    </row>
    <row r="37" spans="1:12" x14ac:dyDescent="0.25">
      <c r="A37">
        <v>421</v>
      </c>
      <c r="B37" s="200" t="s">
        <v>291</v>
      </c>
      <c r="C37" s="23">
        <f>HEX2DEC(SimList[[#This Row],[Instance]])</f>
        <v>444</v>
      </c>
      <c r="D37" s="3" t="s">
        <v>10</v>
      </c>
      <c r="E37" t="s">
        <v>112</v>
      </c>
      <c r="F37" s="23">
        <v>44</v>
      </c>
      <c r="G37" t="s">
        <v>127</v>
      </c>
      <c r="H37" t="s">
        <v>79</v>
      </c>
      <c r="I37" t="s">
        <v>91</v>
      </c>
      <c r="K37" s="18">
        <v>0</v>
      </c>
      <c r="L37">
        <f>COUNTIF(SimList[[Mother]:[Father]], SimList[[#This Row],[Name]])</f>
        <v>3</v>
      </c>
    </row>
    <row r="38" spans="1:12" x14ac:dyDescent="0.25">
      <c r="A38">
        <v>156</v>
      </c>
      <c r="B38" s="200" t="s">
        <v>281</v>
      </c>
      <c r="C38" s="23">
        <f>HEX2DEC(SimList[[#This Row],[Instance]])</f>
        <v>468</v>
      </c>
      <c r="D38" s="3" t="s">
        <v>125</v>
      </c>
      <c r="E38" t="s">
        <v>112</v>
      </c>
      <c r="F38" s="23">
        <v>66</v>
      </c>
      <c r="G38" t="s">
        <v>120</v>
      </c>
      <c r="H38" t="s">
        <v>71</v>
      </c>
      <c r="I38" t="s">
        <v>12</v>
      </c>
      <c r="K38" s="18">
        <f>2/32</f>
        <v>6.25E-2</v>
      </c>
      <c r="L38">
        <f>COUNTIF(SimList[[Mother]:[Father]], SimList[[#This Row],[Name]])</f>
        <v>0</v>
      </c>
    </row>
    <row r="39" spans="1:12" x14ac:dyDescent="0.25">
      <c r="A39">
        <v>69</v>
      </c>
      <c r="B39" s="200" t="s">
        <v>278</v>
      </c>
      <c r="C39" s="23">
        <f>HEX2DEC(SimList[[#This Row],[Instance]])</f>
        <v>465</v>
      </c>
      <c r="D39" s="3" t="s">
        <v>119</v>
      </c>
      <c r="E39" s="3" t="s">
        <v>113</v>
      </c>
      <c r="F39" s="24">
        <v>67</v>
      </c>
      <c r="G39" t="s">
        <v>120</v>
      </c>
      <c r="H39" t="s">
        <v>85</v>
      </c>
      <c r="I39" t="s">
        <v>14</v>
      </c>
      <c r="K39" s="18">
        <f>2/32</f>
        <v>6.25E-2</v>
      </c>
      <c r="L39">
        <f>COUNTIF(SimList[[Mother]:[Father]], SimList[[#This Row],[Name]])</f>
        <v>0</v>
      </c>
    </row>
    <row r="40" spans="1:12" x14ac:dyDescent="0.25">
      <c r="A40">
        <v>165</v>
      </c>
      <c r="B40" s="200" t="s">
        <v>283</v>
      </c>
      <c r="C40" s="23">
        <f>HEX2DEC(SimList[[#This Row],[Instance]])</f>
        <v>470</v>
      </c>
      <c r="D40" s="3" t="s">
        <v>135</v>
      </c>
      <c r="E40" t="s">
        <v>113</v>
      </c>
      <c r="F40" s="23">
        <v>69</v>
      </c>
      <c r="G40" t="s">
        <v>120</v>
      </c>
      <c r="H40" t="s">
        <v>80</v>
      </c>
      <c r="I40" t="s">
        <v>15</v>
      </c>
      <c r="K40" s="18">
        <f>2/32</f>
        <v>6.25E-2</v>
      </c>
      <c r="L40">
        <f>COUNTIF(SimList[[Mother]:[Father]], SimList[[#This Row],[Name]])</f>
        <v>0</v>
      </c>
    </row>
    <row r="41" spans="1:12" x14ac:dyDescent="0.25">
      <c r="A41">
        <v>436</v>
      </c>
      <c r="B41" s="200" t="s">
        <v>273</v>
      </c>
      <c r="C41" s="23">
        <f>HEX2DEC(SimList[[#This Row],[Instance]])</f>
        <v>459</v>
      </c>
      <c r="D41" s="3" t="s">
        <v>96</v>
      </c>
      <c r="E41" t="s">
        <v>112</v>
      </c>
      <c r="F41" s="23">
        <v>53</v>
      </c>
      <c r="G41" t="s">
        <v>128</v>
      </c>
      <c r="H41" t="s">
        <v>85</v>
      </c>
      <c r="I41" t="s">
        <v>2</v>
      </c>
      <c r="K41" s="18">
        <v>0</v>
      </c>
      <c r="L41">
        <f>COUNTIF(SimList[[Mother]:[Father]], SimList[[#This Row],[Name]])</f>
        <v>0</v>
      </c>
    </row>
    <row r="42" spans="1:12" x14ac:dyDescent="0.25">
      <c r="A42">
        <v>427</v>
      </c>
      <c r="B42" s="200" t="s">
        <v>266</v>
      </c>
      <c r="C42" s="23">
        <f>HEX2DEC(SimList[[#This Row],[Instance]])</f>
        <v>450</v>
      </c>
      <c r="D42" s="3" t="s">
        <v>19</v>
      </c>
      <c r="E42" t="s">
        <v>113</v>
      </c>
      <c r="F42" s="23">
        <v>56</v>
      </c>
      <c r="G42" t="s">
        <v>128</v>
      </c>
      <c r="H42" t="s">
        <v>79</v>
      </c>
      <c r="I42" t="s">
        <v>11</v>
      </c>
      <c r="K42" s="18">
        <v>0</v>
      </c>
      <c r="L42">
        <f>COUNTIF(SimList[[Mother]:[Father]], SimList[[#This Row],[Name]])</f>
        <v>0</v>
      </c>
    </row>
    <row r="43" spans="1:12" x14ac:dyDescent="0.25">
      <c r="A43">
        <v>428</v>
      </c>
      <c r="B43" s="200" t="s">
        <v>267</v>
      </c>
      <c r="C43" s="23">
        <f>HEX2DEC(SimList[[#This Row],[Instance]])</f>
        <v>451</v>
      </c>
      <c r="D43" s="3" t="s">
        <v>81</v>
      </c>
      <c r="E43" t="s">
        <v>112</v>
      </c>
      <c r="F43" s="23">
        <v>56</v>
      </c>
      <c r="G43" t="s">
        <v>128</v>
      </c>
      <c r="H43" t="s">
        <v>79</v>
      </c>
      <c r="I43" t="s">
        <v>11</v>
      </c>
      <c r="K43" s="18">
        <v>0</v>
      </c>
      <c r="L43">
        <f>COUNTIF(SimList[[Mother]:[Father]], SimList[[#This Row],[Name]])</f>
        <v>0</v>
      </c>
    </row>
    <row r="44" spans="1:12" x14ac:dyDescent="0.25">
      <c r="A44">
        <v>9</v>
      </c>
      <c r="B44" s="200" t="s">
        <v>274</v>
      </c>
      <c r="C44" s="23">
        <f>HEX2DEC(SimList[[#This Row],[Instance]])</f>
        <v>461</v>
      </c>
      <c r="D44" s="3" t="s">
        <v>108</v>
      </c>
      <c r="E44" t="s">
        <v>112</v>
      </c>
      <c r="F44" s="23">
        <v>63</v>
      </c>
      <c r="G44" t="s">
        <v>128</v>
      </c>
      <c r="H44" t="s">
        <v>84</v>
      </c>
      <c r="I44" t="s">
        <v>13</v>
      </c>
      <c r="K44" s="18">
        <v>0</v>
      </c>
      <c r="L44">
        <f>COUNTIF(SimList[[Mother]:[Father]], SimList[[#This Row],[Name]])</f>
        <v>0</v>
      </c>
    </row>
    <row r="45" spans="1:12" x14ac:dyDescent="0.25">
      <c r="A45">
        <v>18</v>
      </c>
      <c r="B45" s="200" t="s">
        <v>275</v>
      </c>
      <c r="C45" s="23">
        <f>HEX2DEC(SimList[[#This Row],[Instance]])</f>
        <v>462</v>
      </c>
      <c r="D45" s="3" t="s">
        <v>109</v>
      </c>
      <c r="E45" t="s">
        <v>112</v>
      </c>
      <c r="F45" s="23">
        <v>64</v>
      </c>
      <c r="G45" t="s">
        <v>128</v>
      </c>
      <c r="H45" t="s">
        <v>82</v>
      </c>
      <c r="I45" t="s">
        <v>6</v>
      </c>
      <c r="K45" s="18">
        <v>0</v>
      </c>
      <c r="L45">
        <f>COUNTIF(SimList[[Mother]:[Father]], SimList[[#This Row],[Name]])</f>
        <v>0</v>
      </c>
    </row>
    <row r="46" spans="1:12" x14ac:dyDescent="0.25">
      <c r="A46">
        <v>59</v>
      </c>
      <c r="B46" s="200" t="s">
        <v>276</v>
      </c>
      <c r="C46" s="23">
        <f>HEX2DEC(SimList[[#This Row],[Instance]])</f>
        <v>463</v>
      </c>
      <c r="D46" s="3" t="s">
        <v>114</v>
      </c>
      <c r="E46" t="s">
        <v>113</v>
      </c>
      <c r="F46" s="23">
        <v>69</v>
      </c>
      <c r="G46" t="s">
        <v>128</v>
      </c>
      <c r="H46" t="s">
        <v>70</v>
      </c>
      <c r="I46" t="s">
        <v>9</v>
      </c>
      <c r="K46" s="18">
        <f>2^-5</f>
        <v>3.125E-2</v>
      </c>
      <c r="L46">
        <f>COUNTIF(SimList[[Mother]:[Father]], SimList[[#This Row],[Name]])</f>
        <v>0</v>
      </c>
    </row>
    <row r="47" spans="1:12" x14ac:dyDescent="0.25">
      <c r="A47">
        <v>161</v>
      </c>
      <c r="B47" s="200" t="s">
        <v>282</v>
      </c>
      <c r="C47" s="23">
        <f>HEX2DEC(SimList[[#This Row],[Instance]])</f>
        <v>469</v>
      </c>
      <c r="D47" s="3" t="s">
        <v>132</v>
      </c>
      <c r="E47" t="s">
        <v>112</v>
      </c>
      <c r="F47" s="23">
        <v>69</v>
      </c>
      <c r="G47" t="s">
        <v>128</v>
      </c>
      <c r="H47" t="s">
        <v>16</v>
      </c>
      <c r="I47" t="s">
        <v>3</v>
      </c>
      <c r="K47" s="18">
        <v>0</v>
      </c>
      <c r="L47">
        <f>COUNTIF(SimList[[Mother]:[Father]], SimList[[#This Row],[Name]])</f>
        <v>0</v>
      </c>
    </row>
    <row r="48" spans="1:12" x14ac:dyDescent="0.25">
      <c r="A48">
        <v>426</v>
      </c>
      <c r="B48" s="200" t="s">
        <v>288</v>
      </c>
      <c r="C48" s="23">
        <f>HEX2DEC(SimList[[#This Row],[Instance]])</f>
        <v>449</v>
      </c>
      <c r="D48" s="3" t="s">
        <v>76</v>
      </c>
      <c r="E48" t="s">
        <v>112</v>
      </c>
      <c r="F48" s="23">
        <v>49</v>
      </c>
      <c r="G48" t="s">
        <v>126</v>
      </c>
      <c r="H48" t="s">
        <v>70</v>
      </c>
      <c r="I48" t="s">
        <v>102</v>
      </c>
      <c r="K48" s="18">
        <v>0</v>
      </c>
      <c r="L48">
        <f>COUNTIF(SimList[[Mother]:[Father]], SimList[[#This Row],[Name]])</f>
        <v>0</v>
      </c>
    </row>
    <row r="49" spans="1:12" x14ac:dyDescent="0.25">
      <c r="A49">
        <v>431</v>
      </c>
      <c r="B49" s="200" t="s">
        <v>269</v>
      </c>
      <c r="C49" s="23">
        <f>HEX2DEC(SimList[[#This Row],[Instance]])</f>
        <v>454</v>
      </c>
      <c r="D49" s="3" t="s">
        <v>21</v>
      </c>
      <c r="E49" t="s">
        <v>113</v>
      </c>
      <c r="F49" s="23">
        <v>49</v>
      </c>
      <c r="G49" t="s">
        <v>126</v>
      </c>
      <c r="H49" t="s">
        <v>6</v>
      </c>
      <c r="I49" t="s">
        <v>8</v>
      </c>
      <c r="K49" s="18">
        <v>0</v>
      </c>
      <c r="L49">
        <f>COUNTIF(SimList[[Mother]:[Father]], SimList[[#This Row],[Name]])</f>
        <v>0</v>
      </c>
    </row>
    <row r="50" spans="1:12" x14ac:dyDescent="0.25">
      <c r="A50">
        <v>430</v>
      </c>
      <c r="B50" s="200" t="s">
        <v>268</v>
      </c>
      <c r="C50" s="23">
        <f>HEX2DEC(SimList[[#This Row],[Instance]])</f>
        <v>453</v>
      </c>
      <c r="D50" s="3" t="s">
        <v>77</v>
      </c>
      <c r="E50" t="s">
        <v>112</v>
      </c>
      <c r="F50" s="23">
        <v>56</v>
      </c>
      <c r="G50" t="s">
        <v>126</v>
      </c>
      <c r="H50" t="s">
        <v>70</v>
      </c>
      <c r="I50" t="s">
        <v>79</v>
      </c>
      <c r="K50" s="18">
        <v>0</v>
      </c>
      <c r="L50">
        <f>COUNTIF(SimList[[Mother]:[Father]], SimList[[#This Row],[Name]])</f>
        <v>0</v>
      </c>
    </row>
    <row r="51" spans="1:12" x14ac:dyDescent="0.25">
      <c r="A51">
        <v>433</v>
      </c>
      <c r="B51" s="200" t="s">
        <v>271</v>
      </c>
      <c r="C51" s="23">
        <f>HEX2DEC(SimList[[#This Row],[Instance]])</f>
        <v>456</v>
      </c>
      <c r="D51" s="3" t="s">
        <v>83</v>
      </c>
      <c r="E51" t="s">
        <v>112</v>
      </c>
      <c r="F51" s="23">
        <v>60</v>
      </c>
      <c r="G51" t="s">
        <v>126</v>
      </c>
      <c r="H51" t="s">
        <v>9</v>
      </c>
      <c r="I51" t="s">
        <v>4</v>
      </c>
      <c r="K51" s="18">
        <v>0</v>
      </c>
      <c r="L51">
        <f>COUNTIF(SimList[[Mother]:[Father]], SimList[[#This Row],[Name]])</f>
        <v>0</v>
      </c>
    </row>
    <row r="52" spans="1:12" x14ac:dyDescent="0.25">
      <c r="A52">
        <v>435</v>
      </c>
      <c r="B52" s="200" t="s">
        <v>272</v>
      </c>
      <c r="C52" s="23">
        <f>HEX2DEC(SimList[[#This Row],[Instance]])</f>
        <v>458</v>
      </c>
      <c r="D52" s="3" t="s">
        <v>95</v>
      </c>
      <c r="E52" t="s">
        <v>113</v>
      </c>
      <c r="F52" s="23">
        <v>60</v>
      </c>
      <c r="G52" t="s">
        <v>126</v>
      </c>
      <c r="H52" t="s">
        <v>10</v>
      </c>
      <c r="I52" t="s">
        <v>4</v>
      </c>
      <c r="K52" s="18">
        <v>0</v>
      </c>
      <c r="L52">
        <f>COUNTIF(SimList[[Mother]:[Father]], SimList[[#This Row],[Name]])</f>
        <v>0</v>
      </c>
    </row>
    <row r="53" spans="1:12" x14ac:dyDescent="0.25">
      <c r="A53">
        <v>155</v>
      </c>
      <c r="B53" s="200" t="s">
        <v>280</v>
      </c>
      <c r="C53" s="23">
        <f>HEX2DEC(SimList[[#This Row],[Instance]])</f>
        <v>467</v>
      </c>
      <c r="D53" s="3" t="s">
        <v>124</v>
      </c>
      <c r="E53" t="s">
        <v>113</v>
      </c>
      <c r="F53" s="23">
        <v>65</v>
      </c>
      <c r="G53" t="s">
        <v>126</v>
      </c>
      <c r="H53" t="s">
        <v>68</v>
      </c>
      <c r="I53" t="s">
        <v>8</v>
      </c>
      <c r="K53" s="18">
        <v>0</v>
      </c>
      <c r="L53">
        <f>COUNTIF(SimList[[Mother]:[Father]], SimList[[#This Row],[Name]])</f>
        <v>0</v>
      </c>
    </row>
    <row r="54" spans="1:12" x14ac:dyDescent="0.25">
      <c r="A54">
        <v>170</v>
      </c>
      <c r="B54" s="200" t="s">
        <v>284</v>
      </c>
      <c r="C54" s="23">
        <f>HEX2DEC(SimList[[#This Row],[Instance]])</f>
        <v>471</v>
      </c>
      <c r="D54" s="3" t="s">
        <v>138</v>
      </c>
      <c r="E54" s="3" t="s">
        <v>113</v>
      </c>
      <c r="F54" s="23">
        <v>66</v>
      </c>
      <c r="G54" t="s">
        <v>129</v>
      </c>
      <c r="H54" t="s">
        <v>10</v>
      </c>
      <c r="I54" t="s">
        <v>8</v>
      </c>
      <c r="K54" s="18">
        <f>1/32</f>
        <v>3.125E-2</v>
      </c>
      <c r="L54">
        <f>COUNTIF(SimList[[Mother]:[Father]], SimList[[#This Row],[Name]])</f>
        <v>0</v>
      </c>
    </row>
    <row r="55" spans="1:12" x14ac:dyDescent="0.25">
      <c r="A55">
        <v>179</v>
      </c>
      <c r="B55" s="200" t="s">
        <v>285</v>
      </c>
      <c r="C55" s="23">
        <f>HEX2DEC(SimList[[#This Row],[Instance]])</f>
        <v>472</v>
      </c>
      <c r="D55" s="3" t="s">
        <v>139</v>
      </c>
      <c r="E55" s="3" t="s">
        <v>112</v>
      </c>
      <c r="F55" s="23">
        <v>66</v>
      </c>
      <c r="G55" t="s">
        <v>129</v>
      </c>
      <c r="H55" t="s">
        <v>10</v>
      </c>
      <c r="I55" t="s">
        <v>8</v>
      </c>
      <c r="K55" s="18">
        <f>1/32</f>
        <v>3.125E-2</v>
      </c>
      <c r="L55">
        <f>COUNTIF(SimList[[Mother]:[Father]], SimList[[#This Row],[Name]])</f>
        <v>0</v>
      </c>
    </row>
    <row r="56" spans="1:12" x14ac:dyDescent="0.25">
      <c r="A56">
        <v>68</v>
      </c>
      <c r="B56" s="200" t="s">
        <v>277</v>
      </c>
      <c r="C56" s="23">
        <f>HEX2DEC(SimList[[#This Row],[Instance]])</f>
        <v>464</v>
      </c>
      <c r="D56" s="3" t="s">
        <v>115</v>
      </c>
      <c r="E56" t="s">
        <v>112</v>
      </c>
      <c r="F56" s="23">
        <v>69</v>
      </c>
      <c r="G56" t="s">
        <v>129</v>
      </c>
      <c r="H56" t="s">
        <v>70</v>
      </c>
      <c r="I56" t="s">
        <v>9</v>
      </c>
      <c r="K56" s="18">
        <f>2^-5</f>
        <v>3.125E-2</v>
      </c>
      <c r="L56">
        <f>COUNTIF(SimList[[Mother]:[Father]], SimList[[#This Row],[Name]])</f>
        <v>0</v>
      </c>
    </row>
    <row r="57" spans="1:12" x14ac:dyDescent="0.25">
      <c r="A57">
        <v>188</v>
      </c>
      <c r="B57" s="200" t="s">
        <v>286</v>
      </c>
      <c r="C57" s="23">
        <f>HEX2DEC(SimList[[#This Row],[Instance]])</f>
        <v>473</v>
      </c>
      <c r="D57" s="3" t="s">
        <v>140</v>
      </c>
      <c r="E57" s="3" t="s">
        <v>113</v>
      </c>
      <c r="F57" s="23">
        <v>68</v>
      </c>
      <c r="G57" t="s">
        <v>130</v>
      </c>
      <c r="H57" t="s">
        <v>8</v>
      </c>
      <c r="I57" t="s">
        <v>15</v>
      </c>
      <c r="K57" s="18">
        <f>1/32</f>
        <v>3.125E-2</v>
      </c>
      <c r="L57">
        <f>COUNTIF(SimList[[Mother]:[Father]], SimList[[#This Row],[Name]])</f>
        <v>0</v>
      </c>
    </row>
    <row r="58" spans="1:12" x14ac:dyDescent="0.25">
      <c r="A58">
        <v>198</v>
      </c>
      <c r="B58" s="200" t="s">
        <v>287</v>
      </c>
      <c r="C58" s="23">
        <f>HEX2DEC(SimList[[#This Row],[Instance]])</f>
        <v>474</v>
      </c>
      <c r="D58" s="3" t="s">
        <v>141</v>
      </c>
      <c r="E58" s="3" t="s">
        <v>112</v>
      </c>
      <c r="F58" s="23">
        <v>68</v>
      </c>
      <c r="G58" t="s">
        <v>130</v>
      </c>
      <c r="H58" t="s">
        <v>8</v>
      </c>
      <c r="I58" t="s">
        <v>15</v>
      </c>
      <c r="K58" s="18">
        <f>1/32</f>
        <v>3.125E-2</v>
      </c>
      <c r="L58">
        <f>COUNTIF(SimList[[Mother]:[Father]], SimList[[#This Row],[Name]])</f>
        <v>0</v>
      </c>
    </row>
    <row r="59" spans="1:12" x14ac:dyDescent="0.25">
      <c r="A59">
        <v>90</v>
      </c>
      <c r="B59" s="200" t="s">
        <v>279</v>
      </c>
      <c r="C59" s="23">
        <f>HEX2DEC(SimList[[#This Row],[Instance]])</f>
        <v>466</v>
      </c>
      <c r="D59" s="3" t="s">
        <v>122</v>
      </c>
      <c r="E59" t="s">
        <v>113</v>
      </c>
      <c r="F59" s="23">
        <v>70</v>
      </c>
      <c r="G59" t="s">
        <v>130</v>
      </c>
      <c r="H59" t="s">
        <v>9</v>
      </c>
      <c r="I59" t="s">
        <v>13</v>
      </c>
      <c r="K59" s="18">
        <f>1/32</f>
        <v>3.125E-2</v>
      </c>
      <c r="L59">
        <f>COUNTIF(SimList[[Mother]:[Father]], SimList[[#This Row],[Name]])</f>
        <v>0</v>
      </c>
    </row>
  </sheetData>
  <phoneticPr fontId="4" type="noConversion"/>
  <conditionalFormatting sqref="A2:L59">
    <cfRule type="expression" dxfId="15" priority="1">
      <formula>$J2 = "Dead"</formula>
    </cfRule>
  </conditionalFormatting>
  <conditionalFormatting sqref="E1:E59">
    <cfRule type="cellIs" dxfId="14" priority="5" operator="equal">
      <formula>"female"</formula>
    </cfRule>
    <cfRule type="cellIs" dxfId="13" priority="6" operator="equal">
      <formula>"male"</formula>
    </cfRule>
  </conditionalFormatting>
  <conditionalFormatting sqref="F2:F59">
    <cfRule type="colorScale" priority="7">
      <colorScale>
        <cfvo type="min"/>
        <cfvo type="max"/>
        <color rgb="FFFFEF9C"/>
        <color rgb="FF63BE7B"/>
      </colorScale>
    </cfRule>
  </conditionalFormatting>
  <conditionalFormatting sqref="K2:K59">
    <cfRule type="colorScale" priority="3">
      <colorScale>
        <cfvo type="min"/>
        <cfvo type="num" val="0.125"/>
        <color rgb="FFFCFCFF"/>
        <color rgb="FFF8696B"/>
      </colorScale>
    </cfRule>
  </conditionalFormatting>
  <conditionalFormatting sqref="L2:L59">
    <cfRule type="colorScale" priority="2">
      <colorScale>
        <cfvo type="min"/>
        <cfvo type="max"/>
        <color rgb="FFFCFCFF"/>
        <color theme="7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1F89-043E-495F-825E-A5337F84C214}">
  <dimension ref="A1:BI63"/>
  <sheetViews>
    <sheetView tabSelected="1" zoomScaleNormal="100" workbookViewId="0">
      <pane xSplit="2" ySplit="4" topLeftCell="I12" activePane="bottomRight" state="frozen"/>
      <selection pane="topRight" activeCell="B1" sqref="B1"/>
      <selection pane="bottomLeft" activeCell="A4" sqref="A4"/>
      <selection pane="bottomRight" activeCell="W14" sqref="W14"/>
    </sheetView>
  </sheetViews>
  <sheetFormatPr defaultColWidth="11.42578125" defaultRowHeight="15" outlineLevelRow="1" outlineLevelCol="1" x14ac:dyDescent="0.25"/>
  <cols>
    <col min="1" max="1" width="5.7109375" customWidth="1"/>
    <col min="2" max="2" width="11" bestFit="1" customWidth="1"/>
    <col min="3" max="8" width="5.7109375" hidden="1" customWidth="1" outlineLevel="1"/>
    <col min="9" max="9" width="5.7109375" customWidth="1" collapsed="1"/>
    <col min="10" max="27" width="5.7109375" customWidth="1"/>
    <col min="28" max="31" width="5.7109375" style="22" customWidth="1"/>
    <col min="32" max="53" width="5.7109375" customWidth="1"/>
    <col min="54" max="60" width="5.7109375" hidden="1" customWidth="1" outlineLevel="1"/>
    <col min="61" max="61" width="8.28515625" customWidth="1" collapsed="1"/>
    <col min="62" max="62" width="7" customWidth="1"/>
    <col min="63" max="63" width="8.42578125" customWidth="1"/>
    <col min="64" max="64" width="7.85546875" customWidth="1"/>
  </cols>
  <sheetData>
    <row r="1" spans="1:60" ht="23.25" x14ac:dyDescent="0.35">
      <c r="A1" s="207" t="s">
        <v>0</v>
      </c>
      <c r="B1" s="207"/>
      <c r="C1" s="207"/>
      <c r="D1" s="207"/>
      <c r="E1" s="207"/>
      <c r="F1" s="207"/>
      <c r="G1" s="207"/>
      <c r="H1" s="207"/>
      <c r="I1" s="207"/>
      <c r="J1" s="207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25"/>
      <c r="AC1" s="25"/>
      <c r="AD1" s="25"/>
      <c r="AE1" s="25"/>
    </row>
    <row r="2" spans="1:60" x14ac:dyDescent="0.25">
      <c r="A2" s="206" t="s">
        <v>59</v>
      </c>
      <c r="B2" s="206"/>
      <c r="C2" s="204" t="s">
        <v>117</v>
      </c>
      <c r="D2" s="204"/>
      <c r="E2" s="205"/>
      <c r="F2" s="204" t="s">
        <v>61</v>
      </c>
      <c r="G2" s="204"/>
      <c r="H2" s="204"/>
      <c r="I2" s="204"/>
      <c r="J2" s="205"/>
      <c r="K2" s="203" t="s">
        <v>127</v>
      </c>
      <c r="L2" s="204"/>
      <c r="M2" s="205"/>
      <c r="N2" s="204" t="s">
        <v>20</v>
      </c>
      <c r="O2" s="204"/>
      <c r="P2" s="204"/>
      <c r="Q2" s="204"/>
      <c r="R2" s="204"/>
      <c r="S2" s="205"/>
      <c r="T2" s="204" t="s">
        <v>126</v>
      </c>
      <c r="U2" s="204"/>
      <c r="V2" s="205"/>
      <c r="W2" s="203" t="s">
        <v>128</v>
      </c>
      <c r="X2" s="204"/>
      <c r="Y2" s="204"/>
      <c r="Z2" s="204"/>
      <c r="AA2" s="205"/>
      <c r="AB2" s="203" t="s">
        <v>129</v>
      </c>
      <c r="AC2" s="205"/>
      <c r="AD2" s="47" t="s">
        <v>120</v>
      </c>
      <c r="AE2" s="203" t="s">
        <v>130</v>
      </c>
      <c r="AF2" s="204"/>
      <c r="AG2" s="205"/>
      <c r="AH2" s="203" t="s">
        <v>120</v>
      </c>
      <c r="AI2" s="205"/>
      <c r="AJ2" s="203" t="s">
        <v>129</v>
      </c>
      <c r="AK2" s="205"/>
      <c r="AL2" s="64" t="s">
        <v>128</v>
      </c>
      <c r="AM2" s="203" t="s">
        <v>126</v>
      </c>
      <c r="AN2" s="204"/>
      <c r="AO2" s="205"/>
      <c r="AP2" s="203" t="s">
        <v>20</v>
      </c>
      <c r="AQ2" s="204"/>
      <c r="AR2" s="204"/>
      <c r="AS2" s="204"/>
      <c r="AT2" s="204"/>
      <c r="AU2" s="204"/>
      <c r="AV2" s="204"/>
      <c r="AW2" s="204"/>
      <c r="AX2" s="205"/>
      <c r="AY2" s="64" t="s">
        <v>127</v>
      </c>
      <c r="AZ2" s="169"/>
      <c r="BA2" s="169"/>
      <c r="BB2" s="168" t="s">
        <v>61</v>
      </c>
      <c r="BC2" s="169"/>
      <c r="BD2" s="169"/>
      <c r="BE2" s="170"/>
      <c r="BF2" s="206" t="s">
        <v>117</v>
      </c>
      <c r="BG2" s="206"/>
      <c r="BH2" s="206"/>
    </row>
    <row r="3" spans="1:60" x14ac:dyDescent="0.25">
      <c r="A3" s="21" t="s">
        <v>116</v>
      </c>
      <c r="B3" s="20"/>
      <c r="C3" s="6">
        <v>0</v>
      </c>
      <c r="D3" s="6">
        <v>0</v>
      </c>
      <c r="E3" s="8">
        <v>0</v>
      </c>
      <c r="F3" s="13">
        <v>11</v>
      </c>
      <c r="G3" s="13">
        <v>12</v>
      </c>
      <c r="H3" s="13">
        <v>12</v>
      </c>
      <c r="I3" s="13">
        <v>16</v>
      </c>
      <c r="J3" s="14">
        <v>21</v>
      </c>
      <c r="K3" s="7">
        <v>26</v>
      </c>
      <c r="L3" s="7">
        <v>30</v>
      </c>
      <c r="M3" s="14">
        <v>44</v>
      </c>
      <c r="N3" s="13">
        <v>34</v>
      </c>
      <c r="O3" s="13">
        <v>36</v>
      </c>
      <c r="P3" s="13">
        <v>37</v>
      </c>
      <c r="Q3" s="13">
        <v>49</v>
      </c>
      <c r="R3" s="13">
        <v>55</v>
      </c>
      <c r="S3" s="14">
        <v>55</v>
      </c>
      <c r="T3" s="13">
        <v>49</v>
      </c>
      <c r="U3" s="13">
        <v>56</v>
      </c>
      <c r="V3" s="14">
        <v>60</v>
      </c>
      <c r="W3" s="13">
        <v>53</v>
      </c>
      <c r="X3" s="13">
        <v>56</v>
      </c>
      <c r="Y3" s="13">
        <v>63</v>
      </c>
      <c r="Z3" s="13">
        <v>64</v>
      </c>
      <c r="AA3" s="14">
        <v>69</v>
      </c>
      <c r="AB3" s="13">
        <v>69</v>
      </c>
      <c r="AC3" s="14">
        <v>66</v>
      </c>
      <c r="AD3" s="48">
        <v>66</v>
      </c>
      <c r="AE3" s="79">
        <v>68</v>
      </c>
      <c r="AF3" s="55">
        <v>68</v>
      </c>
      <c r="AG3" s="62">
        <v>70</v>
      </c>
      <c r="AH3" s="63">
        <v>69</v>
      </c>
      <c r="AI3" s="62">
        <v>67</v>
      </c>
      <c r="AJ3" s="63">
        <v>66</v>
      </c>
      <c r="AK3" s="62">
        <v>69</v>
      </c>
      <c r="AL3" s="65">
        <v>56</v>
      </c>
      <c r="AM3" s="63">
        <v>65</v>
      </c>
      <c r="AN3" s="55">
        <v>60</v>
      </c>
      <c r="AO3" s="62">
        <v>49</v>
      </c>
      <c r="AP3" s="63">
        <v>58</v>
      </c>
      <c r="AQ3" s="55">
        <v>49</v>
      </c>
      <c r="AR3" s="55">
        <v>49</v>
      </c>
      <c r="AS3" s="55">
        <v>48</v>
      </c>
      <c r="AT3" s="55">
        <v>45</v>
      </c>
      <c r="AU3" s="55">
        <v>44</v>
      </c>
      <c r="AV3" s="55">
        <v>43</v>
      </c>
      <c r="AW3" s="55">
        <v>43</v>
      </c>
      <c r="AX3" s="62">
        <v>42</v>
      </c>
      <c r="AY3" s="65">
        <v>22</v>
      </c>
      <c r="AZ3" s="55">
        <v>12</v>
      </c>
      <c r="BA3" s="55">
        <v>7</v>
      </c>
      <c r="BB3" s="63">
        <v>25</v>
      </c>
      <c r="BC3" s="55">
        <v>16</v>
      </c>
      <c r="BD3" s="55">
        <v>19</v>
      </c>
      <c r="BE3" s="62">
        <v>4</v>
      </c>
      <c r="BF3" s="55">
        <v>0</v>
      </c>
      <c r="BG3" s="55">
        <v>0</v>
      </c>
      <c r="BH3" s="55">
        <v>0</v>
      </c>
    </row>
    <row r="4" spans="1:60" x14ac:dyDescent="0.25">
      <c r="A4" s="20"/>
      <c r="B4" s="19" t="s">
        <v>1</v>
      </c>
      <c r="C4" s="135" t="s">
        <v>56</v>
      </c>
      <c r="D4" s="135" t="s">
        <v>57</v>
      </c>
      <c r="E4" s="136" t="s">
        <v>58</v>
      </c>
      <c r="F4" s="135" t="s">
        <v>23</v>
      </c>
      <c r="G4" s="135" t="s">
        <v>25</v>
      </c>
      <c r="H4" s="135" t="s">
        <v>24</v>
      </c>
      <c r="I4" s="43" t="s">
        <v>26</v>
      </c>
      <c r="J4" s="44" t="s">
        <v>7</v>
      </c>
      <c r="K4" s="43" t="s">
        <v>27</v>
      </c>
      <c r="L4" s="43" t="s">
        <v>9</v>
      </c>
      <c r="M4" s="44" t="s">
        <v>10</v>
      </c>
      <c r="N4" s="43" t="s">
        <v>29</v>
      </c>
      <c r="O4" s="43" t="s">
        <v>28</v>
      </c>
      <c r="P4" s="43" t="s">
        <v>30</v>
      </c>
      <c r="Q4" s="43" t="s">
        <v>33</v>
      </c>
      <c r="R4" s="43" t="s">
        <v>31</v>
      </c>
      <c r="S4" s="44" t="s">
        <v>32</v>
      </c>
      <c r="T4" s="43" t="s">
        <v>35</v>
      </c>
      <c r="U4" s="43" t="s">
        <v>36</v>
      </c>
      <c r="V4" s="44" t="s">
        <v>60</v>
      </c>
      <c r="W4" s="43" t="s">
        <v>98</v>
      </c>
      <c r="X4" s="43" t="s">
        <v>34</v>
      </c>
      <c r="Y4" s="43" t="s">
        <v>137</v>
      </c>
      <c r="Z4" s="43" t="s">
        <v>110</v>
      </c>
      <c r="AA4" s="44" t="s">
        <v>133</v>
      </c>
      <c r="AB4" s="43" t="s">
        <v>115</v>
      </c>
      <c r="AC4" s="44" t="s">
        <v>143</v>
      </c>
      <c r="AD4" s="52" t="s">
        <v>125</v>
      </c>
      <c r="AE4" s="137" t="s">
        <v>142</v>
      </c>
      <c r="AF4" s="138" t="s">
        <v>145</v>
      </c>
      <c r="AG4" s="139" t="s">
        <v>123</v>
      </c>
      <c r="AH4" s="140" t="s">
        <v>136</v>
      </c>
      <c r="AI4" s="139" t="s">
        <v>119</v>
      </c>
      <c r="AJ4" s="140" t="s">
        <v>144</v>
      </c>
      <c r="AK4" s="139" t="s">
        <v>114</v>
      </c>
      <c r="AL4" s="141" t="s">
        <v>51</v>
      </c>
      <c r="AM4" s="140" t="s">
        <v>146</v>
      </c>
      <c r="AN4" s="138" t="s">
        <v>97</v>
      </c>
      <c r="AO4" s="139" t="s">
        <v>52</v>
      </c>
      <c r="AP4" s="140" t="s">
        <v>50</v>
      </c>
      <c r="AQ4" s="138" t="s">
        <v>43</v>
      </c>
      <c r="AR4" s="138" t="s">
        <v>42</v>
      </c>
      <c r="AS4" s="138" t="s">
        <v>44</v>
      </c>
      <c r="AT4" s="138" t="s">
        <v>39</v>
      </c>
      <c r="AU4" s="138" t="s">
        <v>41</v>
      </c>
      <c r="AV4" s="138" t="s">
        <v>49</v>
      </c>
      <c r="AW4" s="138" t="s">
        <v>40</v>
      </c>
      <c r="AX4" s="139" t="s">
        <v>38</v>
      </c>
      <c r="AY4" s="141" t="s">
        <v>48</v>
      </c>
      <c r="AZ4" s="138" t="s">
        <v>45</v>
      </c>
      <c r="BA4" s="138" t="s">
        <v>2</v>
      </c>
      <c r="BB4" s="140" t="s">
        <v>47</v>
      </c>
      <c r="BC4" s="142" t="s">
        <v>46</v>
      </c>
      <c r="BD4" s="142" t="s">
        <v>5</v>
      </c>
      <c r="BE4" s="143" t="s">
        <v>37</v>
      </c>
      <c r="BF4" s="142" t="s">
        <v>55</v>
      </c>
      <c r="BG4" s="142" t="s">
        <v>54</v>
      </c>
      <c r="BH4" s="142" t="s">
        <v>53</v>
      </c>
    </row>
    <row r="5" spans="1:60" hidden="1" outlineLevel="1" x14ac:dyDescent="0.25">
      <c r="A5" s="16">
        <v>0</v>
      </c>
      <c r="B5" s="1" t="s">
        <v>91</v>
      </c>
      <c r="C5" s="27">
        <v>0</v>
      </c>
      <c r="D5" s="27">
        <v>0</v>
      </c>
      <c r="E5" s="28">
        <v>0</v>
      </c>
      <c r="F5" s="29">
        <v>0.5</v>
      </c>
      <c r="G5" s="29">
        <v>0.5</v>
      </c>
      <c r="H5" s="29">
        <v>0.5</v>
      </c>
      <c r="I5" s="30">
        <v>0</v>
      </c>
      <c r="J5" s="31">
        <v>0</v>
      </c>
      <c r="K5" s="29">
        <v>0.25</v>
      </c>
      <c r="L5" s="29">
        <v>0.25</v>
      </c>
      <c r="M5" s="31">
        <v>0.5</v>
      </c>
      <c r="N5" s="29">
        <v>0.25</v>
      </c>
      <c r="O5" s="29">
        <v>0.25</v>
      </c>
      <c r="P5" s="29">
        <v>0.25</v>
      </c>
      <c r="Q5" s="29">
        <v>0</v>
      </c>
      <c r="R5" s="29">
        <v>0.25</v>
      </c>
      <c r="S5" s="31">
        <v>0.25</v>
      </c>
      <c r="T5" s="29">
        <f>1/8</f>
        <v>0.125</v>
      </c>
      <c r="U5" s="29">
        <f>1/8</f>
        <v>0.125</v>
      </c>
      <c r="V5" s="144">
        <f>1/8</f>
        <v>0.125</v>
      </c>
      <c r="W5" s="145"/>
      <c r="X5" s="29">
        <f>1/8</f>
        <v>0.125</v>
      </c>
      <c r="Y5" s="29"/>
      <c r="Z5" s="29"/>
      <c r="AA5" s="31"/>
      <c r="AB5" s="29"/>
      <c r="AC5" s="31"/>
      <c r="AD5" s="49"/>
      <c r="AE5" s="80"/>
      <c r="AF5" s="22"/>
      <c r="AG5" s="45"/>
      <c r="AH5" s="146"/>
      <c r="AI5" s="45"/>
      <c r="AJ5" s="146"/>
      <c r="AK5" s="45"/>
      <c r="AL5" s="66">
        <f>1/8</f>
        <v>0.125</v>
      </c>
      <c r="AM5" s="146"/>
      <c r="AN5" s="22"/>
      <c r="AO5" s="82">
        <v>0</v>
      </c>
      <c r="AP5" s="67">
        <v>0.25</v>
      </c>
      <c r="AQ5" s="53">
        <v>0</v>
      </c>
      <c r="AR5" s="53">
        <v>0</v>
      </c>
      <c r="AS5" s="53">
        <v>0.25</v>
      </c>
      <c r="AT5" s="53">
        <v>0.25</v>
      </c>
      <c r="AU5" s="53">
        <v>0.25</v>
      </c>
      <c r="AV5" s="53">
        <v>0.25</v>
      </c>
      <c r="AW5" s="53">
        <v>0</v>
      </c>
      <c r="AX5" s="10">
        <v>0.25</v>
      </c>
      <c r="AY5" s="83">
        <v>0</v>
      </c>
      <c r="AZ5" s="53">
        <v>0.5</v>
      </c>
      <c r="BA5" s="53">
        <v>0</v>
      </c>
      <c r="BB5" s="97">
        <v>0</v>
      </c>
      <c r="BC5" s="53">
        <v>0</v>
      </c>
      <c r="BD5" s="53">
        <v>0</v>
      </c>
      <c r="BE5" s="10">
        <v>0</v>
      </c>
      <c r="BF5" s="53">
        <v>0</v>
      </c>
      <c r="BG5" s="53">
        <v>0</v>
      </c>
      <c r="BH5" s="147" t="s">
        <v>147</v>
      </c>
    </row>
    <row r="6" spans="1:60" hidden="1" outlineLevel="1" x14ac:dyDescent="0.25">
      <c r="A6" s="16">
        <v>0</v>
      </c>
      <c r="B6" s="1" t="s">
        <v>100</v>
      </c>
      <c r="C6" s="27">
        <v>0</v>
      </c>
      <c r="D6" s="27">
        <v>0</v>
      </c>
      <c r="E6" s="28">
        <v>0</v>
      </c>
      <c r="F6" s="30">
        <v>0</v>
      </c>
      <c r="G6" s="29">
        <v>0</v>
      </c>
      <c r="H6" s="29">
        <v>0</v>
      </c>
      <c r="I6" s="29">
        <v>0</v>
      </c>
      <c r="J6" s="31">
        <v>0.5</v>
      </c>
      <c r="K6" s="29">
        <v>0.5</v>
      </c>
      <c r="L6" s="29">
        <v>0</v>
      </c>
      <c r="M6" s="31">
        <v>0</v>
      </c>
      <c r="N6" s="29">
        <v>0</v>
      </c>
      <c r="O6" s="29">
        <v>0</v>
      </c>
      <c r="P6" s="29">
        <v>0</v>
      </c>
      <c r="Q6" s="29">
        <v>0.25</v>
      </c>
      <c r="R6" s="29">
        <v>0.25</v>
      </c>
      <c r="S6" s="31">
        <v>0.25</v>
      </c>
      <c r="T6" s="29">
        <v>0.25</v>
      </c>
      <c r="U6" s="29">
        <v>0.25</v>
      </c>
      <c r="V6" s="144"/>
      <c r="W6" s="145"/>
      <c r="X6" s="29">
        <f>1/8</f>
        <v>0.125</v>
      </c>
      <c r="Y6" s="29"/>
      <c r="Z6" s="29"/>
      <c r="AA6" s="31"/>
      <c r="AB6" s="29"/>
      <c r="AC6" s="31"/>
      <c r="AD6" s="49"/>
      <c r="AE6" s="80"/>
      <c r="AF6" s="22"/>
      <c r="AG6" s="45"/>
      <c r="AH6" s="146"/>
      <c r="AI6" s="45"/>
      <c r="AJ6" s="146"/>
      <c r="AK6" s="45"/>
      <c r="AL6" s="83">
        <f>1/8</f>
        <v>0.125</v>
      </c>
      <c r="AM6" s="146"/>
      <c r="AN6" s="22"/>
      <c r="AO6" s="82">
        <v>0.25</v>
      </c>
      <c r="AP6" s="67">
        <v>0.25</v>
      </c>
      <c r="AQ6" s="53">
        <v>0.25</v>
      </c>
      <c r="AR6" s="53">
        <v>0.25</v>
      </c>
      <c r="AS6" s="53">
        <v>0.25</v>
      </c>
      <c r="AT6" s="53">
        <v>0.25</v>
      </c>
      <c r="AU6" s="53">
        <v>0.25</v>
      </c>
      <c r="AV6" s="53">
        <v>0.25</v>
      </c>
      <c r="AW6" s="53">
        <v>0.25</v>
      </c>
      <c r="AX6" s="10">
        <v>0.25</v>
      </c>
      <c r="AY6" s="83">
        <v>0</v>
      </c>
      <c r="AZ6" s="53">
        <v>0</v>
      </c>
      <c r="BA6" s="53">
        <v>0.5</v>
      </c>
      <c r="BB6" s="97">
        <v>0.5</v>
      </c>
      <c r="BC6" s="53">
        <v>0.5</v>
      </c>
      <c r="BD6" s="53">
        <v>0</v>
      </c>
      <c r="BE6" s="10">
        <v>0</v>
      </c>
      <c r="BF6" s="53">
        <v>0</v>
      </c>
      <c r="BG6" s="147" t="s">
        <v>148</v>
      </c>
      <c r="BH6" s="22"/>
    </row>
    <row r="7" spans="1:60" hidden="1" outlineLevel="1" x14ac:dyDescent="0.25">
      <c r="A7" s="17">
        <v>0</v>
      </c>
      <c r="B7" s="11" t="s">
        <v>99</v>
      </c>
      <c r="C7" s="32">
        <v>0</v>
      </c>
      <c r="D7" s="32">
        <v>0</v>
      </c>
      <c r="E7" s="33">
        <v>0</v>
      </c>
      <c r="F7" s="34">
        <v>0</v>
      </c>
      <c r="G7" s="34">
        <v>0</v>
      </c>
      <c r="H7" s="34">
        <v>0</v>
      </c>
      <c r="I7" s="34">
        <v>0.5</v>
      </c>
      <c r="J7" s="35">
        <v>0</v>
      </c>
      <c r="K7" s="34">
        <v>0</v>
      </c>
      <c r="L7" s="34">
        <v>0</v>
      </c>
      <c r="M7" s="35">
        <v>0.25</v>
      </c>
      <c r="N7" s="34">
        <v>0.25</v>
      </c>
      <c r="O7" s="34">
        <v>0.25</v>
      </c>
      <c r="P7" s="34">
        <v>0.25</v>
      </c>
      <c r="Q7" s="34">
        <v>0.25</v>
      </c>
      <c r="R7" s="34">
        <v>0</v>
      </c>
      <c r="S7" s="35">
        <v>0</v>
      </c>
      <c r="T7" s="34">
        <v>0.25</v>
      </c>
      <c r="U7" s="34">
        <v>0.25</v>
      </c>
      <c r="V7" s="148"/>
      <c r="W7" s="149"/>
      <c r="X7" s="34">
        <v>0.25</v>
      </c>
      <c r="Y7" s="34"/>
      <c r="Z7" s="34"/>
      <c r="AA7" s="35"/>
      <c r="AB7" s="34"/>
      <c r="AC7" s="35"/>
      <c r="AD7" s="50"/>
      <c r="AE7" s="81"/>
      <c r="AF7" s="150"/>
      <c r="AG7" s="151"/>
      <c r="AH7" s="152"/>
      <c r="AI7" s="151"/>
      <c r="AJ7" s="152"/>
      <c r="AK7" s="151"/>
      <c r="AL7" s="84">
        <v>0.25</v>
      </c>
      <c r="AM7" s="152"/>
      <c r="AN7" s="150"/>
      <c r="AO7" s="85">
        <f>1/8</f>
        <v>0.125</v>
      </c>
      <c r="AP7" s="86">
        <v>0</v>
      </c>
      <c r="AQ7" s="12">
        <v>0.25</v>
      </c>
      <c r="AR7" s="12">
        <v>0.25</v>
      </c>
      <c r="AS7" s="12">
        <v>0</v>
      </c>
      <c r="AT7" s="12">
        <v>0</v>
      </c>
      <c r="AU7" s="12">
        <v>0</v>
      </c>
      <c r="AV7" s="12">
        <v>0</v>
      </c>
      <c r="AW7" s="12">
        <v>0.25</v>
      </c>
      <c r="AX7" s="77">
        <v>0</v>
      </c>
      <c r="AY7" s="84">
        <v>0.25</v>
      </c>
      <c r="AZ7" s="12">
        <v>0</v>
      </c>
      <c r="BA7" s="12">
        <v>0</v>
      </c>
      <c r="BB7" s="173">
        <v>0</v>
      </c>
      <c r="BC7" s="12">
        <v>0</v>
      </c>
      <c r="BD7" s="12">
        <v>0.5</v>
      </c>
      <c r="BE7" s="77">
        <v>0.5</v>
      </c>
      <c r="BF7" s="153" t="s">
        <v>149</v>
      </c>
      <c r="BG7" s="22"/>
      <c r="BH7" s="22"/>
    </row>
    <row r="8" spans="1:60" hidden="1" outlineLevel="1" x14ac:dyDescent="0.25">
      <c r="A8" s="16">
        <v>4</v>
      </c>
      <c r="B8" s="1" t="s">
        <v>102</v>
      </c>
      <c r="C8" s="27">
        <v>0</v>
      </c>
      <c r="D8" s="2">
        <v>0</v>
      </c>
      <c r="E8" s="9">
        <v>0.5</v>
      </c>
      <c r="F8" s="27">
        <v>0</v>
      </c>
      <c r="G8" s="2">
        <v>0.25</v>
      </c>
      <c r="H8" s="2">
        <v>0</v>
      </c>
      <c r="I8" s="2">
        <v>0.25</v>
      </c>
      <c r="J8" s="9">
        <v>0.25</v>
      </c>
      <c r="K8" s="27">
        <v>0</v>
      </c>
      <c r="L8" s="2">
        <f>1/4</f>
        <v>0.25</v>
      </c>
      <c r="M8" s="9">
        <f>1/8</f>
        <v>0.125</v>
      </c>
      <c r="N8" s="2">
        <f>1/8</f>
        <v>0.125</v>
      </c>
      <c r="O8" s="2">
        <v>0.5</v>
      </c>
      <c r="P8" s="2">
        <f>2/8</f>
        <v>0.25</v>
      </c>
      <c r="Q8" s="2">
        <f>1/16</f>
        <v>6.25E-2</v>
      </c>
      <c r="R8" s="2">
        <v>0</v>
      </c>
      <c r="S8" s="9">
        <v>0</v>
      </c>
      <c r="T8" s="2">
        <v>0.5</v>
      </c>
      <c r="U8" s="2">
        <f>1/8</f>
        <v>0.125</v>
      </c>
      <c r="V8" s="144"/>
      <c r="W8" s="167"/>
      <c r="X8" s="2">
        <f>1/8+1/16</f>
        <v>0.1875</v>
      </c>
      <c r="Y8" s="2"/>
      <c r="Z8" s="2"/>
      <c r="AA8" s="9"/>
      <c r="AB8" s="2"/>
      <c r="AC8" s="9"/>
      <c r="AD8" s="87"/>
      <c r="AE8" s="88"/>
      <c r="AF8" s="22"/>
      <c r="AG8" s="45"/>
      <c r="AH8" s="146"/>
      <c r="AI8" s="45"/>
      <c r="AJ8" s="146"/>
      <c r="AK8" s="45"/>
      <c r="AL8" s="83">
        <f>1/8+1/16</f>
        <v>0.1875</v>
      </c>
      <c r="AM8" s="146"/>
      <c r="AN8" s="22"/>
      <c r="AO8" s="45"/>
      <c r="AP8" s="67">
        <v>0</v>
      </c>
      <c r="AQ8" s="22"/>
      <c r="AR8" s="22"/>
      <c r="AS8" s="22"/>
      <c r="AT8" s="22"/>
      <c r="AU8" s="22"/>
      <c r="AV8" s="53">
        <v>0</v>
      </c>
      <c r="AW8" s="22"/>
      <c r="AX8" s="45"/>
      <c r="AY8" s="83">
        <v>0.5</v>
      </c>
      <c r="AZ8" s="53">
        <v>0</v>
      </c>
      <c r="BA8" s="171">
        <v>0</v>
      </c>
      <c r="BB8" s="95">
        <v>0</v>
      </c>
      <c r="BC8" s="53">
        <v>0</v>
      </c>
      <c r="BD8" s="53">
        <v>0.25</v>
      </c>
      <c r="BE8" s="154" t="s">
        <v>152</v>
      </c>
      <c r="BF8" s="22"/>
      <c r="BG8" s="22"/>
      <c r="BH8" s="22"/>
    </row>
    <row r="9" spans="1:60" hidden="1" outlineLevel="1" x14ac:dyDescent="0.25">
      <c r="A9" s="16">
        <v>19</v>
      </c>
      <c r="B9" s="1" t="s">
        <v>5</v>
      </c>
      <c r="C9" s="2">
        <v>0.5</v>
      </c>
      <c r="D9" s="2">
        <v>0</v>
      </c>
      <c r="E9" s="9">
        <v>0</v>
      </c>
      <c r="F9" s="2">
        <v>0.25</v>
      </c>
      <c r="G9" s="27">
        <v>0</v>
      </c>
      <c r="H9" s="27">
        <v>0</v>
      </c>
      <c r="I9" s="2">
        <v>0.25</v>
      </c>
      <c r="J9" s="28">
        <v>0</v>
      </c>
      <c r="K9" s="2">
        <f>1/8</f>
        <v>0.125</v>
      </c>
      <c r="L9" s="2">
        <f>1/16</f>
        <v>6.25E-2</v>
      </c>
      <c r="M9" s="9">
        <f>1/8</f>
        <v>0.125</v>
      </c>
      <c r="N9" s="2">
        <v>0.5</v>
      </c>
      <c r="O9" s="2">
        <f>2/8</f>
        <v>0.25</v>
      </c>
      <c r="P9" s="2">
        <v>0.5</v>
      </c>
      <c r="Q9" s="2">
        <f>2/8</f>
        <v>0.25</v>
      </c>
      <c r="R9" s="2">
        <f>1/8</f>
        <v>0.125</v>
      </c>
      <c r="S9" s="9">
        <f>1/8</f>
        <v>0.125</v>
      </c>
      <c r="T9" s="2">
        <f>1/16+1/8</f>
        <v>0.1875</v>
      </c>
      <c r="U9" s="2">
        <f>1/8+1/16</f>
        <v>0.1875</v>
      </c>
      <c r="V9" s="144"/>
      <c r="W9" s="145"/>
      <c r="X9" s="2">
        <f>1/8+1/16</f>
        <v>0.1875</v>
      </c>
      <c r="Y9" s="2"/>
      <c r="Z9" s="2"/>
      <c r="AA9" s="9"/>
      <c r="AB9" s="2"/>
      <c r="AC9" s="9"/>
      <c r="AD9" s="87"/>
      <c r="AE9" s="88"/>
      <c r="AF9" s="22"/>
      <c r="AG9" s="45"/>
      <c r="AH9" s="146"/>
      <c r="AI9" s="45"/>
      <c r="AJ9" s="146"/>
      <c r="AK9" s="45"/>
      <c r="AL9" s="83">
        <f>1/8+1/16</f>
        <v>0.1875</v>
      </c>
      <c r="AM9" s="146"/>
      <c r="AN9" s="22"/>
      <c r="AO9" s="45"/>
      <c r="AP9" s="146"/>
      <c r="AQ9" s="53">
        <v>0.5</v>
      </c>
      <c r="AR9" s="53">
        <v>0.5</v>
      </c>
      <c r="AS9" s="53">
        <v>0</v>
      </c>
      <c r="AT9" s="53">
        <v>0</v>
      </c>
      <c r="AU9" s="53">
        <v>0</v>
      </c>
      <c r="AV9" s="53">
        <f>1/8</f>
        <v>0.125</v>
      </c>
      <c r="AW9" s="53">
        <v>0.5</v>
      </c>
      <c r="AX9" s="45"/>
      <c r="AY9" s="83">
        <f>1/4+1/8</f>
        <v>0.375</v>
      </c>
      <c r="AZ9" s="53">
        <v>0</v>
      </c>
      <c r="BA9" s="172">
        <v>0</v>
      </c>
      <c r="BB9" s="95">
        <v>0</v>
      </c>
      <c r="BC9" s="53">
        <v>0.25</v>
      </c>
      <c r="BD9" s="147" t="s">
        <v>153</v>
      </c>
      <c r="BE9" s="22"/>
      <c r="BF9" s="22"/>
      <c r="BG9" s="22"/>
      <c r="BH9" s="22"/>
    </row>
    <row r="10" spans="1:60" hidden="1" outlineLevel="1" x14ac:dyDescent="0.25">
      <c r="A10" s="16">
        <v>16</v>
      </c>
      <c r="B10" s="1" t="s">
        <v>4</v>
      </c>
      <c r="C10" s="2">
        <v>0.5</v>
      </c>
      <c r="D10" s="2">
        <v>0</v>
      </c>
      <c r="E10" s="9">
        <v>0</v>
      </c>
      <c r="F10" s="2">
        <v>0.25</v>
      </c>
      <c r="G10" s="27">
        <v>0</v>
      </c>
      <c r="H10" s="27">
        <v>0</v>
      </c>
      <c r="I10" s="27">
        <v>0</v>
      </c>
      <c r="J10" s="9">
        <v>0.25</v>
      </c>
      <c r="K10" s="2">
        <f>1/8+1/4</f>
        <v>0.375</v>
      </c>
      <c r="L10" s="27">
        <v>0</v>
      </c>
      <c r="M10" s="28">
        <v>0</v>
      </c>
      <c r="N10" s="2">
        <f>1/8</f>
        <v>0.125</v>
      </c>
      <c r="O10" s="2">
        <f>1/8</f>
        <v>0.125</v>
      </c>
      <c r="P10" s="2">
        <f>1/8</f>
        <v>0.125</v>
      </c>
      <c r="Q10" s="2">
        <v>0.5</v>
      </c>
      <c r="R10" s="2">
        <v>0.5</v>
      </c>
      <c r="S10" s="9">
        <v>0.5</v>
      </c>
      <c r="T10" s="2">
        <f>1/8+1/16</f>
        <v>0.1875</v>
      </c>
      <c r="U10" s="2">
        <f>1/8+1/16</f>
        <v>0.1875</v>
      </c>
      <c r="V10" s="9"/>
      <c r="W10" s="2"/>
      <c r="X10" s="2">
        <f>1/4</f>
        <v>0.25</v>
      </c>
      <c r="Y10" s="2"/>
      <c r="Z10" s="2"/>
      <c r="AA10" s="9"/>
      <c r="AB10" s="2"/>
      <c r="AC10" s="9"/>
      <c r="AD10" s="87"/>
      <c r="AE10" s="88"/>
      <c r="AF10" s="22"/>
      <c r="AG10" s="45"/>
      <c r="AH10" s="146"/>
      <c r="AI10" s="45"/>
      <c r="AJ10" s="146"/>
      <c r="AK10" s="45"/>
      <c r="AL10" s="83">
        <f>1/4</f>
        <v>0.25</v>
      </c>
      <c r="AM10" s="146"/>
      <c r="AN10" s="22"/>
      <c r="AO10" s="10">
        <f>2/8</f>
        <v>0.25</v>
      </c>
      <c r="AP10" s="67">
        <f>0.5</f>
        <v>0.5</v>
      </c>
      <c r="AQ10" s="53">
        <f>2/8</f>
        <v>0.25</v>
      </c>
      <c r="AR10" s="53">
        <f>2/8</f>
        <v>0.25</v>
      </c>
      <c r="AS10" s="53">
        <f>1/8</f>
        <v>0.125</v>
      </c>
      <c r="AT10" s="53">
        <f>1/8</f>
        <v>0.125</v>
      </c>
      <c r="AU10" s="53">
        <f>1/8</f>
        <v>0.125</v>
      </c>
      <c r="AV10" s="53">
        <f>2/8</f>
        <v>0.25</v>
      </c>
      <c r="AW10" s="53">
        <f>2/8</f>
        <v>0.25</v>
      </c>
      <c r="AX10" s="10">
        <v>0.5</v>
      </c>
      <c r="AY10" s="83">
        <f>0.25</f>
        <v>0.25</v>
      </c>
      <c r="AZ10" s="89">
        <v>0</v>
      </c>
      <c r="BA10" s="10">
        <f>1/4</f>
        <v>0.25</v>
      </c>
      <c r="BB10" s="95">
        <v>0.25</v>
      </c>
      <c r="BC10" s="147" t="s">
        <v>154</v>
      </c>
      <c r="BD10" s="22"/>
      <c r="BE10" s="22"/>
      <c r="BF10" s="22"/>
      <c r="BG10" s="22"/>
      <c r="BH10" s="22"/>
    </row>
    <row r="11" spans="1:60" hidden="1" outlineLevel="1" x14ac:dyDescent="0.25">
      <c r="A11" s="16">
        <v>25</v>
      </c>
      <c r="B11" s="1" t="s">
        <v>6</v>
      </c>
      <c r="C11" s="2">
        <v>0</v>
      </c>
      <c r="D11" s="2">
        <v>0.5</v>
      </c>
      <c r="E11" s="9">
        <v>0</v>
      </c>
      <c r="F11" s="2">
        <v>0</v>
      </c>
      <c r="G11" s="2">
        <v>0</v>
      </c>
      <c r="H11" s="2">
        <v>0.25</v>
      </c>
      <c r="I11" s="2">
        <f>1/4</f>
        <v>0.25</v>
      </c>
      <c r="J11" s="9">
        <v>0.25</v>
      </c>
      <c r="K11" s="2">
        <v>0.25</v>
      </c>
      <c r="L11" s="2">
        <f t="shared" ref="L11:N12" si="0">1/8</f>
        <v>0.125</v>
      </c>
      <c r="M11" s="9">
        <f t="shared" si="0"/>
        <v>0.125</v>
      </c>
      <c r="N11" s="2">
        <f t="shared" si="0"/>
        <v>0.125</v>
      </c>
      <c r="O11" s="27">
        <v>0</v>
      </c>
      <c r="P11" s="2">
        <v>0</v>
      </c>
      <c r="Q11" s="2">
        <f t="shared" ref="Q11:S12" si="1">2/8</f>
        <v>0.25</v>
      </c>
      <c r="R11" s="2">
        <f t="shared" si="1"/>
        <v>0.25</v>
      </c>
      <c r="S11" s="9">
        <f t="shared" si="1"/>
        <v>0.25</v>
      </c>
      <c r="T11" s="2">
        <f>1/8</f>
        <v>0.125</v>
      </c>
      <c r="U11" s="2">
        <f>2/8</f>
        <v>0.25</v>
      </c>
      <c r="V11" s="9">
        <f>1/8+1/16</f>
        <v>0.1875</v>
      </c>
      <c r="W11" s="2">
        <f>2/8</f>
        <v>0.25</v>
      </c>
      <c r="X11" s="2">
        <f>1/8+1/16</f>
        <v>0.1875</v>
      </c>
      <c r="Y11" s="2"/>
      <c r="Z11" s="2">
        <f>1/2</f>
        <v>0.5</v>
      </c>
      <c r="AA11" s="9"/>
      <c r="AB11" s="2"/>
      <c r="AC11" s="9"/>
      <c r="AD11" s="87"/>
      <c r="AE11" s="88"/>
      <c r="AF11" s="145"/>
      <c r="AG11" s="144"/>
      <c r="AH11" s="165"/>
      <c r="AI11" s="144"/>
      <c r="AJ11" s="165"/>
      <c r="AK11" s="144"/>
      <c r="AL11" s="83">
        <f>1/8+1/16</f>
        <v>0.1875</v>
      </c>
      <c r="AM11" s="165"/>
      <c r="AN11" s="145"/>
      <c r="AO11" s="10">
        <v>0.5</v>
      </c>
      <c r="AP11" s="165"/>
      <c r="AQ11" s="145"/>
      <c r="AR11" s="145"/>
      <c r="AS11" s="53">
        <f>2/8</f>
        <v>0.25</v>
      </c>
      <c r="AT11" s="53">
        <f>2/8</f>
        <v>0.25</v>
      </c>
      <c r="AU11" s="53">
        <f>2/8</f>
        <v>0.25</v>
      </c>
      <c r="AV11" s="145"/>
      <c r="AW11" s="53">
        <f>2/8</f>
        <v>0.25</v>
      </c>
      <c r="AX11" s="10">
        <f>1/8</f>
        <v>0.125</v>
      </c>
      <c r="AY11" s="166">
        <v>0</v>
      </c>
      <c r="AZ11" s="95">
        <f>1/4</f>
        <v>0.25</v>
      </c>
      <c r="BA11" s="96">
        <f>0.5</f>
        <v>0.5</v>
      </c>
      <c r="BB11" s="155" t="s">
        <v>156</v>
      </c>
      <c r="BC11" s="22"/>
      <c r="BD11" s="22"/>
      <c r="BE11" s="22"/>
      <c r="BF11" s="22"/>
      <c r="BG11" s="22"/>
      <c r="BH11" s="22"/>
    </row>
    <row r="12" spans="1:60" collapsed="1" x14ac:dyDescent="0.25">
      <c r="A12" s="16">
        <v>7</v>
      </c>
      <c r="B12" s="4" t="s">
        <v>2</v>
      </c>
      <c r="C12" s="2">
        <v>0</v>
      </c>
      <c r="D12" s="2">
        <v>0.5</v>
      </c>
      <c r="E12" s="9">
        <v>0</v>
      </c>
      <c r="F12" s="27">
        <v>0</v>
      </c>
      <c r="G12" s="27">
        <v>0</v>
      </c>
      <c r="H12" s="2">
        <v>0.25</v>
      </c>
      <c r="I12" s="56">
        <f>1/4</f>
        <v>0.25</v>
      </c>
      <c r="J12" s="90">
        <v>0.25</v>
      </c>
      <c r="K12" s="56">
        <v>0.25</v>
      </c>
      <c r="L12" s="56">
        <f t="shared" si="0"/>
        <v>0.125</v>
      </c>
      <c r="M12" s="90">
        <f t="shared" si="0"/>
        <v>0.125</v>
      </c>
      <c r="N12" s="56">
        <f t="shared" si="0"/>
        <v>0.125</v>
      </c>
      <c r="O12" s="56">
        <v>0</v>
      </c>
      <c r="P12" s="91">
        <v>0</v>
      </c>
      <c r="Q12" s="56">
        <f t="shared" si="1"/>
        <v>0.25</v>
      </c>
      <c r="R12" s="56">
        <f t="shared" si="1"/>
        <v>0.25</v>
      </c>
      <c r="S12" s="90">
        <f t="shared" si="1"/>
        <v>0.25</v>
      </c>
      <c r="T12" s="56">
        <f>1/8</f>
        <v>0.125</v>
      </c>
      <c r="U12" s="56">
        <f>2/8</f>
        <v>0.25</v>
      </c>
      <c r="V12" s="90"/>
      <c r="W12" s="56"/>
      <c r="X12" s="56">
        <f>1/8+1/16</f>
        <v>0.1875</v>
      </c>
      <c r="Y12" s="56"/>
      <c r="Z12" s="56">
        <f>1/4</f>
        <v>0.25</v>
      </c>
      <c r="AA12" s="90"/>
      <c r="AB12" s="56"/>
      <c r="AC12" s="90"/>
      <c r="AD12" s="92"/>
      <c r="AE12" s="93"/>
      <c r="AF12" s="22"/>
      <c r="AG12" s="45"/>
      <c r="AH12" s="146"/>
      <c r="AI12" s="45"/>
      <c r="AJ12" s="146"/>
      <c r="AK12" s="45"/>
      <c r="AL12" s="94">
        <f>1/8+1/16</f>
        <v>0.1875</v>
      </c>
      <c r="AM12" s="146"/>
      <c r="AN12" s="22"/>
      <c r="AO12" s="45"/>
      <c r="AP12" s="146"/>
      <c r="AQ12" s="22"/>
      <c r="AR12" s="22"/>
      <c r="AS12" s="95">
        <v>0.5</v>
      </c>
      <c r="AT12" s="95">
        <v>0.5</v>
      </c>
      <c r="AU12" s="95">
        <f>2/8</f>
        <v>0.25</v>
      </c>
      <c r="AV12" s="95">
        <v>0.5</v>
      </c>
      <c r="AW12" s="95">
        <v>0.5</v>
      </c>
      <c r="AX12" s="96">
        <f>1/8</f>
        <v>0.125</v>
      </c>
      <c r="AY12" s="94">
        <v>0</v>
      </c>
      <c r="AZ12" s="95">
        <v>0.25</v>
      </c>
      <c r="BA12" s="159" t="s">
        <v>2</v>
      </c>
      <c r="BC12" s="22"/>
      <c r="BD12" s="22"/>
      <c r="BE12" s="22"/>
      <c r="BF12" s="22"/>
      <c r="BG12" s="22"/>
      <c r="BH12" s="22"/>
    </row>
    <row r="13" spans="1:60" x14ac:dyDescent="0.25">
      <c r="A13" s="17">
        <v>12</v>
      </c>
      <c r="B13" s="15" t="s">
        <v>3</v>
      </c>
      <c r="C13" s="2">
        <v>0</v>
      </c>
      <c r="D13" s="2">
        <v>0.5</v>
      </c>
      <c r="E13" s="28">
        <v>0</v>
      </c>
      <c r="F13" s="2">
        <v>0.25</v>
      </c>
      <c r="G13" s="2">
        <v>0.25</v>
      </c>
      <c r="H13" s="2">
        <v>0.5</v>
      </c>
      <c r="I13" s="99">
        <v>0.25</v>
      </c>
      <c r="J13" s="105">
        <v>0</v>
      </c>
      <c r="K13" s="99">
        <f>1/8</f>
        <v>0.125</v>
      </c>
      <c r="L13" s="99">
        <v>0.5</v>
      </c>
      <c r="M13" s="100">
        <f>0.25+1/8</f>
        <v>0.375</v>
      </c>
      <c r="N13" s="99">
        <f>1/4</f>
        <v>0.25</v>
      </c>
      <c r="O13" s="99">
        <f>1/8</f>
        <v>0.125</v>
      </c>
      <c r="P13" s="99">
        <f>1/8</f>
        <v>0.125</v>
      </c>
      <c r="Q13" s="99">
        <f>1/8</f>
        <v>0.125</v>
      </c>
      <c r="R13" s="99">
        <v>0.25</v>
      </c>
      <c r="S13" s="100">
        <v>0.25</v>
      </c>
      <c r="T13" s="99">
        <f>1/16</f>
        <v>6.25E-2</v>
      </c>
      <c r="U13" s="99">
        <f>1/8+1/8</f>
        <v>0.25</v>
      </c>
      <c r="V13" s="100"/>
      <c r="W13" s="99"/>
      <c r="X13" s="99">
        <f>1/8+1/16</f>
        <v>0.1875</v>
      </c>
      <c r="Y13" s="99"/>
      <c r="Z13" s="99"/>
      <c r="AA13" s="100"/>
      <c r="AB13" s="99"/>
      <c r="AC13" s="100"/>
      <c r="AD13" s="101"/>
      <c r="AE13" s="93"/>
      <c r="AF13" s="22"/>
      <c r="AG13" s="45"/>
      <c r="AH13" s="146"/>
      <c r="AI13" s="45"/>
      <c r="AJ13" s="146"/>
      <c r="AK13" s="45"/>
      <c r="AL13" s="94">
        <f>1/8+1/16</f>
        <v>0.1875</v>
      </c>
      <c r="AM13" s="146"/>
      <c r="AN13" s="22"/>
      <c r="AO13" s="96">
        <f>1/8</f>
        <v>0.125</v>
      </c>
      <c r="AP13" s="97">
        <f>2/8</f>
        <v>0.25</v>
      </c>
      <c r="AQ13" s="95">
        <v>0</v>
      </c>
      <c r="AR13" s="98">
        <v>0</v>
      </c>
      <c r="AS13" s="95">
        <f>2/8</f>
        <v>0.25</v>
      </c>
      <c r="AT13" s="95">
        <f>1/8+1/8</f>
        <v>0.25</v>
      </c>
      <c r="AU13" s="95">
        <v>0.5</v>
      </c>
      <c r="AV13" s="95">
        <f>2/8</f>
        <v>0.25</v>
      </c>
      <c r="AW13" s="95">
        <f>1/8</f>
        <v>0.125</v>
      </c>
      <c r="AX13" s="96">
        <v>0.125</v>
      </c>
      <c r="AY13" s="94">
        <v>0</v>
      </c>
      <c r="AZ13" s="155" t="s">
        <v>155</v>
      </c>
      <c r="BA13" s="22"/>
      <c r="BC13" s="22"/>
      <c r="BD13" s="22"/>
      <c r="BE13" s="22"/>
      <c r="BF13" s="22"/>
      <c r="BG13" s="22"/>
      <c r="BH13" s="22"/>
    </row>
    <row r="14" spans="1:60" x14ac:dyDescent="0.25">
      <c r="A14" s="17">
        <v>22</v>
      </c>
      <c r="B14" s="15" t="s">
        <v>8</v>
      </c>
      <c r="C14" s="36">
        <v>0.5</v>
      </c>
      <c r="D14" s="36">
        <v>0</v>
      </c>
      <c r="E14" s="37">
        <v>0.25</v>
      </c>
      <c r="F14" s="36">
        <v>0.25</v>
      </c>
      <c r="G14" s="36">
        <f>1/8</f>
        <v>0.125</v>
      </c>
      <c r="H14" s="32">
        <v>0</v>
      </c>
      <c r="I14" s="99">
        <f>1/8</f>
        <v>0.125</v>
      </c>
      <c r="J14" s="100">
        <f>1/8</f>
        <v>0.125</v>
      </c>
      <c r="K14" s="99">
        <f>1/8</f>
        <v>0.125</v>
      </c>
      <c r="L14" s="99">
        <f>1/8</f>
        <v>0.125</v>
      </c>
      <c r="M14" s="105">
        <f>1/2*1/4*1/2</f>
        <v>6.25E-2</v>
      </c>
      <c r="N14" s="99">
        <f>1/8+1/16</f>
        <v>0.1875</v>
      </c>
      <c r="O14" s="99">
        <f>1/8+1/4</f>
        <v>0.375</v>
      </c>
      <c r="P14" s="99">
        <f>1/8+2/16</f>
        <v>0.25</v>
      </c>
      <c r="Q14" s="99">
        <f>1/8</f>
        <v>0.125</v>
      </c>
      <c r="R14" s="99">
        <f>1/8</f>
        <v>0.125</v>
      </c>
      <c r="S14" s="100">
        <f>1/8</f>
        <v>0.125</v>
      </c>
      <c r="T14" s="99">
        <f>1/4+1/16</f>
        <v>0.3125</v>
      </c>
      <c r="U14" s="99">
        <f>2/16</f>
        <v>0.125</v>
      </c>
      <c r="V14" s="100">
        <f>1/8+1/16</f>
        <v>0.1875</v>
      </c>
      <c r="W14" s="99">
        <f>2/32+1/16</f>
        <v>0.125</v>
      </c>
      <c r="X14" s="99">
        <f>2/16+1/32</f>
        <v>0.15625</v>
      </c>
      <c r="Y14" s="99"/>
      <c r="Z14" s="99"/>
      <c r="AA14" s="100"/>
      <c r="AB14" s="99"/>
      <c r="AC14" s="100"/>
      <c r="AD14" s="101"/>
      <c r="AE14" s="106"/>
      <c r="AF14" s="74"/>
      <c r="AG14" s="75"/>
      <c r="AH14" s="157"/>
      <c r="AI14" s="75"/>
      <c r="AJ14" s="157"/>
      <c r="AK14" s="75"/>
      <c r="AL14" s="107">
        <f>2/16+1/32</f>
        <v>0.15625</v>
      </c>
      <c r="AM14" s="157"/>
      <c r="AN14" s="74"/>
      <c r="AO14" s="108">
        <v>0.5</v>
      </c>
      <c r="AP14" s="157"/>
      <c r="AQ14" s="74"/>
      <c r="AR14" s="74"/>
      <c r="AS14" s="109">
        <f>1/16</f>
        <v>6.25E-2</v>
      </c>
      <c r="AT14" s="109">
        <f>1/16</f>
        <v>6.25E-2</v>
      </c>
      <c r="AU14" s="110">
        <f>1/16</f>
        <v>6.25E-2</v>
      </c>
      <c r="AV14" s="109">
        <f>1/8</f>
        <v>0.125</v>
      </c>
      <c r="AW14" s="74"/>
      <c r="AX14" s="108">
        <f>1/8+1/16</f>
        <v>0.1875</v>
      </c>
      <c r="AY14" s="158" t="s">
        <v>48</v>
      </c>
      <c r="AZ14" s="22"/>
      <c r="BA14" s="22"/>
      <c r="BB14" s="22"/>
      <c r="BC14" s="22"/>
      <c r="BD14" s="22"/>
      <c r="BE14" s="22"/>
      <c r="BF14" s="22"/>
      <c r="BG14" s="22"/>
      <c r="BH14" s="22"/>
    </row>
    <row r="15" spans="1:60" x14ac:dyDescent="0.25">
      <c r="A15" s="16">
        <v>42</v>
      </c>
      <c r="B15" s="4" t="s">
        <v>11</v>
      </c>
      <c r="C15" s="2">
        <v>0.25</v>
      </c>
      <c r="D15" s="2">
        <v>0</v>
      </c>
      <c r="E15" s="9">
        <v>0.25</v>
      </c>
      <c r="F15" s="2">
        <f>1/8+1/8</f>
        <v>0.25</v>
      </c>
      <c r="G15" s="2">
        <v>0.5</v>
      </c>
      <c r="H15" s="2">
        <f>1/8</f>
        <v>0.125</v>
      </c>
      <c r="I15" s="91">
        <v>0</v>
      </c>
      <c r="J15" s="90">
        <f>1/8+1/8</f>
        <v>0.25</v>
      </c>
      <c r="K15" s="56">
        <f>1/16+1/8</f>
        <v>0.1875</v>
      </c>
      <c r="L15" s="56">
        <f>1/16+1/8</f>
        <v>0.1875</v>
      </c>
      <c r="M15" s="90">
        <f>1/8</f>
        <v>0.125</v>
      </c>
      <c r="N15" s="56">
        <f>2/16</f>
        <v>0.125</v>
      </c>
      <c r="O15" s="56">
        <f>1/16+1/16+1/16</f>
        <v>0.1875</v>
      </c>
      <c r="P15" s="56">
        <f>1/4+1/16</f>
        <v>0.3125</v>
      </c>
      <c r="Q15" s="56">
        <f>1/4</f>
        <v>0.25</v>
      </c>
      <c r="R15" s="56">
        <f>1/4+1/16</f>
        <v>0.3125</v>
      </c>
      <c r="S15" s="90">
        <f>1/4+1/16</f>
        <v>0.3125</v>
      </c>
      <c r="T15" s="56">
        <f>2/32+2/16</f>
        <v>0.1875</v>
      </c>
      <c r="U15" s="56">
        <f>2/32+1/16</f>
        <v>0.125</v>
      </c>
      <c r="V15" s="90">
        <f>1/4+1/8+1/32</f>
        <v>0.40625</v>
      </c>
      <c r="W15" s="56">
        <f>1/8+1/16+1/32</f>
        <v>0.21875</v>
      </c>
      <c r="X15" s="56">
        <v>0.5</v>
      </c>
      <c r="Y15" s="56">
        <f>1/4+2/32</f>
        <v>0.3125</v>
      </c>
      <c r="Z15" s="56">
        <f>1/16+3/32</f>
        <v>0.15625</v>
      </c>
      <c r="AA15" s="90">
        <f>1/16+3/32</f>
        <v>0.15625</v>
      </c>
      <c r="AB15" s="111">
        <f>2/16+1/32</f>
        <v>0.15625</v>
      </c>
      <c r="AC15" s="112">
        <f>2/16+1/32</f>
        <v>0.15625</v>
      </c>
      <c r="AD15" s="113">
        <f>2/32+1/16+1/8+1/128</f>
        <v>0.2578125</v>
      </c>
      <c r="AE15" s="114">
        <f t="shared" ref="AE15:AF17" si="2">1/16+3/32</f>
        <v>0.15625</v>
      </c>
      <c r="AF15" s="41">
        <f t="shared" si="2"/>
        <v>0.15625</v>
      </c>
      <c r="AG15" s="45"/>
      <c r="AH15" s="146"/>
      <c r="AI15" s="45"/>
      <c r="AJ15" s="162">
        <f>2/16+1/32</f>
        <v>0.15625</v>
      </c>
      <c r="AK15" s="96">
        <f>2/16+1/32</f>
        <v>0.15625</v>
      </c>
      <c r="AL15" s="94">
        <v>0.5</v>
      </c>
      <c r="AM15" s="146"/>
      <c r="AN15" s="22"/>
      <c r="AO15" s="96">
        <f>1/16+1/32</f>
        <v>9.375E-2</v>
      </c>
      <c r="AP15" s="97">
        <f>1/16+1/4</f>
        <v>0.3125</v>
      </c>
      <c r="AQ15" s="95">
        <f>3/16</f>
        <v>0.1875</v>
      </c>
      <c r="AR15" s="95">
        <f>3/16</f>
        <v>0.1875</v>
      </c>
      <c r="AS15" s="95">
        <f>1/4+1/16</f>
        <v>0.3125</v>
      </c>
      <c r="AT15" s="95">
        <f>1/4+1/16</f>
        <v>0.3125</v>
      </c>
      <c r="AU15" s="95">
        <f>3/16</f>
        <v>0.1875</v>
      </c>
      <c r="AV15" s="95">
        <f>3/16</f>
        <v>0.1875</v>
      </c>
      <c r="AW15" s="95">
        <f>2/16</f>
        <v>0.125</v>
      </c>
      <c r="AX15" s="159" t="s">
        <v>38</v>
      </c>
      <c r="AY15" s="22"/>
      <c r="AZ15" s="22"/>
      <c r="BA15" s="22"/>
      <c r="BB15" s="22"/>
      <c r="BC15" s="22"/>
      <c r="BD15" s="53"/>
      <c r="BE15" s="2"/>
      <c r="BF15" s="22"/>
      <c r="BG15" s="22"/>
      <c r="BH15" s="22"/>
    </row>
    <row r="16" spans="1:60" x14ac:dyDescent="0.25">
      <c r="A16" s="16">
        <v>43</v>
      </c>
      <c r="B16" s="4" t="s">
        <v>13</v>
      </c>
      <c r="C16" s="2">
        <v>0.25</v>
      </c>
      <c r="D16" s="2">
        <v>0.25</v>
      </c>
      <c r="E16" s="9">
        <v>0</v>
      </c>
      <c r="F16" s="2">
        <f>1/8</f>
        <v>0.125</v>
      </c>
      <c r="G16" s="2">
        <v>0</v>
      </c>
      <c r="H16" s="2">
        <f>1/8</f>
        <v>0.125</v>
      </c>
      <c r="I16" s="56">
        <f t="shared" ref="I16:I23" si="3">1/8</f>
        <v>0.125</v>
      </c>
      <c r="J16" s="90">
        <f>1/8</f>
        <v>0.125</v>
      </c>
      <c r="K16" s="56">
        <f>1/8+1/16</f>
        <v>0.1875</v>
      </c>
      <c r="L16" s="91">
        <f>1/16</f>
        <v>6.25E-2</v>
      </c>
      <c r="M16" s="90">
        <f>2/16</f>
        <v>0.125</v>
      </c>
      <c r="N16" s="56">
        <f>1/4+1/16</f>
        <v>0.3125</v>
      </c>
      <c r="O16" s="56">
        <f>2/16</f>
        <v>0.125</v>
      </c>
      <c r="P16" s="56">
        <f>1/4</f>
        <v>0.25</v>
      </c>
      <c r="Q16" s="56">
        <f>4/16</f>
        <v>0.25</v>
      </c>
      <c r="R16" s="56">
        <f>3/16</f>
        <v>0.1875</v>
      </c>
      <c r="S16" s="90">
        <f>3/16</f>
        <v>0.1875</v>
      </c>
      <c r="T16" s="56">
        <f>2/16+1/32</f>
        <v>0.15625</v>
      </c>
      <c r="U16" s="56">
        <f>3/16+1/32</f>
        <v>0.21875</v>
      </c>
      <c r="V16" s="90">
        <f>2/16+1/32</f>
        <v>0.15625</v>
      </c>
      <c r="W16" s="56">
        <f>1/4+1/8</f>
        <v>0.375</v>
      </c>
      <c r="X16" s="56">
        <f>2/16+2/32</f>
        <v>0.1875</v>
      </c>
      <c r="Y16" s="56">
        <f>1/2</f>
        <v>0.5</v>
      </c>
      <c r="Z16" s="56">
        <f>2/16+2/32</f>
        <v>0.1875</v>
      </c>
      <c r="AA16" s="90">
        <f>1/8+1/16+1/32</f>
        <v>0.21875</v>
      </c>
      <c r="AB16" s="111">
        <f>2/32+1/16</f>
        <v>0.125</v>
      </c>
      <c r="AC16" s="112">
        <f>1/16+3/32</f>
        <v>0.15625</v>
      </c>
      <c r="AD16" s="113">
        <f>1/8+2/128+2/32</f>
        <v>0.203125</v>
      </c>
      <c r="AE16" s="114">
        <f t="shared" si="2"/>
        <v>0.15625</v>
      </c>
      <c r="AF16" s="41">
        <f t="shared" si="2"/>
        <v>0.15625</v>
      </c>
      <c r="AG16" s="45"/>
      <c r="AH16" s="146"/>
      <c r="AI16" s="45"/>
      <c r="AJ16" s="162">
        <f>1/16+3/32</f>
        <v>0.15625</v>
      </c>
      <c r="AK16" s="96">
        <f>2/32+1/16</f>
        <v>0.125</v>
      </c>
      <c r="AL16" s="94">
        <f>2/16+2/32</f>
        <v>0.1875</v>
      </c>
      <c r="AM16" s="146"/>
      <c r="AN16" s="22"/>
      <c r="AO16" s="45"/>
      <c r="AP16" s="22"/>
      <c r="AQ16" s="22"/>
      <c r="AR16" s="22"/>
      <c r="AS16" s="95">
        <f>1/4</f>
        <v>0.25</v>
      </c>
      <c r="AT16" s="95">
        <f>1/4</f>
        <v>0.25</v>
      </c>
      <c r="AU16" s="95">
        <f>2/16</f>
        <v>0.125</v>
      </c>
      <c r="AV16" s="95">
        <f>1/4+1/16</f>
        <v>0.3125</v>
      </c>
      <c r="AW16" s="155" t="s">
        <v>40</v>
      </c>
      <c r="AX16" s="22"/>
      <c r="AY16" s="95"/>
      <c r="AZ16" s="22"/>
      <c r="BA16" s="22"/>
      <c r="BB16" s="95"/>
      <c r="BC16" s="22"/>
      <c r="BD16" s="22"/>
      <c r="BE16" s="53"/>
      <c r="BF16" s="22"/>
      <c r="BG16" s="22"/>
      <c r="BH16" s="22"/>
    </row>
    <row r="17" spans="1:60" x14ac:dyDescent="0.25">
      <c r="A17" s="16">
        <v>43</v>
      </c>
      <c r="B17" s="4" t="s">
        <v>14</v>
      </c>
      <c r="C17" s="2">
        <v>0.25</v>
      </c>
      <c r="D17" s="2">
        <v>0.25</v>
      </c>
      <c r="E17" s="9">
        <v>0</v>
      </c>
      <c r="F17" s="2">
        <v>0.5</v>
      </c>
      <c r="G17" s="2">
        <f>1/8</f>
        <v>0.125</v>
      </c>
      <c r="H17" s="2">
        <f>2/8</f>
        <v>0.25</v>
      </c>
      <c r="I17" s="56">
        <f t="shared" si="3"/>
        <v>0.125</v>
      </c>
      <c r="J17" s="90">
        <f>1/8</f>
        <v>0.125</v>
      </c>
      <c r="K17" s="56">
        <f>2/8</f>
        <v>0.25</v>
      </c>
      <c r="L17" s="56">
        <f>2/16</f>
        <v>0.125</v>
      </c>
      <c r="M17" s="90">
        <f>1/8+1/16</f>
        <v>0.1875</v>
      </c>
      <c r="N17" s="56">
        <f>3/16</f>
        <v>0.1875</v>
      </c>
      <c r="O17" s="56">
        <f>1/4</f>
        <v>0.25</v>
      </c>
      <c r="P17" s="91">
        <v>0.125</v>
      </c>
      <c r="Q17" s="56">
        <f>3/16</f>
        <v>0.1875</v>
      </c>
      <c r="R17" s="56">
        <f>4/16</f>
        <v>0.25</v>
      </c>
      <c r="S17" s="90">
        <f>4/16</f>
        <v>0.25</v>
      </c>
      <c r="T17" s="56">
        <f>1/8+1/16</f>
        <v>0.1875</v>
      </c>
      <c r="U17" s="56">
        <f>1/8+2/16</f>
        <v>0.25</v>
      </c>
      <c r="V17" s="90">
        <f>2/16+2/32</f>
        <v>0.1875</v>
      </c>
      <c r="W17" s="56">
        <f>1/4+2/32</f>
        <v>0.3125</v>
      </c>
      <c r="X17" s="56">
        <f>1/16+3/32</f>
        <v>0.15625</v>
      </c>
      <c r="Y17" s="56">
        <f>1/16+1/32+1/8</f>
        <v>0.21875</v>
      </c>
      <c r="Z17" s="56">
        <f>1/8+2/16</f>
        <v>0.25</v>
      </c>
      <c r="AA17" s="90">
        <f>2/16+2/32</f>
        <v>0.1875</v>
      </c>
      <c r="AB17" s="111">
        <f>1/8+1/16+2/32</f>
        <v>0.25</v>
      </c>
      <c r="AC17" s="112">
        <f>2/16+1/32</f>
        <v>0.15625</v>
      </c>
      <c r="AD17" s="113">
        <f>4/32+1/8+1/128</f>
        <v>0.2578125</v>
      </c>
      <c r="AE17" s="114">
        <f t="shared" si="2"/>
        <v>0.15625</v>
      </c>
      <c r="AF17" s="41">
        <f t="shared" si="2"/>
        <v>0.15625</v>
      </c>
      <c r="AG17" s="45"/>
      <c r="AH17" s="146"/>
      <c r="AI17" s="96">
        <f>1/2+2/32</f>
        <v>0.5625</v>
      </c>
      <c r="AJ17" s="162">
        <f>2/16+1/32</f>
        <v>0.15625</v>
      </c>
      <c r="AK17" s="96">
        <f>1/8+1/16+2/32</f>
        <v>0.25</v>
      </c>
      <c r="AL17" s="94">
        <f>1/16+3/32</f>
        <v>0.15625</v>
      </c>
      <c r="AM17" s="146"/>
      <c r="AN17" s="22"/>
      <c r="AO17" s="45"/>
      <c r="AP17" s="22"/>
      <c r="AQ17" s="22"/>
      <c r="AR17" s="22"/>
      <c r="AS17" s="95">
        <f>1/4+1/16</f>
        <v>0.3125</v>
      </c>
      <c r="AT17" s="95">
        <f>1/4+1/16</f>
        <v>0.3125</v>
      </c>
      <c r="AU17" s="95">
        <f>3/16</f>
        <v>0.1875</v>
      </c>
      <c r="AV17" s="155" t="s">
        <v>49</v>
      </c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</row>
    <row r="18" spans="1:60" x14ac:dyDescent="0.25">
      <c r="A18" s="16">
        <v>44</v>
      </c>
      <c r="B18" s="4" t="s">
        <v>15</v>
      </c>
      <c r="C18" s="2">
        <v>0</v>
      </c>
      <c r="D18" s="2">
        <v>0.25</v>
      </c>
      <c r="E18" s="9">
        <v>0.25</v>
      </c>
      <c r="F18" s="2">
        <f>1/8</f>
        <v>0.125</v>
      </c>
      <c r="G18" s="2">
        <f>2/8</f>
        <v>0.25</v>
      </c>
      <c r="H18" s="2">
        <f>0.25</f>
        <v>0.25</v>
      </c>
      <c r="I18" s="56">
        <f t="shared" si="3"/>
        <v>0.125</v>
      </c>
      <c r="J18" s="90">
        <v>0.5</v>
      </c>
      <c r="K18" s="56">
        <f>1/8+1/16</f>
        <v>0.1875</v>
      </c>
      <c r="L18" s="56">
        <f>1/4+1/8</f>
        <v>0.375</v>
      </c>
      <c r="M18" s="90">
        <f>1/16+1/8</f>
        <v>0.1875</v>
      </c>
      <c r="N18" s="56">
        <f>3/16</f>
        <v>0.1875</v>
      </c>
      <c r="O18" s="56">
        <f>2/16</f>
        <v>0.125</v>
      </c>
      <c r="P18" s="56">
        <f>2/16</f>
        <v>0.125</v>
      </c>
      <c r="Q18" s="91">
        <f>2/16</f>
        <v>0.125</v>
      </c>
      <c r="R18" s="56">
        <f t="shared" ref="R18:S20" si="4">3/16</f>
        <v>0.1875</v>
      </c>
      <c r="S18" s="90">
        <f t="shared" si="4"/>
        <v>0.1875</v>
      </c>
      <c r="T18" s="56">
        <f>2/16+1/32</f>
        <v>0.15625</v>
      </c>
      <c r="U18" s="56">
        <f>1/32+2/16</f>
        <v>0.15625</v>
      </c>
      <c r="V18" s="90">
        <f>2/8+1/16</f>
        <v>0.3125</v>
      </c>
      <c r="W18" s="56">
        <f>2/16+1/32</f>
        <v>0.15625</v>
      </c>
      <c r="X18" s="56">
        <f>3/32+1/16</f>
        <v>0.15625</v>
      </c>
      <c r="Y18" s="56">
        <f>2/16+2/32</f>
        <v>0.1875</v>
      </c>
      <c r="Z18" s="56">
        <f>2/32+2/16</f>
        <v>0.1875</v>
      </c>
      <c r="AA18" s="90">
        <f>1/4+1/8</f>
        <v>0.375</v>
      </c>
      <c r="AB18" s="111">
        <f>1/8+2/16+1/32</f>
        <v>0.28125</v>
      </c>
      <c r="AC18" s="112">
        <f>2/32+1/16</f>
        <v>0.125</v>
      </c>
      <c r="AD18" s="113">
        <f>6/32</f>
        <v>0.1875</v>
      </c>
      <c r="AE18" s="114">
        <f>1/2+1/32</f>
        <v>0.53125</v>
      </c>
      <c r="AF18" s="41">
        <f>1/2+1/32</f>
        <v>0.53125</v>
      </c>
      <c r="AG18" s="45"/>
      <c r="AH18" s="146"/>
      <c r="AI18" s="45"/>
      <c r="AJ18" s="162">
        <f>2/32+1/16</f>
        <v>0.125</v>
      </c>
      <c r="AK18" s="96">
        <f>1/8+2/16+1/32</f>
        <v>0.28125</v>
      </c>
      <c r="AL18" s="94">
        <f>3/32+1/16</f>
        <v>0.15625</v>
      </c>
      <c r="AM18" s="146"/>
      <c r="AN18" s="95">
        <f>2/16+2/32</f>
        <v>0.1875</v>
      </c>
      <c r="AO18" s="96">
        <f>2/16+1/32</f>
        <v>0.15625</v>
      </c>
      <c r="AP18" s="95">
        <f>1/4+1/16</f>
        <v>0.3125</v>
      </c>
      <c r="AQ18" s="95">
        <f>1/4</f>
        <v>0.25</v>
      </c>
      <c r="AR18" s="95">
        <f>1/4</f>
        <v>0.25</v>
      </c>
      <c r="AS18" s="95">
        <f>4/16</f>
        <v>0.25</v>
      </c>
      <c r="AT18" s="41">
        <f>4/16</f>
        <v>0.25</v>
      </c>
      <c r="AU18" s="155" t="s">
        <v>41</v>
      </c>
      <c r="AV18" s="22"/>
      <c r="AW18" s="22"/>
      <c r="AX18" s="22"/>
      <c r="AY18" s="22"/>
      <c r="AZ18" s="22"/>
      <c r="BA18" s="22"/>
      <c r="BB18" s="22"/>
      <c r="BC18" s="22"/>
      <c r="BD18" s="22"/>
      <c r="BE18" s="53"/>
      <c r="BF18" s="22"/>
      <c r="BG18" s="22"/>
      <c r="BH18" s="22"/>
    </row>
    <row r="19" spans="1:60" x14ac:dyDescent="0.25">
      <c r="A19" s="16">
        <v>45</v>
      </c>
      <c r="B19" s="4" t="s">
        <v>12</v>
      </c>
      <c r="C19" s="2">
        <v>0</v>
      </c>
      <c r="D19" s="2">
        <v>0.25</v>
      </c>
      <c r="E19" s="9">
        <v>0.25</v>
      </c>
      <c r="F19" s="2">
        <f>1/8</f>
        <v>0.125</v>
      </c>
      <c r="G19" s="2">
        <v>0.5</v>
      </c>
      <c r="H19" s="2">
        <f>1/8+1/8</f>
        <v>0.25</v>
      </c>
      <c r="I19" s="56">
        <f t="shared" si="3"/>
        <v>0.125</v>
      </c>
      <c r="J19" s="90">
        <f>2/8</f>
        <v>0.25</v>
      </c>
      <c r="K19" s="56">
        <f>1/8+1/16</f>
        <v>0.1875</v>
      </c>
      <c r="L19" s="56">
        <f>1/8+1/16+1/16</f>
        <v>0.25</v>
      </c>
      <c r="M19" s="90">
        <f>1/8+1/16</f>
        <v>0.1875</v>
      </c>
      <c r="N19" s="91">
        <f>2/16</f>
        <v>0.125</v>
      </c>
      <c r="O19" s="56">
        <f>2/16</f>
        <v>0.125</v>
      </c>
      <c r="P19" s="56">
        <f>1/4</f>
        <v>0.25</v>
      </c>
      <c r="Q19" s="56">
        <f>2/16</f>
        <v>0.125</v>
      </c>
      <c r="R19" s="56">
        <f t="shared" si="4"/>
        <v>0.1875</v>
      </c>
      <c r="S19" s="90">
        <f t="shared" si="4"/>
        <v>0.1875</v>
      </c>
      <c r="T19" s="56">
        <f>1/32+2/16</f>
        <v>0.15625</v>
      </c>
      <c r="U19" s="56">
        <f>1/16+2/32</f>
        <v>0.125</v>
      </c>
      <c r="V19" s="90">
        <f>2/16+2/32</f>
        <v>0.1875</v>
      </c>
      <c r="W19" s="56">
        <f>1/4+1/8</f>
        <v>0.375</v>
      </c>
      <c r="X19" s="56">
        <f>1/8+1/16+1/32</f>
        <v>0.21875</v>
      </c>
      <c r="Y19" s="56">
        <f>1/4+1/8</f>
        <v>0.375</v>
      </c>
      <c r="Z19" s="56">
        <f t="shared" ref="Z19:AB20" si="5">2/16+2/32</f>
        <v>0.1875</v>
      </c>
      <c r="AA19" s="90">
        <f t="shared" si="5"/>
        <v>0.1875</v>
      </c>
      <c r="AB19" s="111">
        <f t="shared" si="5"/>
        <v>0.1875</v>
      </c>
      <c r="AC19" s="112">
        <f>2/32+1/16</f>
        <v>0.125</v>
      </c>
      <c r="AD19" s="113">
        <f>1/2+1/32+1/64</f>
        <v>0.546875</v>
      </c>
      <c r="AE19" s="114">
        <f>5/32</f>
        <v>0.15625</v>
      </c>
      <c r="AF19" s="41">
        <f>5/32</f>
        <v>0.15625</v>
      </c>
      <c r="AG19" s="45"/>
      <c r="AH19" s="146"/>
      <c r="AI19" s="45"/>
      <c r="AJ19" s="162">
        <f>2/32+1/16</f>
        <v>0.125</v>
      </c>
      <c r="AK19" s="96">
        <f>2/16+2/32</f>
        <v>0.1875</v>
      </c>
      <c r="AL19" s="94">
        <f>1/8+1/16+1/32</f>
        <v>0.21875</v>
      </c>
      <c r="AM19" s="146"/>
      <c r="AN19" s="95">
        <f>2/16+1/32</f>
        <v>0.15625</v>
      </c>
      <c r="AO19" s="96">
        <f>2/16+1/32</f>
        <v>0.15625</v>
      </c>
      <c r="AP19" s="41">
        <f>3/16</f>
        <v>0.1875</v>
      </c>
      <c r="AQ19" s="41">
        <f>2/16</f>
        <v>0.125</v>
      </c>
      <c r="AR19" s="41">
        <f>2/16</f>
        <v>0.125</v>
      </c>
      <c r="AS19" s="95">
        <f>0.5</f>
        <v>0.5</v>
      </c>
      <c r="AT19" s="155" t="s">
        <v>39</v>
      </c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53"/>
      <c r="BF19" s="22"/>
      <c r="BG19" s="22"/>
      <c r="BH19" s="22"/>
    </row>
    <row r="20" spans="1:60" x14ac:dyDescent="0.25">
      <c r="A20" s="16">
        <v>48</v>
      </c>
      <c r="B20" s="4" t="s">
        <v>18</v>
      </c>
      <c r="C20" s="2">
        <v>0</v>
      </c>
      <c r="D20" s="2">
        <v>0.25</v>
      </c>
      <c r="E20" s="9">
        <v>0.25</v>
      </c>
      <c r="F20" s="2">
        <f>1/8</f>
        <v>0.125</v>
      </c>
      <c r="G20" s="2">
        <v>0.5</v>
      </c>
      <c r="H20" s="2">
        <f>2/8</f>
        <v>0.25</v>
      </c>
      <c r="I20" s="56">
        <f t="shared" si="3"/>
        <v>0.125</v>
      </c>
      <c r="J20" s="90">
        <f>2/8</f>
        <v>0.25</v>
      </c>
      <c r="K20" s="56">
        <f>1/8+1/16</f>
        <v>0.1875</v>
      </c>
      <c r="L20" s="56">
        <f>1/8+1/16+1/16</f>
        <v>0.25</v>
      </c>
      <c r="M20" s="90">
        <f>1/8+1/16</f>
        <v>0.1875</v>
      </c>
      <c r="N20" s="56">
        <f>2/16</f>
        <v>0.125</v>
      </c>
      <c r="O20" s="56">
        <f>2/16</f>
        <v>0.125</v>
      </c>
      <c r="P20" s="56">
        <f>1/4</f>
        <v>0.25</v>
      </c>
      <c r="Q20" s="56">
        <f>2/16</f>
        <v>0.125</v>
      </c>
      <c r="R20" s="56">
        <f t="shared" si="4"/>
        <v>0.1875</v>
      </c>
      <c r="S20" s="90">
        <f t="shared" si="4"/>
        <v>0.1875</v>
      </c>
      <c r="T20" s="56">
        <f>1/32+2/16</f>
        <v>0.15625</v>
      </c>
      <c r="U20" s="56">
        <f>1/16+2/32</f>
        <v>0.125</v>
      </c>
      <c r="V20" s="90">
        <f>2/16+2/32</f>
        <v>0.1875</v>
      </c>
      <c r="W20" s="56">
        <f>1/4+1/8</f>
        <v>0.375</v>
      </c>
      <c r="X20" s="56">
        <f>1/8+1/16+1/32</f>
        <v>0.21875</v>
      </c>
      <c r="Y20" s="56">
        <f>1/4+1/8</f>
        <v>0.375</v>
      </c>
      <c r="Z20" s="56">
        <f t="shared" si="5"/>
        <v>0.1875</v>
      </c>
      <c r="AA20" s="90">
        <f t="shared" si="5"/>
        <v>0.1875</v>
      </c>
      <c r="AB20" s="111">
        <f t="shared" si="5"/>
        <v>0.1875</v>
      </c>
      <c r="AC20" s="112">
        <f>2/32+1/16</f>
        <v>0.125</v>
      </c>
      <c r="AD20" s="113">
        <f>2/8+2/32+2/128</f>
        <v>0.328125</v>
      </c>
      <c r="AE20" s="114">
        <f>5/32</f>
        <v>0.15625</v>
      </c>
      <c r="AF20" s="41">
        <f>5/32</f>
        <v>0.15625</v>
      </c>
      <c r="AG20" s="45"/>
      <c r="AH20" s="146"/>
      <c r="AI20" s="45"/>
      <c r="AJ20" s="162">
        <f>2/32+1/16</f>
        <v>0.125</v>
      </c>
      <c r="AK20" s="96">
        <f>2/16+2/32</f>
        <v>0.1875</v>
      </c>
      <c r="AL20" s="94">
        <f>1/8+1/16+1/32</f>
        <v>0.21875</v>
      </c>
      <c r="AM20" s="146"/>
      <c r="AN20" s="95">
        <f>2/16+1/32</f>
        <v>0.15625</v>
      </c>
      <c r="AO20" s="96">
        <f>2/16+1/32</f>
        <v>0.15625</v>
      </c>
      <c r="AP20" s="41">
        <f>3/16</f>
        <v>0.1875</v>
      </c>
      <c r="AQ20" s="41">
        <f>2/16</f>
        <v>0.125</v>
      </c>
      <c r="AR20" s="41">
        <f>2/16</f>
        <v>0.125</v>
      </c>
      <c r="AS20" s="155" t="s">
        <v>44</v>
      </c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53"/>
      <c r="BF20" s="22"/>
      <c r="BG20" s="22"/>
      <c r="BH20" s="22"/>
    </row>
    <row r="21" spans="1:60" x14ac:dyDescent="0.25">
      <c r="A21" s="16">
        <v>49</v>
      </c>
      <c r="B21" s="4" t="s">
        <v>16</v>
      </c>
      <c r="C21" s="2">
        <v>0.25</v>
      </c>
      <c r="D21" s="2">
        <v>0</v>
      </c>
      <c r="E21" s="9">
        <v>0.25</v>
      </c>
      <c r="F21" s="2">
        <f>1/8</f>
        <v>0.125</v>
      </c>
      <c r="G21" s="2">
        <f>1/8</f>
        <v>0.125</v>
      </c>
      <c r="H21" s="2">
        <v>0</v>
      </c>
      <c r="I21" s="56">
        <f t="shared" si="3"/>
        <v>0.125</v>
      </c>
      <c r="J21" s="90">
        <v>0.5</v>
      </c>
      <c r="K21" s="56">
        <f>1/8+1/8</f>
        <v>0.25</v>
      </c>
      <c r="L21" s="56">
        <f>1/8</f>
        <v>0.125</v>
      </c>
      <c r="M21" s="90">
        <f>1/16</f>
        <v>6.25E-2</v>
      </c>
      <c r="N21" s="56">
        <v>0.25</v>
      </c>
      <c r="O21" s="56">
        <f>1/16+1/16</f>
        <v>0.125</v>
      </c>
      <c r="P21" s="56">
        <v>0.25</v>
      </c>
      <c r="Q21" s="56">
        <f>3/16</f>
        <v>0.1875</v>
      </c>
      <c r="R21" s="56">
        <f>2/16</f>
        <v>0.125</v>
      </c>
      <c r="S21" s="90">
        <f>2/16</f>
        <v>0.125</v>
      </c>
      <c r="T21" s="56">
        <f>1/32+3/16</f>
        <v>0.21875</v>
      </c>
      <c r="U21" s="56">
        <f>2/16+1/32</f>
        <v>0.15625</v>
      </c>
      <c r="V21" s="90">
        <f>3/16</f>
        <v>0.1875</v>
      </c>
      <c r="W21" s="56">
        <f>1/8+1/16+1/32</f>
        <v>0.21875</v>
      </c>
      <c r="X21" s="56">
        <f>3/32+1/16</f>
        <v>0.15625</v>
      </c>
      <c r="Y21" s="56">
        <f>1/8+1/16+1/32</f>
        <v>0.21875</v>
      </c>
      <c r="Z21" s="56">
        <f>3/32+1/16</f>
        <v>0.15625</v>
      </c>
      <c r="AA21" s="90">
        <f>0.5</f>
        <v>0.5</v>
      </c>
      <c r="AB21" s="111">
        <f>2/32+1/16</f>
        <v>0.125</v>
      </c>
      <c r="AC21" s="112">
        <f>3/32+1/16</f>
        <v>0.15625</v>
      </c>
      <c r="AD21" s="113">
        <f>1/8+1/64+1/128+2/32</f>
        <v>0.2109375</v>
      </c>
      <c r="AE21" s="114">
        <f>1/16+4/32</f>
        <v>0.1875</v>
      </c>
      <c r="AF21" s="41">
        <f>1/16+4/32</f>
        <v>0.1875</v>
      </c>
      <c r="AG21" s="45"/>
      <c r="AH21" s="146"/>
      <c r="AI21" s="45"/>
      <c r="AJ21" s="162">
        <f>3/32+1/16</f>
        <v>0.15625</v>
      </c>
      <c r="AK21" s="96">
        <f>2/32+1/16</f>
        <v>0.125</v>
      </c>
      <c r="AL21" s="94">
        <f>3/32+1/16</f>
        <v>0.15625</v>
      </c>
      <c r="AM21" s="146"/>
      <c r="AN21" s="22"/>
      <c r="AO21" s="45"/>
      <c r="AP21" s="22"/>
      <c r="AQ21" s="95">
        <v>0.5</v>
      </c>
      <c r="AR21" s="155" t="s">
        <v>42</v>
      </c>
      <c r="AS21" s="22"/>
      <c r="AT21" s="22"/>
      <c r="AU21" s="22"/>
      <c r="AV21" s="95"/>
      <c r="AW21" s="95"/>
      <c r="AX21" s="22"/>
      <c r="AY21" s="95"/>
      <c r="AZ21" s="22"/>
      <c r="BA21" s="95"/>
      <c r="BB21" s="95"/>
      <c r="BC21" s="22"/>
      <c r="BD21" s="22"/>
      <c r="BE21" s="53"/>
      <c r="BF21" s="22"/>
      <c r="BG21" s="22"/>
      <c r="BH21" s="22"/>
    </row>
    <row r="22" spans="1:60" x14ac:dyDescent="0.25">
      <c r="A22" s="16">
        <v>49</v>
      </c>
      <c r="B22" s="4" t="s">
        <v>17</v>
      </c>
      <c r="C22" s="2">
        <v>0.25</v>
      </c>
      <c r="D22" s="2">
        <v>0</v>
      </c>
      <c r="E22" s="9">
        <v>0.25</v>
      </c>
      <c r="F22" s="2">
        <f>1/8</f>
        <v>0.125</v>
      </c>
      <c r="G22" s="2">
        <f>1/8</f>
        <v>0.125</v>
      </c>
      <c r="H22" s="2">
        <v>0</v>
      </c>
      <c r="I22" s="56">
        <f t="shared" si="3"/>
        <v>0.125</v>
      </c>
      <c r="J22" s="90">
        <v>0.5</v>
      </c>
      <c r="K22" s="56">
        <f>1/8+1/8</f>
        <v>0.25</v>
      </c>
      <c r="L22" s="56">
        <f>1/8</f>
        <v>0.125</v>
      </c>
      <c r="M22" s="90">
        <f>1/2*1/4*1/2</f>
        <v>6.25E-2</v>
      </c>
      <c r="N22" s="56">
        <v>0.25</v>
      </c>
      <c r="O22" s="56">
        <f>1/16+1/16</f>
        <v>0.125</v>
      </c>
      <c r="P22" s="56">
        <v>0.25</v>
      </c>
      <c r="Q22" s="56">
        <f>3/16</f>
        <v>0.1875</v>
      </c>
      <c r="R22" s="56">
        <f>2/16</f>
        <v>0.125</v>
      </c>
      <c r="S22" s="90">
        <f>2/16</f>
        <v>0.125</v>
      </c>
      <c r="T22" s="56">
        <f>1/32+3/16</f>
        <v>0.21875</v>
      </c>
      <c r="U22" s="56">
        <f>2/16+1/32</f>
        <v>0.15625</v>
      </c>
      <c r="V22" s="90">
        <f>3/16</f>
        <v>0.1875</v>
      </c>
      <c r="W22" s="56">
        <f>1/8+1/16+1/32</f>
        <v>0.21875</v>
      </c>
      <c r="X22" s="56">
        <f>3/32+1/16</f>
        <v>0.15625</v>
      </c>
      <c r="Y22" s="56">
        <f>1/8+1/16+1/32</f>
        <v>0.21875</v>
      </c>
      <c r="Z22" s="56">
        <f>3/32+1/16</f>
        <v>0.15625</v>
      </c>
      <c r="AA22" s="90">
        <f>0.25</f>
        <v>0.25</v>
      </c>
      <c r="AB22" s="111">
        <f>2/32+1/16</f>
        <v>0.125</v>
      </c>
      <c r="AC22" s="112">
        <f>3/32+1/16</f>
        <v>0.15625</v>
      </c>
      <c r="AD22" s="113">
        <f>1/8+1/64+1/128+2/32</f>
        <v>0.2109375</v>
      </c>
      <c r="AE22" s="114">
        <f>1/16+4/32</f>
        <v>0.1875</v>
      </c>
      <c r="AF22" s="41">
        <f>1/16+4/32</f>
        <v>0.1875</v>
      </c>
      <c r="AG22" s="45"/>
      <c r="AH22" s="146"/>
      <c r="AI22" s="45"/>
      <c r="AJ22" s="162">
        <f>3/32+1/16</f>
        <v>0.15625</v>
      </c>
      <c r="AK22" s="96">
        <f>2/32+1/16</f>
        <v>0.125</v>
      </c>
      <c r="AL22" s="94">
        <f>3/32+1/16</f>
        <v>0.15625</v>
      </c>
      <c r="AM22" s="146"/>
      <c r="AN22" s="22"/>
      <c r="AO22" s="45"/>
      <c r="AP22" s="22"/>
      <c r="AQ22" s="155" t="s">
        <v>43</v>
      </c>
      <c r="AR22" s="22"/>
      <c r="AS22" s="22"/>
      <c r="AT22" s="22"/>
      <c r="AU22" s="22"/>
      <c r="AV22" s="95"/>
      <c r="AW22" s="95"/>
      <c r="AX22" s="22"/>
      <c r="AY22" s="95"/>
      <c r="AZ22" s="22"/>
      <c r="BA22" s="95"/>
      <c r="BB22" s="95"/>
      <c r="BC22" s="22"/>
      <c r="BD22" s="22"/>
      <c r="BE22" s="53"/>
      <c r="BF22" s="22"/>
      <c r="BG22" s="22"/>
      <c r="BH22" s="22"/>
    </row>
    <row r="23" spans="1:60" x14ac:dyDescent="0.25">
      <c r="A23" s="17">
        <v>58</v>
      </c>
      <c r="B23" s="15" t="s">
        <v>22</v>
      </c>
      <c r="C23" s="36">
        <v>0.25</v>
      </c>
      <c r="D23" s="36">
        <v>0.25</v>
      </c>
      <c r="E23" s="37">
        <v>0</v>
      </c>
      <c r="F23" s="36">
        <f>2/8</f>
        <v>0.25</v>
      </c>
      <c r="G23" s="36">
        <f>1/8</f>
        <v>0.125</v>
      </c>
      <c r="H23" s="36">
        <f>2/8</f>
        <v>0.25</v>
      </c>
      <c r="I23" s="99">
        <f t="shared" si="3"/>
        <v>0.125</v>
      </c>
      <c r="J23" s="100">
        <f>1/8</f>
        <v>0.125</v>
      </c>
      <c r="K23" s="99">
        <f>1/8+1/16</f>
        <v>0.1875</v>
      </c>
      <c r="L23" s="99">
        <f>1/4</f>
        <v>0.25</v>
      </c>
      <c r="M23" s="100">
        <f>1/8+1/16</f>
        <v>0.1875</v>
      </c>
      <c r="N23" s="99">
        <f>1/4+2/8</f>
        <v>0.5</v>
      </c>
      <c r="O23" s="99">
        <f>3/16</f>
        <v>0.1875</v>
      </c>
      <c r="P23" s="99">
        <f>2/16</f>
        <v>0.125</v>
      </c>
      <c r="Q23" s="99">
        <f>1/4+1/16</f>
        <v>0.3125</v>
      </c>
      <c r="R23" s="99">
        <f>1/4+2/16</f>
        <v>0.375</v>
      </c>
      <c r="S23" s="100">
        <f>1/4+2/16</f>
        <v>0.375</v>
      </c>
      <c r="T23" s="99">
        <f>1/16+2/32</f>
        <v>0.125</v>
      </c>
      <c r="U23" s="99">
        <f>2/32+1/16</f>
        <v>0.125</v>
      </c>
      <c r="V23" s="100">
        <f>1/4+1/8</f>
        <v>0.375</v>
      </c>
      <c r="W23" s="99">
        <f>2/16+2/32</f>
        <v>0.1875</v>
      </c>
      <c r="X23" s="99">
        <f>1/32+1/8+1/4</f>
        <v>0.40625</v>
      </c>
      <c r="Y23" s="99">
        <f>1/16+3/32</f>
        <v>0.15625</v>
      </c>
      <c r="Z23" s="99">
        <f>2/32+2/16</f>
        <v>0.1875</v>
      </c>
      <c r="AA23" s="100">
        <f>1/4+2/32</f>
        <v>0.3125</v>
      </c>
      <c r="AB23" s="115">
        <f>1/8+1/16+2/32</f>
        <v>0.25</v>
      </c>
      <c r="AC23" s="116">
        <f>2/16+1/32</f>
        <v>0.15625</v>
      </c>
      <c r="AD23" s="117">
        <f>6/32</f>
        <v>0.1875</v>
      </c>
      <c r="AE23" s="118">
        <f>1/16+1/8+1/32+1/128</f>
        <v>0.2265625</v>
      </c>
      <c r="AF23" s="70">
        <f>1/16+1/8+1/32+1/128</f>
        <v>0.2265625</v>
      </c>
      <c r="AG23" s="151"/>
      <c r="AH23" s="152"/>
      <c r="AI23" s="151"/>
      <c r="AJ23" s="161">
        <f>2/16+1/32</f>
        <v>0.15625</v>
      </c>
      <c r="AK23" s="103">
        <f>1/8+1/16+2/32</f>
        <v>0.25</v>
      </c>
      <c r="AL23" s="102">
        <f>1/32+1/8+1/4</f>
        <v>0.40625</v>
      </c>
      <c r="AM23" s="152"/>
      <c r="AN23" s="150"/>
      <c r="AO23" s="151"/>
      <c r="AP23" s="156" t="s">
        <v>50</v>
      </c>
      <c r="AQ23" s="95"/>
      <c r="AR23" s="95"/>
      <c r="AS23" s="22"/>
      <c r="AT23" s="22"/>
      <c r="AU23" s="22"/>
      <c r="AV23" s="95"/>
      <c r="AW23" s="95"/>
      <c r="AX23" s="22"/>
      <c r="AY23" s="95"/>
      <c r="AZ23" s="22"/>
      <c r="BA23" s="95"/>
      <c r="BB23" s="95"/>
      <c r="BC23" s="22"/>
      <c r="BD23" s="53"/>
      <c r="BE23" s="22"/>
      <c r="BF23" s="22"/>
      <c r="BG23" s="22"/>
      <c r="BH23" s="22"/>
    </row>
    <row r="24" spans="1:60" x14ac:dyDescent="0.25">
      <c r="A24" s="16">
        <v>49</v>
      </c>
      <c r="B24" s="4" t="s">
        <v>21</v>
      </c>
      <c r="C24" s="2">
        <v>0.25</v>
      </c>
      <c r="D24" s="2">
        <v>0.25</v>
      </c>
      <c r="E24" s="9">
        <f>1/8</f>
        <v>0.125</v>
      </c>
      <c r="F24" s="2">
        <f>1/8</f>
        <v>0.125</v>
      </c>
      <c r="G24" s="2">
        <f>1/8</f>
        <v>0.125</v>
      </c>
      <c r="H24" s="29">
        <f>1/8</f>
        <v>0.125</v>
      </c>
      <c r="I24" s="56">
        <f>1/8+1/16</f>
        <v>0.1875</v>
      </c>
      <c r="J24" s="90">
        <f>1/8+1/16</f>
        <v>0.1875</v>
      </c>
      <c r="K24" s="56">
        <f>1/8+1/16</f>
        <v>0.1875</v>
      </c>
      <c r="L24" s="56">
        <f>2/16</f>
        <v>0.125</v>
      </c>
      <c r="M24" s="90">
        <f>1/16+1/32</f>
        <v>9.375E-2</v>
      </c>
      <c r="N24" s="56">
        <f>2/16+1/32</f>
        <v>0.15625</v>
      </c>
      <c r="O24" s="56">
        <f>1/8+1/16</f>
        <v>0.1875</v>
      </c>
      <c r="P24" s="56">
        <f>2/32+1/16</f>
        <v>0.125</v>
      </c>
      <c r="Q24" s="119">
        <f>1/32+3/16</f>
        <v>0.21875</v>
      </c>
      <c r="R24" s="56">
        <f>3/16</f>
        <v>0.1875</v>
      </c>
      <c r="S24" s="90">
        <f>3/16</f>
        <v>0.1875</v>
      </c>
      <c r="T24" s="56">
        <f>1/8+1/16+1/32</f>
        <v>0.21875</v>
      </c>
      <c r="U24" s="119">
        <f>2/16+2/32</f>
        <v>0.1875</v>
      </c>
      <c r="V24" s="120">
        <f>2/32+1/16</f>
        <v>0.125</v>
      </c>
      <c r="W24" s="119">
        <f>2/16+2/64+1/32</f>
        <v>0.1875</v>
      </c>
      <c r="X24" s="111">
        <f>4/32+1/16</f>
        <v>0.1875</v>
      </c>
      <c r="Y24" s="111">
        <f>4/32+1/64</f>
        <v>0.140625</v>
      </c>
      <c r="Z24" s="111">
        <f>1/8+1/16+1/32</f>
        <v>0.21875</v>
      </c>
      <c r="AA24" s="112">
        <f>2/32+2/64+1/16</f>
        <v>0.15625</v>
      </c>
      <c r="AB24" s="111">
        <f>3/32+1/16</f>
        <v>0.15625</v>
      </c>
      <c r="AC24" s="112">
        <f>1/4+1/16+1/32+1/64</f>
        <v>0.359375</v>
      </c>
      <c r="AD24" s="113">
        <f>4/32+2/64</f>
        <v>0.15625</v>
      </c>
      <c r="AE24" s="114">
        <f>1/4+2/32+1/64</f>
        <v>0.328125</v>
      </c>
      <c r="AF24" s="41">
        <f>1/4+2/32+1/64</f>
        <v>0.328125</v>
      </c>
      <c r="AG24" s="45"/>
      <c r="AH24" s="146"/>
      <c r="AI24" s="45"/>
      <c r="AJ24" s="162">
        <f>1/4+1/16+1/32+1/64</f>
        <v>0.359375</v>
      </c>
      <c r="AK24" s="96">
        <f>3/32+1/16</f>
        <v>0.15625</v>
      </c>
      <c r="AL24" s="94">
        <f>4/32+1/16</f>
        <v>0.1875</v>
      </c>
      <c r="AM24" s="146"/>
      <c r="AN24" s="22"/>
      <c r="AO24" s="159" t="s">
        <v>52</v>
      </c>
      <c r="AP24" s="95"/>
      <c r="AQ24" s="95"/>
      <c r="AR24" s="95"/>
      <c r="AS24" s="22"/>
      <c r="AT24" s="22"/>
      <c r="AU24" s="22"/>
      <c r="AV24" s="95"/>
      <c r="AW24" s="95"/>
      <c r="AX24" s="22"/>
      <c r="AY24" s="22"/>
      <c r="AZ24" s="22"/>
      <c r="BA24" s="95"/>
      <c r="BB24" s="22"/>
      <c r="BC24" s="22"/>
      <c r="BD24" s="53"/>
      <c r="BE24" s="53"/>
      <c r="BF24" s="22"/>
      <c r="BG24" s="22"/>
      <c r="BH24" s="22"/>
    </row>
    <row r="25" spans="1:60" x14ac:dyDescent="0.25">
      <c r="A25" s="16">
        <v>60</v>
      </c>
      <c r="B25" s="4" t="s">
        <v>95</v>
      </c>
      <c r="C25" s="2"/>
      <c r="D25" s="2"/>
      <c r="E25" s="9"/>
      <c r="F25" s="2"/>
      <c r="G25" s="2"/>
      <c r="H25" s="29"/>
      <c r="I25" s="56"/>
      <c r="J25" s="90"/>
      <c r="K25" s="56"/>
      <c r="L25" s="56">
        <f>1/32+1/16</f>
        <v>9.375E-2</v>
      </c>
      <c r="M25" s="90">
        <f>2/8</f>
        <v>0.25</v>
      </c>
      <c r="N25" s="56">
        <f>2/32+2/16</f>
        <v>0.1875</v>
      </c>
      <c r="O25" s="56">
        <f>2/16+1/32</f>
        <v>0.15625</v>
      </c>
      <c r="P25" s="56">
        <f>2/16+1/32</f>
        <v>0.15625</v>
      </c>
      <c r="Q25" s="119">
        <f>1/4+1/8</f>
        <v>0.375</v>
      </c>
      <c r="R25" s="56">
        <f>1/32+1/4</f>
        <v>0.28125</v>
      </c>
      <c r="S25" s="90">
        <f>1/32+1/4</f>
        <v>0.28125</v>
      </c>
      <c r="T25" s="56">
        <f>3/32+1/16</f>
        <v>0.15625</v>
      </c>
      <c r="U25" s="119">
        <f>1/8+1/16+2/32</f>
        <v>0.25</v>
      </c>
      <c r="V25" s="120">
        <f>1/16+1/32+1/4+1/64</f>
        <v>0.359375</v>
      </c>
      <c r="W25" s="119">
        <f>3/32+1/64+1/16</f>
        <v>0.171875</v>
      </c>
      <c r="X25" s="111">
        <f>2/8+1/32</f>
        <v>0.28125</v>
      </c>
      <c r="Y25" s="111">
        <f>1/16+2/32+2/32</f>
        <v>0.1875</v>
      </c>
      <c r="Z25" s="111">
        <f>1/16+3/32+1/64</f>
        <v>0.171875</v>
      </c>
      <c r="AA25" s="112">
        <f>1/16+3/32+1/64</f>
        <v>0.171875</v>
      </c>
      <c r="AB25" s="111">
        <f>1/16+3/32+1/64</f>
        <v>0.171875</v>
      </c>
      <c r="AC25" s="112">
        <f>1/4+1/16+1/64</f>
        <v>0.328125</v>
      </c>
      <c r="AD25" s="113">
        <f>4/32+2/64</f>
        <v>0.15625</v>
      </c>
      <c r="AE25" s="114">
        <f>1/16+2/32+2/64</f>
        <v>0.15625</v>
      </c>
      <c r="AF25" s="41">
        <f>1/16+2/32+2/64</f>
        <v>0.15625</v>
      </c>
      <c r="AG25" s="45"/>
      <c r="AH25" s="146"/>
      <c r="AI25" s="45"/>
      <c r="AJ25" s="162">
        <f>1/4+1/16+1/64</f>
        <v>0.328125</v>
      </c>
      <c r="AK25" s="42">
        <f>1/16+3/32+1/64</f>
        <v>0.171875</v>
      </c>
      <c r="AL25" s="51">
        <f>2/8+1/32</f>
        <v>0.28125</v>
      </c>
      <c r="AM25" s="22"/>
      <c r="AN25" s="155" t="s">
        <v>97</v>
      </c>
      <c r="AO25" s="22"/>
      <c r="AP25" s="95"/>
      <c r="AQ25" s="95"/>
      <c r="AR25" s="95"/>
      <c r="AS25" s="22"/>
      <c r="AT25" s="22"/>
      <c r="AU25" s="22"/>
      <c r="AV25" s="95"/>
      <c r="AW25" s="95"/>
      <c r="AX25" s="95"/>
      <c r="AY25" s="95"/>
      <c r="AZ25" s="95"/>
      <c r="BA25" s="95"/>
      <c r="BB25" s="95"/>
      <c r="BC25" s="53"/>
      <c r="BD25" s="53"/>
      <c r="BE25" s="53"/>
      <c r="BF25" s="121"/>
      <c r="BG25" s="121"/>
      <c r="BH25" s="121"/>
    </row>
    <row r="26" spans="1:60" x14ac:dyDescent="0.25">
      <c r="A26" s="17">
        <v>65</v>
      </c>
      <c r="B26" s="15" t="s">
        <v>124</v>
      </c>
      <c r="C26" s="36"/>
      <c r="D26" s="36"/>
      <c r="E26" s="37"/>
      <c r="F26" s="36"/>
      <c r="G26" s="36"/>
      <c r="H26" s="36"/>
      <c r="I26" s="99"/>
      <c r="J26" s="100"/>
      <c r="K26" s="99"/>
      <c r="L26" s="99"/>
      <c r="M26" s="100">
        <f>1/8+1/16+1/32</f>
        <v>0.21875</v>
      </c>
      <c r="N26" s="99"/>
      <c r="O26" s="99">
        <f>2/16+1/8</f>
        <v>0.25</v>
      </c>
      <c r="P26" s="99">
        <f>2/16+2/32</f>
        <v>0.1875</v>
      </c>
      <c r="Q26" s="99">
        <f>2/16+1/32</f>
        <v>0.15625</v>
      </c>
      <c r="R26" s="99">
        <f>1/4+1/16</f>
        <v>0.3125</v>
      </c>
      <c r="S26" s="100">
        <f>1/4+1/16</f>
        <v>0.3125</v>
      </c>
      <c r="T26" s="99">
        <f>2/32+1/8</f>
        <v>0.1875</v>
      </c>
      <c r="U26" s="99">
        <f>3/32+1/16</f>
        <v>0.15625</v>
      </c>
      <c r="V26" s="100">
        <f>3/32+1/16</f>
        <v>0.15625</v>
      </c>
      <c r="W26" s="99">
        <f>2/32+2/64+1/16</f>
        <v>0.15625</v>
      </c>
      <c r="X26" s="99">
        <f>3/32+1/64+1/16</f>
        <v>0.171875</v>
      </c>
      <c r="Y26" s="99">
        <f>1/16+3/32+1/64</f>
        <v>0.171875</v>
      </c>
      <c r="Z26" s="99">
        <f>2/16+2/32</f>
        <v>0.1875</v>
      </c>
      <c r="AA26" s="100">
        <f>2/16+1/32+2/64</f>
        <v>0.1875</v>
      </c>
      <c r="AB26" s="115">
        <f>5/32</f>
        <v>0.15625</v>
      </c>
      <c r="AC26" s="116">
        <f>1/4+1/16+1/32+1/64</f>
        <v>0.359375</v>
      </c>
      <c r="AD26" s="117">
        <f>1/8+3/32+2/64</f>
        <v>0.25</v>
      </c>
      <c r="AE26" s="118">
        <f>1/4+2/32+1/64</f>
        <v>0.328125</v>
      </c>
      <c r="AF26" s="70">
        <f>1/4+2/32+1/64</f>
        <v>0.328125</v>
      </c>
      <c r="AG26" s="151"/>
      <c r="AH26" s="152"/>
      <c r="AI26" s="160"/>
      <c r="AJ26" s="161">
        <f>1/4+1/16+1/32+1/64</f>
        <v>0.359375</v>
      </c>
      <c r="AK26" s="69">
        <f>5/32</f>
        <v>0.15625</v>
      </c>
      <c r="AL26" s="102"/>
      <c r="AM26" s="156" t="s">
        <v>146</v>
      </c>
      <c r="AN26" s="41"/>
      <c r="AO26" s="95"/>
      <c r="AP26" s="95"/>
      <c r="AQ26" s="95"/>
      <c r="AR26" s="95"/>
      <c r="AS26" s="95"/>
      <c r="AT26" s="95"/>
      <c r="AU26" s="95"/>
      <c r="AV26" s="95"/>
      <c r="AW26" s="95"/>
      <c r="AX26" s="95"/>
      <c r="AY26" s="95"/>
      <c r="AZ26" s="95"/>
      <c r="BA26" s="95"/>
      <c r="BB26" s="95"/>
      <c r="BC26" s="53"/>
      <c r="BD26" s="53"/>
      <c r="BE26" s="53"/>
      <c r="BF26" s="53"/>
      <c r="BG26" s="53"/>
      <c r="BH26" s="54"/>
    </row>
    <row r="27" spans="1:60" x14ac:dyDescent="0.25">
      <c r="A27" s="17">
        <v>56</v>
      </c>
      <c r="B27" s="15" t="s">
        <v>19</v>
      </c>
      <c r="C27" s="36">
        <f>1/8</f>
        <v>0.125</v>
      </c>
      <c r="D27" s="36">
        <v>0.25</v>
      </c>
      <c r="E27" s="37">
        <f>1/8</f>
        <v>0.125</v>
      </c>
      <c r="F27" s="36">
        <f>2/16</f>
        <v>0.125</v>
      </c>
      <c r="G27" s="36">
        <f>1/4</f>
        <v>0.25</v>
      </c>
      <c r="H27" s="36">
        <f>1/8+1/16</f>
        <v>0.1875</v>
      </c>
      <c r="I27" s="99">
        <v>0.5</v>
      </c>
      <c r="J27" s="100">
        <f>2/16</f>
        <v>0.125</v>
      </c>
      <c r="K27" s="99">
        <f>2/32+1/16</f>
        <v>0.125</v>
      </c>
      <c r="L27" s="99">
        <f>2/16+1/32</f>
        <v>0.15625</v>
      </c>
      <c r="M27" s="100">
        <f>1/4+1/16</f>
        <v>0.3125</v>
      </c>
      <c r="N27" s="99">
        <f>2/16+2/32</f>
        <v>0.1875</v>
      </c>
      <c r="O27" s="99">
        <f>1/16+3/32</f>
        <v>0.15625</v>
      </c>
      <c r="P27" s="99">
        <f>1/8+1/32+1/16</f>
        <v>0.21875</v>
      </c>
      <c r="Q27" s="99">
        <f>1/4+1/8</f>
        <v>0.375</v>
      </c>
      <c r="R27" s="99">
        <f>1/32+1/8+1/16</f>
        <v>0.21875</v>
      </c>
      <c r="S27" s="100">
        <f>1/32+1/8+1/16</f>
        <v>0.21875</v>
      </c>
      <c r="T27" s="99">
        <f>1/16+2/32+2/64</f>
        <v>0.15625</v>
      </c>
      <c r="U27" s="99">
        <f>1/4+1/32+2/64</f>
        <v>0.3125</v>
      </c>
      <c r="V27" s="100">
        <f>2/32+1/64+1/8</f>
        <v>0.203125</v>
      </c>
      <c r="W27" s="99">
        <f>2/16+2/32+1/64</f>
        <v>0.203125</v>
      </c>
      <c r="X27" s="99">
        <v>0.5</v>
      </c>
      <c r="Y27" s="99">
        <f>1/8+2/64+2/32</f>
        <v>0.21875</v>
      </c>
      <c r="Z27" s="99">
        <f>1/16+2/32+3/64</f>
        <v>0.171875</v>
      </c>
      <c r="AA27" s="100">
        <f>1/16+2/32+3/64</f>
        <v>0.171875</v>
      </c>
      <c r="AB27" s="115">
        <f>3/32+2/64</f>
        <v>0.125</v>
      </c>
      <c r="AC27" s="116">
        <f>3/32+1/64+1/8</f>
        <v>0.234375</v>
      </c>
      <c r="AD27" s="117">
        <f>2/64+4/32+1/16+1/256</f>
        <v>0.22265625</v>
      </c>
      <c r="AE27" s="122">
        <f>3/32+4/64</f>
        <v>0.15625</v>
      </c>
      <c r="AF27" s="109">
        <f>3/32+4/64</f>
        <v>0.15625</v>
      </c>
      <c r="AG27" s="108">
        <f>3/32+3/64</f>
        <v>0.140625</v>
      </c>
      <c r="AH27" s="123">
        <f>1/8+1/16+1/32+3/64+1/128+1/256</f>
        <v>0.27734375</v>
      </c>
      <c r="AI27" s="108">
        <f>1/16+1/5+4/64+1/256</f>
        <v>0.32890625000000001</v>
      </c>
      <c r="AJ27" s="174">
        <f>3/32+1/64+1/8</f>
        <v>0.234375</v>
      </c>
      <c r="AK27" s="108">
        <f>3/32+2/64</f>
        <v>0.125</v>
      </c>
      <c r="AL27" s="158" t="s">
        <v>51</v>
      </c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</row>
    <row r="28" spans="1:60" x14ac:dyDescent="0.25">
      <c r="A28" s="16">
        <v>69</v>
      </c>
      <c r="B28" s="4" t="s">
        <v>114</v>
      </c>
      <c r="C28" s="2"/>
      <c r="D28" s="2"/>
      <c r="E28" s="9"/>
      <c r="F28" s="2"/>
      <c r="G28" s="2"/>
      <c r="H28" s="2"/>
      <c r="I28" s="56"/>
      <c r="J28" s="90"/>
      <c r="K28" s="111">
        <f>1/2+1/32</f>
        <v>0.53125</v>
      </c>
      <c r="L28" s="111">
        <f>1/2+1/32</f>
        <v>0.53125</v>
      </c>
      <c r="M28" s="112">
        <f>2/16+1/32</f>
        <v>0.15625</v>
      </c>
      <c r="N28" s="124"/>
      <c r="O28" s="124"/>
      <c r="P28" s="124"/>
      <c r="Q28" s="111">
        <f>1/16+2/32</f>
        <v>0.125</v>
      </c>
      <c r="R28" s="111">
        <f>1/16+4/32</f>
        <v>0.1875</v>
      </c>
      <c r="S28" s="125">
        <f>1/16+4/32</f>
        <v>0.1875</v>
      </c>
      <c r="T28" s="111">
        <f>1/4+1/16+1/64</f>
        <v>0.328125</v>
      </c>
      <c r="U28" s="111">
        <f>1/4+1/32+1/64</f>
        <v>0.296875</v>
      </c>
      <c r="V28" s="112">
        <f>1/4+1/16+1/32+1/64</f>
        <v>0.359375</v>
      </c>
      <c r="W28" s="111">
        <f>2/64+2/32+1/16</f>
        <v>0.15625</v>
      </c>
      <c r="X28" s="111">
        <f>3/32+2/64</f>
        <v>0.125</v>
      </c>
      <c r="Y28" s="111">
        <f>2/64+3/32+1/16</f>
        <v>0.1875</v>
      </c>
      <c r="Z28" s="111">
        <f>2/16+2/32+1/64</f>
        <v>0.203125</v>
      </c>
      <c r="AA28" s="112">
        <f>1/8+3/32+1/64</f>
        <v>0.234375</v>
      </c>
      <c r="AB28" s="111">
        <f>2/4+2/64</f>
        <v>0.53125</v>
      </c>
      <c r="AC28" s="112">
        <f>4/32+1/64</f>
        <v>0.140625</v>
      </c>
      <c r="AD28" s="113">
        <f>7/64+2/32</f>
        <v>0.171875</v>
      </c>
      <c r="AE28" s="114">
        <f>3/32+1/64+1/16</f>
        <v>0.171875</v>
      </c>
      <c r="AF28" s="41">
        <f>3/32+1/64+1/16</f>
        <v>0.171875</v>
      </c>
      <c r="AG28" s="42">
        <f>1/4+1/32+3/64</f>
        <v>0.328125</v>
      </c>
      <c r="AH28" s="162">
        <f>1/16+4/32+3/64+1/256</f>
        <v>0.23828125</v>
      </c>
      <c r="AI28" s="42">
        <f>1/16+2/32+5/64</f>
        <v>0.203125</v>
      </c>
      <c r="AJ28" s="162">
        <f>4/32+1/64</f>
        <v>0.140625</v>
      </c>
      <c r="AK28" s="159" t="s">
        <v>114</v>
      </c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124"/>
      <c r="AZ28" s="124"/>
      <c r="BA28" s="124"/>
      <c r="BB28" s="124"/>
      <c r="BC28" s="40"/>
      <c r="BD28" s="40"/>
      <c r="BE28" s="40"/>
      <c r="BF28" s="40"/>
      <c r="BG28" s="40"/>
      <c r="BH28" s="46"/>
    </row>
    <row r="29" spans="1:60" x14ac:dyDescent="0.25">
      <c r="A29" s="17">
        <v>66</v>
      </c>
      <c r="B29" s="15" t="s">
        <v>138</v>
      </c>
      <c r="C29" s="36"/>
      <c r="D29" s="36"/>
      <c r="E29" s="37"/>
      <c r="F29" s="36"/>
      <c r="G29" s="36"/>
      <c r="H29" s="36"/>
      <c r="I29" s="99"/>
      <c r="J29" s="116"/>
      <c r="K29" s="115"/>
      <c r="L29" s="115"/>
      <c r="M29" s="116">
        <f>1/2+1/32</f>
        <v>0.53125</v>
      </c>
      <c r="N29" s="115"/>
      <c r="O29" s="115">
        <f>1/8+2/16+1/32</f>
        <v>0.28125</v>
      </c>
      <c r="P29" s="115">
        <f>2/16+3/32</f>
        <v>0.21875</v>
      </c>
      <c r="Q29" s="115">
        <f>1/16+1/8+1/32</f>
        <v>0.21875</v>
      </c>
      <c r="R29" s="115">
        <f>2/16+1/32</f>
        <v>0.15625</v>
      </c>
      <c r="S29" s="116">
        <f>2/16+1/32</f>
        <v>0.15625</v>
      </c>
      <c r="T29" s="115">
        <f>1/8+3/32</f>
        <v>0.21875</v>
      </c>
      <c r="U29" s="115">
        <f>5/32</f>
        <v>0.15625</v>
      </c>
      <c r="V29" s="116">
        <f>1/16+2/32+1/64</f>
        <v>0.140625</v>
      </c>
      <c r="W29" s="115">
        <f>3/32+3/64</f>
        <v>0.140625</v>
      </c>
      <c r="X29" s="115">
        <f>3/32+1/64+1/8</f>
        <v>0.234375</v>
      </c>
      <c r="Y29" s="115">
        <f>2/32+3/64+1/16</f>
        <v>0.171875</v>
      </c>
      <c r="Z29" s="115">
        <f>1/16+3/32+1/64</f>
        <v>0.171875</v>
      </c>
      <c r="AA29" s="116">
        <f>1/32+3/64+1/16</f>
        <v>0.140625</v>
      </c>
      <c r="AB29" s="115">
        <f>4/32+1/64</f>
        <v>0.140625</v>
      </c>
      <c r="AC29" s="116">
        <f>2/4+2/64</f>
        <v>0.53125</v>
      </c>
      <c r="AD29" s="117">
        <f>3/32+5/64</f>
        <v>0.171875</v>
      </c>
      <c r="AE29" s="118">
        <f>1/4+3/64+1/32</f>
        <v>0.328125</v>
      </c>
      <c r="AF29" s="70">
        <f>1/4+3/64+1/32</f>
        <v>0.328125</v>
      </c>
      <c r="AG29" s="69">
        <f>3/32+4/64</f>
        <v>0.15625</v>
      </c>
      <c r="AH29" s="161">
        <f>2/32+5/64</f>
        <v>0.140625</v>
      </c>
      <c r="AI29" s="69">
        <f>5/32+2/64</f>
        <v>0.1875</v>
      </c>
      <c r="AJ29" s="156" t="s">
        <v>144</v>
      </c>
      <c r="AK29" s="22"/>
      <c r="AL29" s="95"/>
      <c r="AM29" s="41"/>
      <c r="AN29" s="41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124"/>
      <c r="AZ29" s="124"/>
      <c r="BA29" s="124"/>
      <c r="BB29" s="124"/>
      <c r="BC29" s="40"/>
      <c r="BD29" s="40"/>
      <c r="BE29" s="40"/>
      <c r="BF29" s="40"/>
      <c r="BG29" s="40"/>
      <c r="BH29" s="46"/>
    </row>
    <row r="30" spans="1:60" x14ac:dyDescent="0.25">
      <c r="A30" s="16">
        <v>67</v>
      </c>
      <c r="B30" s="4" t="s">
        <v>119</v>
      </c>
      <c r="C30" s="2"/>
      <c r="D30" s="2"/>
      <c r="E30" s="9"/>
      <c r="F30" s="2"/>
      <c r="G30" s="2"/>
      <c r="H30" s="2"/>
      <c r="I30" s="56"/>
      <c r="J30" s="90"/>
      <c r="K30" s="56"/>
      <c r="L30" s="56"/>
      <c r="M30" s="90">
        <f>2/16+1/32</f>
        <v>0.15625</v>
      </c>
      <c r="N30" s="56"/>
      <c r="O30" s="56"/>
      <c r="P30" s="56">
        <f>1/2+2/32</f>
        <v>0.5625</v>
      </c>
      <c r="Q30" s="56">
        <f>3/32</f>
        <v>9.375E-2</v>
      </c>
      <c r="R30" s="56">
        <f>4/32</f>
        <v>0.125</v>
      </c>
      <c r="S30" s="90">
        <f>4/32</f>
        <v>0.125</v>
      </c>
      <c r="T30" s="56">
        <f>2/32+1/16+2/64</f>
        <v>0.15625</v>
      </c>
      <c r="U30" s="56">
        <f>2/64+1/16+2/32</f>
        <v>0.15625</v>
      </c>
      <c r="V30" s="90">
        <f>4/32+3/64</f>
        <v>0.171875</v>
      </c>
      <c r="W30" s="56">
        <f>1/4+1/8+2/64+2/128</f>
        <v>0.421875</v>
      </c>
      <c r="X30" s="56">
        <f>1/16+1/5+4/64+1/256</f>
        <v>0.32890625000000001</v>
      </c>
      <c r="Y30" s="56">
        <f>1/8+1/16+1/32+1/128+1/512+2/64</f>
        <v>0.259765625</v>
      </c>
      <c r="Z30" s="56">
        <f>3/64+1/16+2/32</f>
        <v>0.171875</v>
      </c>
      <c r="AA30" s="90">
        <f>3/32+3/64</f>
        <v>0.140625</v>
      </c>
      <c r="AB30" s="111">
        <f>1/16+2/32+5/64</f>
        <v>0.203125</v>
      </c>
      <c r="AC30" s="112">
        <f>5/32+2/64</f>
        <v>0.1875</v>
      </c>
      <c r="AD30" s="113">
        <f>5/64+2/256+2/16+1/128</f>
        <v>0.21875</v>
      </c>
      <c r="AE30" s="114">
        <f>6/64+3/32</f>
        <v>0.1875</v>
      </c>
      <c r="AF30" s="41">
        <f>6/64+3/32</f>
        <v>0.1875</v>
      </c>
      <c r="AG30" s="45"/>
      <c r="AH30" s="146"/>
      <c r="AI30" s="159" t="s">
        <v>119</v>
      </c>
      <c r="AJ30" s="41"/>
      <c r="AK30" s="22"/>
      <c r="AL30" s="22"/>
      <c r="AM30" s="163"/>
      <c r="AN30" s="41"/>
      <c r="AO30" s="95"/>
      <c r="AP30" s="95"/>
      <c r="AQ30" s="95"/>
      <c r="AR30" s="95"/>
      <c r="AS30" s="95"/>
      <c r="AT30" s="95"/>
      <c r="AU30" s="95"/>
      <c r="AV30" s="22"/>
      <c r="AW30" s="95"/>
      <c r="AX30" s="95"/>
      <c r="AY30" s="95"/>
      <c r="AZ30" s="95"/>
      <c r="BA30" s="95"/>
      <c r="BB30" s="95"/>
      <c r="BC30" s="53"/>
      <c r="BD30" s="53"/>
      <c r="BE30" s="53"/>
      <c r="BF30" s="53"/>
      <c r="BG30" s="53"/>
      <c r="BH30" s="54"/>
    </row>
    <row r="31" spans="1:60" x14ac:dyDescent="0.25">
      <c r="A31" s="17">
        <v>69</v>
      </c>
      <c r="B31" s="15" t="s">
        <v>135</v>
      </c>
      <c r="C31" s="36"/>
      <c r="D31" s="36"/>
      <c r="E31" s="37"/>
      <c r="F31" s="36"/>
      <c r="G31" s="36"/>
      <c r="H31" s="36"/>
      <c r="I31" s="99"/>
      <c r="J31" s="100"/>
      <c r="K31" s="99"/>
      <c r="L31" s="99"/>
      <c r="M31" s="100">
        <f>1/8+1/16+1/128+1/32+1/64+1/256</f>
        <v>0.24609375</v>
      </c>
      <c r="N31" s="99"/>
      <c r="O31" s="99"/>
      <c r="P31" s="99"/>
      <c r="Q31" s="99">
        <f>1/2+2/32</f>
        <v>0.5625</v>
      </c>
      <c r="R31" s="99">
        <f>1/8+4/32+1/128</f>
        <v>0.2578125</v>
      </c>
      <c r="S31" s="100">
        <f>1/8+4/32+1/128</f>
        <v>0.2578125</v>
      </c>
      <c r="T31" s="99">
        <f>3/32+2/64</f>
        <v>0.125</v>
      </c>
      <c r="U31" s="99">
        <f>1/8+2/32+2/64+1/128</f>
        <v>0.2265625</v>
      </c>
      <c r="V31" s="100">
        <f>1/8+1/128+3/32+1/16+1/256</f>
        <v>0.29296875</v>
      </c>
      <c r="W31" s="99">
        <f>4/64+3/32+1/256</f>
        <v>0.16015625</v>
      </c>
      <c r="X31" s="99">
        <f>1/8+1/16+1/32+3/64+1/128+1/256</f>
        <v>0.27734375</v>
      </c>
      <c r="Y31" s="99">
        <f>2/32+4/64</f>
        <v>0.125</v>
      </c>
      <c r="Z31" s="99">
        <f>4/32+4/64</f>
        <v>0.1875</v>
      </c>
      <c r="AA31" s="100">
        <f>1/16+3/64+1/256+1/8+1/32+1/128+2/512</f>
        <v>0.28125</v>
      </c>
      <c r="AB31" s="115">
        <f>1/16+4/32+3/64+1/256</f>
        <v>0.23828125</v>
      </c>
      <c r="AC31" s="116">
        <f>2/32+5/64</f>
        <v>0.140625</v>
      </c>
      <c r="AD31" s="117">
        <f>9/64+1/256</f>
        <v>0.14453125</v>
      </c>
      <c r="AE31" s="118">
        <f>1/32+4/64+1/4</f>
        <v>0.34375</v>
      </c>
      <c r="AF31" s="70">
        <f>1/32+4/64+1/4</f>
        <v>0.34375</v>
      </c>
      <c r="AG31" s="151"/>
      <c r="AH31" s="156" t="s">
        <v>136</v>
      </c>
      <c r="AI31" s="22"/>
      <c r="AJ31" s="41"/>
      <c r="AK31" s="22"/>
      <c r="AL31" s="22"/>
      <c r="AM31" s="22"/>
      <c r="AN31" s="41"/>
      <c r="AO31" s="95"/>
      <c r="AP31" s="95"/>
      <c r="AQ31" s="95"/>
      <c r="AR31" s="95"/>
      <c r="AS31" s="95"/>
      <c r="AT31" s="95"/>
      <c r="AU31" s="95"/>
      <c r="AV31" s="56"/>
      <c r="AW31" s="95"/>
      <c r="AX31" s="95"/>
      <c r="AY31" s="95"/>
      <c r="AZ31" s="95"/>
      <c r="BA31" s="95"/>
      <c r="BB31" s="95"/>
      <c r="BC31" s="53"/>
      <c r="BD31" s="53"/>
      <c r="BE31" s="53"/>
      <c r="BF31" s="53"/>
      <c r="BG31" s="53"/>
      <c r="BH31" s="54"/>
    </row>
    <row r="32" spans="1:60" x14ac:dyDescent="0.25">
      <c r="A32" s="16">
        <v>70</v>
      </c>
      <c r="B32" s="4" t="s">
        <v>122</v>
      </c>
      <c r="C32" s="2"/>
      <c r="D32" s="2"/>
      <c r="E32" s="9"/>
      <c r="F32" s="2"/>
      <c r="G32" s="2"/>
      <c r="H32" s="2"/>
      <c r="I32" s="56"/>
      <c r="J32" s="90"/>
      <c r="K32" s="56"/>
      <c r="L32" s="56"/>
      <c r="M32" s="90">
        <f>1/16+3/32</f>
        <v>0.15625</v>
      </c>
      <c r="N32" s="56"/>
      <c r="O32" s="56"/>
      <c r="P32" s="56"/>
      <c r="Q32" s="56">
        <f>6/32</f>
        <v>0.1875</v>
      </c>
      <c r="R32" s="56">
        <f>5/32</f>
        <v>0.15625</v>
      </c>
      <c r="S32" s="90">
        <f>5/32</f>
        <v>0.15625</v>
      </c>
      <c r="T32" s="56">
        <f>1/16+2/32+2/64</f>
        <v>0.15625</v>
      </c>
      <c r="U32" s="56">
        <f>4/32+2/64</f>
        <v>0.15625</v>
      </c>
      <c r="V32" s="90">
        <f>1/4+1/64+2/32</f>
        <v>0.328125</v>
      </c>
      <c r="W32" s="56">
        <f>1/8+1/16+2/32+1/64</f>
        <v>0.265625</v>
      </c>
      <c r="X32" s="56">
        <f>3/32+3/64</f>
        <v>0.140625</v>
      </c>
      <c r="Y32" s="56">
        <f>1/32+2/16+2/64</f>
        <v>0.1875</v>
      </c>
      <c r="Z32" s="56">
        <f>4/32+3/64</f>
        <v>0.171875</v>
      </c>
      <c r="AA32" s="90">
        <f>4/32+4/64</f>
        <v>0.1875</v>
      </c>
      <c r="AB32" s="111">
        <f>1/4+1/32+3/64</f>
        <v>0.328125</v>
      </c>
      <c r="AC32" s="112">
        <f>3/32+4/64</f>
        <v>0.15625</v>
      </c>
      <c r="AD32" s="113">
        <f>2/16+2/256+4/64+1/32</f>
        <v>0.2265625</v>
      </c>
      <c r="AE32" s="114">
        <f>1/32+3/64+1/16+1/256</f>
        <v>0.14453125</v>
      </c>
      <c r="AF32" s="41">
        <f>1/32+3/64+1/16+1/256</f>
        <v>0.14453125</v>
      </c>
      <c r="AG32" s="159" t="s">
        <v>123</v>
      </c>
      <c r="AH32" s="22"/>
      <c r="AI32" s="22"/>
      <c r="AJ32" s="41"/>
      <c r="AK32" s="22"/>
      <c r="AL32" s="22"/>
      <c r="AM32" s="22"/>
      <c r="AN32" s="41"/>
      <c r="AO32" s="95"/>
      <c r="AP32" s="95"/>
      <c r="AQ32" s="95"/>
      <c r="AR32" s="95"/>
      <c r="AS32" s="95"/>
      <c r="AT32" s="95"/>
      <c r="AU32" s="95"/>
      <c r="AV32" s="56"/>
      <c r="AW32" s="95"/>
      <c r="AX32" s="95"/>
      <c r="AY32" s="95"/>
      <c r="AZ32" s="95"/>
      <c r="BA32" s="95"/>
      <c r="BB32" s="95"/>
      <c r="BC32" s="53"/>
      <c r="BD32" s="53"/>
      <c r="BE32" s="53"/>
      <c r="BF32" s="53"/>
      <c r="BG32" s="53"/>
      <c r="BH32" s="54"/>
    </row>
    <row r="33" spans="1:60" ht="15.75" thickBot="1" x14ac:dyDescent="0.3">
      <c r="A33" s="78">
        <v>68</v>
      </c>
      <c r="B33" s="59" t="s">
        <v>140</v>
      </c>
      <c r="C33" s="60"/>
      <c r="D33" s="60"/>
      <c r="E33" s="61"/>
      <c r="F33" s="60"/>
      <c r="G33" s="60"/>
      <c r="H33" s="60"/>
      <c r="I33" s="126"/>
      <c r="J33" s="127"/>
      <c r="K33" s="126"/>
      <c r="L33" s="126"/>
      <c r="M33" s="127">
        <f>2/32+1/16</f>
        <v>0.125</v>
      </c>
      <c r="N33" s="126"/>
      <c r="O33" s="126"/>
      <c r="P33" s="126"/>
      <c r="Q33" s="126">
        <f t="shared" ref="Q33:S34" si="6">1/16+3/32</f>
        <v>0.15625</v>
      </c>
      <c r="R33" s="126">
        <f t="shared" si="6"/>
        <v>0.15625</v>
      </c>
      <c r="S33" s="127">
        <f t="shared" si="6"/>
        <v>0.15625</v>
      </c>
      <c r="T33" s="126">
        <f>1/8+3/32+1/64</f>
        <v>0.234375</v>
      </c>
      <c r="U33" s="126">
        <f>4/32+1/64+1/16</f>
        <v>0.203125</v>
      </c>
      <c r="V33" s="127">
        <f>2/16+3/32</f>
        <v>0.21875</v>
      </c>
      <c r="W33" s="126">
        <f>3/32+4/64</f>
        <v>0.15625</v>
      </c>
      <c r="X33" s="126">
        <f>3/32+4/64</f>
        <v>0.15625</v>
      </c>
      <c r="Y33" s="126">
        <f>4/32+3/64</f>
        <v>0.171875</v>
      </c>
      <c r="Z33" s="126">
        <f>1/32+2/64+1/16+1/8+1/128+1/256+1/512</f>
        <v>0.263671875</v>
      </c>
      <c r="AA33" s="127">
        <f>1/16+2/64+3/32</f>
        <v>0.1875</v>
      </c>
      <c r="AB33" s="128">
        <f>3/32+1/64+1/16</f>
        <v>0.171875</v>
      </c>
      <c r="AC33" s="129">
        <f>1/4+3/64+1/32</f>
        <v>0.328125</v>
      </c>
      <c r="AD33" s="130">
        <f>8/64+1/32</f>
        <v>0.15625</v>
      </c>
      <c r="AE33" s="131">
        <f>2/4+1/64</f>
        <v>0.515625</v>
      </c>
      <c r="AF33" s="155" t="s">
        <v>145</v>
      </c>
      <c r="AG33" s="22"/>
      <c r="AH33" s="22"/>
      <c r="AI33" s="22"/>
      <c r="AJ33" s="22"/>
      <c r="AK33" s="22"/>
      <c r="AL33" s="22"/>
      <c r="AM33" s="22"/>
      <c r="AN33" s="41"/>
      <c r="AO33" s="95"/>
      <c r="AP33" s="95"/>
      <c r="AQ33" s="95"/>
      <c r="AR33" s="95"/>
      <c r="AS33" s="95"/>
      <c r="AT33" s="95"/>
      <c r="AU33" s="95"/>
      <c r="AV33" s="56"/>
      <c r="AW33" s="95"/>
      <c r="AX33" s="95"/>
      <c r="AY33" s="95"/>
      <c r="AZ33" s="95"/>
      <c r="BA33" s="95"/>
      <c r="BB33" s="95"/>
      <c r="BC33" s="53"/>
      <c r="BD33" s="53"/>
      <c r="BE33" s="53"/>
      <c r="BF33" s="53"/>
      <c r="BG33" s="53"/>
      <c r="BH33" s="54"/>
    </row>
    <row r="34" spans="1:60" x14ac:dyDescent="0.25">
      <c r="A34" s="13">
        <v>68</v>
      </c>
      <c r="B34" s="68" t="s">
        <v>141</v>
      </c>
      <c r="C34" s="150"/>
      <c r="D34" s="150"/>
      <c r="E34" s="151"/>
      <c r="F34" s="150"/>
      <c r="G34" s="150"/>
      <c r="H34" s="150"/>
      <c r="I34" s="150"/>
      <c r="J34" s="151"/>
      <c r="K34" s="150"/>
      <c r="L34" s="150"/>
      <c r="M34" s="103">
        <f>2/32+1/16</f>
        <v>0.125</v>
      </c>
      <c r="N34" s="150"/>
      <c r="O34" s="150"/>
      <c r="P34" s="150"/>
      <c r="Q34" s="104">
        <f t="shared" si="6"/>
        <v>0.15625</v>
      </c>
      <c r="R34" s="104">
        <f t="shared" si="6"/>
        <v>0.15625</v>
      </c>
      <c r="S34" s="103">
        <f t="shared" si="6"/>
        <v>0.15625</v>
      </c>
      <c r="T34" s="104">
        <f>1/8+3/32+1/64</f>
        <v>0.234375</v>
      </c>
      <c r="U34" s="104">
        <f>4/32+1/64+1/16</f>
        <v>0.203125</v>
      </c>
      <c r="V34" s="69">
        <f>2/16+3/32</f>
        <v>0.21875</v>
      </c>
      <c r="W34" s="70">
        <f>3/32+4/64</f>
        <v>0.15625</v>
      </c>
      <c r="X34" s="70">
        <f>3/32+4/64</f>
        <v>0.15625</v>
      </c>
      <c r="Y34" s="70">
        <f>4/32+3/64</f>
        <v>0.171875</v>
      </c>
      <c r="Z34" s="70">
        <f>1/32+2/64+1/16+1/8+1/128+1/256+1/512</f>
        <v>0.263671875</v>
      </c>
      <c r="AA34" s="69">
        <f>1/16+2/64+3/32</f>
        <v>0.1875</v>
      </c>
      <c r="AB34" s="70">
        <f>3/32+1/64+1/16</f>
        <v>0.171875</v>
      </c>
      <c r="AC34" s="69">
        <f>1/4+3/64+1/32</f>
        <v>0.328125</v>
      </c>
      <c r="AD34" s="69">
        <f>8/64+1/32</f>
        <v>0.15625</v>
      </c>
      <c r="AE34" s="71" t="s">
        <v>142</v>
      </c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</row>
    <row r="35" spans="1:60" x14ac:dyDescent="0.25">
      <c r="A35" s="13">
        <v>66</v>
      </c>
      <c r="B35" s="72" t="s">
        <v>125</v>
      </c>
      <c r="C35" s="74"/>
      <c r="D35" s="74"/>
      <c r="E35" s="75"/>
      <c r="F35" s="74"/>
      <c r="G35" s="74"/>
      <c r="H35" s="74"/>
      <c r="I35" s="74"/>
      <c r="J35" s="75"/>
      <c r="K35" s="74"/>
      <c r="L35" s="74"/>
      <c r="M35" s="75"/>
      <c r="N35" s="74"/>
      <c r="O35" s="74"/>
      <c r="P35" s="74"/>
      <c r="Q35" s="74"/>
      <c r="R35" s="74"/>
      <c r="S35" s="75"/>
      <c r="T35" s="74"/>
      <c r="U35" s="74"/>
      <c r="V35" s="75"/>
      <c r="W35" s="74"/>
      <c r="X35" s="73">
        <f>2/64+4/32+1/16+1/256</f>
        <v>0.22265625</v>
      </c>
      <c r="Y35" s="74"/>
      <c r="Z35" s="74"/>
      <c r="AA35" s="75"/>
      <c r="AB35" s="74"/>
      <c r="AC35" s="75"/>
      <c r="AD35" s="76" t="s">
        <v>125</v>
      </c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</row>
    <row r="36" spans="1:60" x14ac:dyDescent="0.25">
      <c r="A36" s="13">
        <v>66</v>
      </c>
      <c r="B36" s="58" t="s">
        <v>139</v>
      </c>
      <c r="C36" s="22"/>
      <c r="D36" s="22"/>
      <c r="E36" s="45"/>
      <c r="F36" s="22"/>
      <c r="G36" s="22"/>
      <c r="H36" s="22"/>
      <c r="I36" s="22"/>
      <c r="J36" s="45"/>
      <c r="K36" s="22"/>
      <c r="L36" s="22"/>
      <c r="M36" s="42">
        <f>1/2+1/32</f>
        <v>0.53125</v>
      </c>
      <c r="N36" s="41"/>
      <c r="O36" s="41">
        <f>1/8+2/16+1/32</f>
        <v>0.28125</v>
      </c>
      <c r="P36" s="41">
        <f>2/16+3/32</f>
        <v>0.21875</v>
      </c>
      <c r="Q36" s="41">
        <f>1/16+1/8+1/32</f>
        <v>0.21875</v>
      </c>
      <c r="R36" s="41">
        <f>2/16+1/32</f>
        <v>0.15625</v>
      </c>
      <c r="S36" s="42">
        <f>2/16+1/32</f>
        <v>0.15625</v>
      </c>
      <c r="T36" s="41">
        <f>2/32+1/16+2/64</f>
        <v>0.15625</v>
      </c>
      <c r="U36" s="41">
        <f>2/64+1/16+2/32</f>
        <v>0.15625</v>
      </c>
      <c r="V36" s="42">
        <f>4/32+3/64</f>
        <v>0.171875</v>
      </c>
      <c r="W36" s="41">
        <f>1/4+1/8+2/64+2/128</f>
        <v>0.421875</v>
      </c>
      <c r="X36" s="41">
        <f>1/16+1/5+4/64+1/256</f>
        <v>0.32890625000000001</v>
      </c>
      <c r="Y36" s="41">
        <f>1/8+1/16+1/32+1/128+1/512+2/64</f>
        <v>0.259765625</v>
      </c>
      <c r="Z36" s="41">
        <f>1/16+3/32+1/64</f>
        <v>0.171875</v>
      </c>
      <c r="AA36" s="42">
        <f>3/32+3/64</f>
        <v>0.140625</v>
      </c>
      <c r="AB36" s="41">
        <f>4/32+1/64</f>
        <v>0.140625</v>
      </c>
      <c r="AC36" s="44" t="s">
        <v>143</v>
      </c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</row>
    <row r="37" spans="1:60" x14ac:dyDescent="0.25">
      <c r="A37" s="13">
        <v>69</v>
      </c>
      <c r="B37" s="68" t="s">
        <v>115</v>
      </c>
      <c r="C37" s="150"/>
      <c r="D37" s="150"/>
      <c r="E37" s="151"/>
      <c r="F37" s="150"/>
      <c r="G37" s="150"/>
      <c r="H37" s="150"/>
      <c r="I37" s="150"/>
      <c r="J37" s="151"/>
      <c r="K37" s="104">
        <f>1/2+1/32</f>
        <v>0.53125</v>
      </c>
      <c r="L37" s="104">
        <f>1/2+1/32</f>
        <v>0.53125</v>
      </c>
      <c r="M37" s="103">
        <f>2/16+1/32</f>
        <v>0.15625</v>
      </c>
      <c r="N37" s="150"/>
      <c r="O37" s="150"/>
      <c r="P37" s="150"/>
      <c r="Q37" s="104">
        <f>1/16+2/32</f>
        <v>0.125</v>
      </c>
      <c r="R37" s="104">
        <f>1/16+4/32</f>
        <v>0.1875</v>
      </c>
      <c r="S37" s="103">
        <f>1/16+4/32</f>
        <v>0.1875</v>
      </c>
      <c r="T37" s="104">
        <f>1/4+1/16+1/64</f>
        <v>0.328125</v>
      </c>
      <c r="U37" s="104">
        <f>1/4+1/32+1/64</f>
        <v>0.296875</v>
      </c>
      <c r="V37" s="69">
        <f>1/4+1/16+1/32+1/64</f>
        <v>0.359375</v>
      </c>
      <c r="W37" s="70">
        <f>2/64+2/32+1/16</f>
        <v>0.15625</v>
      </c>
      <c r="X37" s="70">
        <f>3/32+2/64</f>
        <v>0.125</v>
      </c>
      <c r="Y37" s="70">
        <f>2/64+3/32+1/16</f>
        <v>0.1875</v>
      </c>
      <c r="Z37" s="70">
        <f>2/16+2/32+1/64</f>
        <v>0.203125</v>
      </c>
      <c r="AA37" s="151"/>
      <c r="AB37" s="71" t="s">
        <v>115</v>
      </c>
      <c r="AC37" s="41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</row>
    <row r="38" spans="1:60" x14ac:dyDescent="0.25">
      <c r="A38" s="13">
        <v>69</v>
      </c>
      <c r="B38" s="58" t="s">
        <v>132</v>
      </c>
      <c r="C38" s="22"/>
      <c r="D38" s="22"/>
      <c r="E38" s="45"/>
      <c r="F38" s="22"/>
      <c r="G38" s="22"/>
      <c r="H38" s="22"/>
      <c r="I38" s="22"/>
      <c r="J38" s="45"/>
      <c r="K38" s="22"/>
      <c r="L38" s="22"/>
      <c r="M38" s="45"/>
      <c r="N38" s="22"/>
      <c r="O38" s="22"/>
      <c r="P38" s="22"/>
      <c r="Q38" s="22"/>
      <c r="R38" s="22"/>
      <c r="S38" s="45"/>
      <c r="T38" s="22"/>
      <c r="U38" s="22"/>
      <c r="V38" s="45"/>
      <c r="W38" s="22"/>
      <c r="X38" s="22"/>
      <c r="Y38" s="22"/>
      <c r="Z38" s="22"/>
      <c r="AA38" s="44" t="s">
        <v>133</v>
      </c>
      <c r="AB38" s="41"/>
      <c r="AC38" s="41"/>
      <c r="AD38" s="41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</row>
    <row r="39" spans="1:60" x14ac:dyDescent="0.25">
      <c r="A39" s="13">
        <v>64</v>
      </c>
      <c r="B39" s="58" t="s">
        <v>109</v>
      </c>
      <c r="C39" s="22"/>
      <c r="D39" s="22"/>
      <c r="E39" s="45"/>
      <c r="F39" s="22"/>
      <c r="G39" s="22"/>
      <c r="H39" s="22"/>
      <c r="I39" s="22"/>
      <c r="J39" s="45"/>
      <c r="K39" s="22"/>
      <c r="L39" s="22"/>
      <c r="M39" s="45"/>
      <c r="N39" s="22"/>
      <c r="O39" s="22"/>
      <c r="P39" s="95">
        <f>1/2</f>
        <v>0.5</v>
      </c>
      <c r="Q39" s="95">
        <f>2/16+1/32</f>
        <v>0.15625</v>
      </c>
      <c r="R39" s="22"/>
      <c r="S39" s="45"/>
      <c r="T39" s="22"/>
      <c r="U39" s="22"/>
      <c r="V39" s="45"/>
      <c r="W39" s="22"/>
      <c r="X39" s="41">
        <f>1/16+2/32+3/64</f>
        <v>0.171875</v>
      </c>
      <c r="Y39" s="22"/>
      <c r="Z39" s="43" t="s">
        <v>110</v>
      </c>
      <c r="AA39" s="22"/>
      <c r="AC39" s="41"/>
      <c r="AD39" s="41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</row>
    <row r="40" spans="1:60" x14ac:dyDescent="0.25">
      <c r="A40" s="13">
        <v>63</v>
      </c>
      <c r="B40" s="58" t="s">
        <v>108</v>
      </c>
      <c r="C40" s="22"/>
      <c r="D40" s="22"/>
      <c r="E40" s="45"/>
      <c r="F40" s="22"/>
      <c r="G40" s="22"/>
      <c r="H40" s="22"/>
      <c r="I40" s="22"/>
      <c r="J40" s="45"/>
      <c r="K40" s="22"/>
      <c r="L40" s="22"/>
      <c r="M40" s="45"/>
      <c r="N40" s="22"/>
      <c r="O40" s="22"/>
      <c r="P40" s="22"/>
      <c r="Q40" s="95">
        <f>4/32</f>
        <v>0.125</v>
      </c>
      <c r="R40" s="22"/>
      <c r="S40" s="45"/>
      <c r="T40" s="22"/>
      <c r="U40" s="22"/>
      <c r="V40" s="45"/>
      <c r="W40" s="22"/>
      <c r="X40" s="41">
        <f>1/8+2/64+2/32</f>
        <v>0.21875</v>
      </c>
      <c r="Y40" s="43" t="s">
        <v>137</v>
      </c>
      <c r="Z40" s="22"/>
      <c r="AA40" s="22"/>
      <c r="AC40" s="41"/>
      <c r="AD40" s="41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</row>
    <row r="41" spans="1:60" x14ac:dyDescent="0.25">
      <c r="A41" s="13">
        <v>56</v>
      </c>
      <c r="B41" s="58" t="s">
        <v>81</v>
      </c>
      <c r="C41" s="53">
        <f>1/8</f>
        <v>0.125</v>
      </c>
      <c r="D41" s="53">
        <v>0.25</v>
      </c>
      <c r="E41" s="10">
        <f>1/8</f>
        <v>0.125</v>
      </c>
      <c r="F41" s="53">
        <f>2/16</f>
        <v>0.125</v>
      </c>
      <c r="G41" s="53">
        <f>1/4</f>
        <v>0.25</v>
      </c>
      <c r="H41" s="53">
        <f>1/8+1/16</f>
        <v>0.1875</v>
      </c>
      <c r="I41" s="95">
        <v>0.5</v>
      </c>
      <c r="J41" s="96">
        <f>2/16</f>
        <v>0.125</v>
      </c>
      <c r="K41" s="95">
        <f>2/32+1/16</f>
        <v>0.125</v>
      </c>
      <c r="L41" s="95">
        <f>2/16+1/32</f>
        <v>0.15625</v>
      </c>
      <c r="M41" s="96">
        <f>1/4+1/16</f>
        <v>0.3125</v>
      </c>
      <c r="N41" s="95">
        <f>2/16+2/32</f>
        <v>0.1875</v>
      </c>
      <c r="O41" s="95">
        <f>1/16+3/32</f>
        <v>0.15625</v>
      </c>
      <c r="P41" s="95">
        <f>1/8+1/32+1/16</f>
        <v>0.21875</v>
      </c>
      <c r="Q41" s="95">
        <f>1/4+1/8</f>
        <v>0.375</v>
      </c>
      <c r="R41" s="95">
        <f>1/32+1/8+1/16</f>
        <v>0.21875</v>
      </c>
      <c r="S41" s="96">
        <f>1/32+1/8+1/16</f>
        <v>0.21875</v>
      </c>
      <c r="T41" s="95">
        <f>1/16+2/32+2/64</f>
        <v>0.15625</v>
      </c>
      <c r="U41" s="95">
        <f>1/4+1/32+2/64</f>
        <v>0.3125</v>
      </c>
      <c r="V41" s="96"/>
      <c r="W41" s="22"/>
      <c r="X41" s="43" t="s">
        <v>34</v>
      </c>
      <c r="Y41" s="22"/>
      <c r="Z41" s="22"/>
      <c r="AA41" s="41"/>
      <c r="AC41" s="41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</row>
    <row r="42" spans="1:60" x14ac:dyDescent="0.25">
      <c r="A42" s="13">
        <v>53</v>
      </c>
      <c r="B42" s="68" t="s">
        <v>96</v>
      </c>
      <c r="C42" s="150"/>
      <c r="D42" s="150"/>
      <c r="E42" s="151"/>
      <c r="F42" s="150"/>
      <c r="G42" s="150"/>
      <c r="H42" s="150"/>
      <c r="I42" s="150"/>
      <c r="J42" s="151"/>
      <c r="K42" s="104">
        <f>1/8+2/32</f>
        <v>0.1875</v>
      </c>
      <c r="L42" s="150"/>
      <c r="M42" s="151"/>
      <c r="N42" s="150"/>
      <c r="O42" s="150"/>
      <c r="P42" s="150"/>
      <c r="Q42" s="132">
        <f>2/32+2/16</f>
        <v>0.1875</v>
      </c>
      <c r="R42" s="150"/>
      <c r="S42" s="151"/>
      <c r="T42" s="104">
        <f>1/4+1/32+2/64</f>
        <v>0.3125</v>
      </c>
      <c r="U42" s="150"/>
      <c r="V42" s="151"/>
      <c r="W42" s="71" t="s">
        <v>98</v>
      </c>
      <c r="X42" s="22"/>
      <c r="Y42" s="22"/>
      <c r="Z42" s="22"/>
      <c r="AA42" s="22"/>
      <c r="AC42" s="41"/>
      <c r="AD42" s="41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</row>
    <row r="43" spans="1:60" x14ac:dyDescent="0.25">
      <c r="A43" s="13">
        <v>60</v>
      </c>
      <c r="B43" s="58" t="s">
        <v>83</v>
      </c>
      <c r="C43" s="22"/>
      <c r="D43" s="22"/>
      <c r="E43" s="45"/>
      <c r="F43" s="22"/>
      <c r="G43" s="22"/>
      <c r="H43" s="22"/>
      <c r="I43" s="22"/>
      <c r="J43" s="45"/>
      <c r="K43" s="22"/>
      <c r="L43" s="22"/>
      <c r="M43" s="45"/>
      <c r="N43" s="22"/>
      <c r="O43" s="22"/>
      <c r="P43" s="22"/>
      <c r="Q43" s="133">
        <f>2/32+1/4</f>
        <v>0.3125</v>
      </c>
      <c r="R43" s="22"/>
      <c r="S43" s="45"/>
      <c r="T43" s="95">
        <f>2/16+1/32+1/64</f>
        <v>0.171875</v>
      </c>
      <c r="U43" s="22"/>
      <c r="V43" s="44" t="s">
        <v>60</v>
      </c>
      <c r="W43" s="22"/>
      <c r="X43" s="22"/>
      <c r="Y43" s="22"/>
      <c r="Z43" s="22"/>
      <c r="AA43" s="22"/>
      <c r="AC43" s="41"/>
      <c r="AD43" s="41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</row>
    <row r="44" spans="1:60" x14ac:dyDescent="0.25">
      <c r="A44" s="13">
        <v>56</v>
      </c>
      <c r="B44" s="58" t="s">
        <v>77</v>
      </c>
      <c r="C44" s="53">
        <f>1/8</f>
        <v>0.125</v>
      </c>
      <c r="D44" s="53">
        <v>0.25</v>
      </c>
      <c r="E44" s="10">
        <v>0</v>
      </c>
      <c r="F44" s="53">
        <f>2/16</f>
        <v>0.125</v>
      </c>
      <c r="G44" s="53">
        <f>1/16</f>
        <v>6.25E-2</v>
      </c>
      <c r="H44" s="53">
        <f>1/8+1/8</f>
        <v>0.25</v>
      </c>
      <c r="I44" s="95">
        <v>0.5</v>
      </c>
      <c r="J44" s="45"/>
      <c r="K44" s="95">
        <v>0.5</v>
      </c>
      <c r="L44" s="95">
        <f>1/16+1/32</f>
        <v>9.375E-2</v>
      </c>
      <c r="M44" s="96">
        <f>1/4+1/16</f>
        <v>0.3125</v>
      </c>
      <c r="N44" s="22"/>
      <c r="O44" s="95">
        <f>1/8+1/16</f>
        <v>0.1875</v>
      </c>
      <c r="P44" s="22"/>
      <c r="Q44" s="133">
        <f>1/4+1/16+1/32</f>
        <v>0.34375</v>
      </c>
      <c r="R44" s="22"/>
      <c r="S44" s="45"/>
      <c r="T44" s="95">
        <f>1/4+1/16</f>
        <v>0.3125</v>
      </c>
      <c r="U44" s="43" t="s">
        <v>36</v>
      </c>
      <c r="V44" s="22"/>
      <c r="W44" s="22"/>
      <c r="X44" s="22"/>
      <c r="Y44" s="95"/>
      <c r="Z44" s="95"/>
      <c r="AA44" s="95"/>
      <c r="AC44" s="95"/>
      <c r="AD44" s="95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</row>
    <row r="45" spans="1:60" x14ac:dyDescent="0.25">
      <c r="A45" s="13">
        <v>49</v>
      </c>
      <c r="B45" s="68" t="s">
        <v>76</v>
      </c>
      <c r="C45" s="12">
        <f>1/8</f>
        <v>0.125</v>
      </c>
      <c r="D45" s="12">
        <v>0</v>
      </c>
      <c r="E45" s="77">
        <v>0.25</v>
      </c>
      <c r="F45" s="12">
        <f>2/16</f>
        <v>0.125</v>
      </c>
      <c r="G45" s="12">
        <f>1/16+1/8</f>
        <v>0.1875</v>
      </c>
      <c r="H45" s="12">
        <f>1/16</f>
        <v>6.25E-2</v>
      </c>
      <c r="I45" s="104">
        <f>1/16</f>
        <v>6.25E-2</v>
      </c>
      <c r="J45" s="103">
        <f>2/8</f>
        <v>0.25</v>
      </c>
      <c r="K45" s="104">
        <v>0.5</v>
      </c>
      <c r="L45" s="104">
        <f>1/8+1/32</f>
        <v>0.15625</v>
      </c>
      <c r="M45" s="103">
        <f>2/16</f>
        <v>0.125</v>
      </c>
      <c r="N45" s="104">
        <f>2/32+1/16</f>
        <v>0.125</v>
      </c>
      <c r="O45" s="104">
        <f>1/4+1/8</f>
        <v>0.375</v>
      </c>
      <c r="P45" s="104">
        <f>2/16+2/32</f>
        <v>0.1875</v>
      </c>
      <c r="Q45" s="104">
        <f>2/16+1/32</f>
        <v>0.15625</v>
      </c>
      <c r="R45" s="104">
        <f>1/16+2/32</f>
        <v>0.125</v>
      </c>
      <c r="S45" s="103">
        <f>1/16+2/32</f>
        <v>0.125</v>
      </c>
      <c r="T45" s="71" t="s">
        <v>35</v>
      </c>
      <c r="U45" s="22"/>
      <c r="V45" s="22"/>
      <c r="W45" s="22"/>
      <c r="X45" s="22"/>
      <c r="Y45" s="95"/>
      <c r="Z45" s="95"/>
      <c r="AA45" s="95"/>
      <c r="AC45" s="95"/>
      <c r="AD45" s="95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</row>
    <row r="46" spans="1:60" x14ac:dyDescent="0.25">
      <c r="A46" s="13">
        <v>55</v>
      </c>
      <c r="B46" s="58" t="s">
        <v>74</v>
      </c>
      <c r="C46" s="53">
        <v>0.25</v>
      </c>
      <c r="D46" s="53">
        <v>0.25</v>
      </c>
      <c r="E46" s="10">
        <v>0</v>
      </c>
      <c r="F46" s="53">
        <f>2/8</f>
        <v>0.25</v>
      </c>
      <c r="G46" s="53">
        <f>1/8</f>
        <v>0.125</v>
      </c>
      <c r="H46" s="53">
        <v>0.5</v>
      </c>
      <c r="I46" s="95">
        <f>1/8</f>
        <v>0.125</v>
      </c>
      <c r="J46" s="45"/>
      <c r="K46" s="95">
        <f>2/16+1/8</f>
        <v>0.25</v>
      </c>
      <c r="L46" s="95">
        <f>2/16</f>
        <v>0.125</v>
      </c>
      <c r="M46" s="96">
        <f>1/8+1/16</f>
        <v>0.1875</v>
      </c>
      <c r="N46" s="22"/>
      <c r="O46" s="95">
        <f>2/16</f>
        <v>0.125</v>
      </c>
      <c r="P46" s="22"/>
      <c r="Q46" s="41">
        <f>1/4+1/16</f>
        <v>0.3125</v>
      </c>
      <c r="R46" s="95">
        <v>0.5</v>
      </c>
      <c r="S46" s="44" t="s">
        <v>32</v>
      </c>
      <c r="T46" s="22"/>
      <c r="U46" s="95"/>
      <c r="V46" s="95"/>
      <c r="W46" s="95"/>
      <c r="X46" s="22"/>
      <c r="Y46" s="95"/>
      <c r="Z46" s="95"/>
      <c r="AA46" s="95"/>
      <c r="AC46" s="95"/>
      <c r="AD46" s="95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</row>
    <row r="47" spans="1:60" x14ac:dyDescent="0.25">
      <c r="A47" s="13">
        <v>55</v>
      </c>
      <c r="B47" s="58" t="s">
        <v>73</v>
      </c>
      <c r="C47" s="53">
        <v>0.25</v>
      </c>
      <c r="D47" s="53">
        <v>0.25</v>
      </c>
      <c r="E47" s="10">
        <v>0</v>
      </c>
      <c r="F47" s="53">
        <f>2/8</f>
        <v>0.25</v>
      </c>
      <c r="G47" s="53">
        <f>1/8</f>
        <v>0.125</v>
      </c>
      <c r="H47" s="53">
        <v>0.5</v>
      </c>
      <c r="I47" s="95">
        <f>1/8</f>
        <v>0.125</v>
      </c>
      <c r="J47" s="45"/>
      <c r="K47" s="95">
        <f>2/16+1/8</f>
        <v>0.25</v>
      </c>
      <c r="L47" s="95">
        <f>2/16</f>
        <v>0.125</v>
      </c>
      <c r="M47" s="96">
        <f>1/8+1/16</f>
        <v>0.1875</v>
      </c>
      <c r="N47" s="22"/>
      <c r="O47" s="95">
        <f>2/16</f>
        <v>0.125</v>
      </c>
      <c r="P47" s="22"/>
      <c r="Q47" s="41">
        <f>1/4+1/16</f>
        <v>0.3125</v>
      </c>
      <c r="R47" s="43" t="s">
        <v>31</v>
      </c>
      <c r="S47" s="22"/>
      <c r="T47" s="22"/>
      <c r="U47" s="95"/>
      <c r="V47" s="95"/>
      <c r="W47" s="95"/>
      <c r="X47" s="22"/>
      <c r="Y47" s="95"/>
      <c r="Z47" s="95"/>
      <c r="AA47" s="95"/>
      <c r="AC47" s="95"/>
      <c r="AD47" s="95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</row>
    <row r="48" spans="1:60" x14ac:dyDescent="0.25">
      <c r="A48" s="13">
        <v>49</v>
      </c>
      <c r="B48" s="58" t="s">
        <v>80</v>
      </c>
      <c r="C48" s="53">
        <v>0.25</v>
      </c>
      <c r="D48" s="53">
        <v>0.25</v>
      </c>
      <c r="E48" s="10">
        <v>0</v>
      </c>
      <c r="F48" s="53">
        <f>1/8</f>
        <v>0.125</v>
      </c>
      <c r="G48" s="53">
        <v>0</v>
      </c>
      <c r="H48" s="53">
        <f>1/8</f>
        <v>0.125</v>
      </c>
      <c r="I48" s="95">
        <v>0.5</v>
      </c>
      <c r="J48" s="96">
        <f>1/8</f>
        <v>0.125</v>
      </c>
      <c r="K48" s="95">
        <f>1/8+1/16</f>
        <v>0.1875</v>
      </c>
      <c r="L48" s="95">
        <f>1/16</f>
        <v>6.25E-2</v>
      </c>
      <c r="M48" s="96">
        <f>1/4</f>
        <v>0.25</v>
      </c>
      <c r="N48" s="95">
        <f>3/16</f>
        <v>0.1875</v>
      </c>
      <c r="O48" s="95">
        <f>2/16</f>
        <v>0.125</v>
      </c>
      <c r="P48" s="95">
        <f>2/16</f>
        <v>0.125</v>
      </c>
      <c r="Q48" s="43" t="s">
        <v>33</v>
      </c>
      <c r="R48" s="22"/>
      <c r="S48" s="22"/>
      <c r="T48" s="22"/>
      <c r="U48" s="22"/>
      <c r="V48" s="22"/>
      <c r="W48" s="22"/>
      <c r="X48" s="22"/>
      <c r="Y48" s="22"/>
      <c r="Z48" s="22"/>
      <c r="AA48" s="95"/>
      <c r="AC48" s="95"/>
      <c r="AD48" s="95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</row>
    <row r="49" spans="1:60" x14ac:dyDescent="0.25">
      <c r="A49" s="13">
        <v>37</v>
      </c>
      <c r="B49" s="58" t="s">
        <v>85</v>
      </c>
      <c r="C49" s="53">
        <v>0.25</v>
      </c>
      <c r="D49" s="53">
        <v>0</v>
      </c>
      <c r="E49" s="10">
        <v>0.25</v>
      </c>
      <c r="F49" s="53">
        <f>2/8</f>
        <v>0.25</v>
      </c>
      <c r="G49" s="53">
        <v>0.5</v>
      </c>
      <c r="H49" s="53">
        <f>1/8</f>
        <v>0.125</v>
      </c>
      <c r="I49" s="95">
        <f>1/8</f>
        <v>0.125</v>
      </c>
      <c r="J49" s="45"/>
      <c r="K49" s="95">
        <f>2/16</f>
        <v>0.125</v>
      </c>
      <c r="L49" s="95">
        <f>1/8+2/16</f>
        <v>0.25</v>
      </c>
      <c r="M49" s="96">
        <f>1/8+1/16</f>
        <v>0.1875</v>
      </c>
      <c r="N49" s="22"/>
      <c r="O49" s="41">
        <f>4/16</f>
        <v>0.25</v>
      </c>
      <c r="P49" s="43" t="s">
        <v>30</v>
      </c>
      <c r="Q49" s="22"/>
      <c r="R49" s="95"/>
      <c r="S49" s="95"/>
      <c r="T49" s="22"/>
      <c r="U49" s="95"/>
      <c r="V49" s="95"/>
      <c r="W49" s="95"/>
      <c r="X49" s="22"/>
      <c r="Y49" s="95"/>
      <c r="Z49" s="95"/>
      <c r="AA49" s="95"/>
      <c r="AB49" s="124"/>
      <c r="AC49" s="124"/>
      <c r="AD49" s="124"/>
      <c r="AE49" s="124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</row>
    <row r="50" spans="1:60" x14ac:dyDescent="0.25">
      <c r="A50" s="13">
        <v>36</v>
      </c>
      <c r="B50" s="58" t="s">
        <v>82</v>
      </c>
      <c r="C50" s="53">
        <v>0.25</v>
      </c>
      <c r="D50" s="53">
        <v>0</v>
      </c>
      <c r="E50" s="10">
        <v>0.25</v>
      </c>
      <c r="F50" s="53">
        <v>0.5</v>
      </c>
      <c r="G50" s="53">
        <f>2/8</f>
        <v>0.25</v>
      </c>
      <c r="H50" s="53">
        <v>0.125</v>
      </c>
      <c r="I50" s="95">
        <f>1/8</f>
        <v>0.125</v>
      </c>
      <c r="J50" s="96">
        <f>1/8</f>
        <v>0.125</v>
      </c>
      <c r="K50" s="95">
        <f>1/4</f>
        <v>0.25</v>
      </c>
      <c r="L50" s="95">
        <f>1/8+1/16</f>
        <v>0.1875</v>
      </c>
      <c r="M50" s="42">
        <f>1/8+1/16</f>
        <v>0.1875</v>
      </c>
      <c r="N50" s="95">
        <f>3/16</f>
        <v>0.1875</v>
      </c>
      <c r="O50" s="43" t="s">
        <v>28</v>
      </c>
      <c r="P50" s="22"/>
      <c r="Q50" s="22"/>
      <c r="R50" s="22"/>
      <c r="S50" s="22"/>
      <c r="T50" s="22"/>
      <c r="U50" s="22"/>
      <c r="V50" s="95"/>
      <c r="W50" s="95"/>
      <c r="X50" s="22"/>
      <c r="Y50" s="95"/>
      <c r="Z50" s="22"/>
      <c r="AA50" s="95"/>
      <c r="AB50" s="124"/>
      <c r="AC50" s="124"/>
      <c r="AD50" s="124"/>
      <c r="AE50" s="124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</row>
    <row r="51" spans="1:60" x14ac:dyDescent="0.25">
      <c r="A51" s="13">
        <v>34</v>
      </c>
      <c r="B51" s="68" t="s">
        <v>71</v>
      </c>
      <c r="C51" s="12">
        <v>0.25</v>
      </c>
      <c r="D51" s="12">
        <v>0.25</v>
      </c>
      <c r="E51" s="77">
        <v>0</v>
      </c>
      <c r="F51" s="12">
        <f>2/8</f>
        <v>0.25</v>
      </c>
      <c r="G51" s="12">
        <f>1/8</f>
        <v>0.125</v>
      </c>
      <c r="H51" s="12">
        <v>0.5</v>
      </c>
      <c r="I51" s="104">
        <f>2/8</f>
        <v>0.25</v>
      </c>
      <c r="J51" s="103">
        <v>0</v>
      </c>
      <c r="K51" s="104">
        <f>2/16</f>
        <v>0.125</v>
      </c>
      <c r="L51" s="104">
        <f>2/16</f>
        <v>0.125</v>
      </c>
      <c r="M51" s="103">
        <f>1/8+2/16</f>
        <v>0.25</v>
      </c>
      <c r="N51" s="71" t="s">
        <v>29</v>
      </c>
      <c r="O51" s="22"/>
      <c r="P51" s="95"/>
      <c r="Q51" s="22"/>
      <c r="R51" s="95"/>
      <c r="S51" s="95"/>
      <c r="T51" s="22"/>
      <c r="U51" s="95"/>
      <c r="V51" s="95"/>
      <c r="W51" s="95"/>
      <c r="X51" s="22"/>
      <c r="Y51" s="95"/>
      <c r="Z51" s="95"/>
      <c r="AA51" s="95"/>
      <c r="AB51" s="124"/>
      <c r="AC51" s="124"/>
      <c r="AD51" s="124"/>
      <c r="AE51" s="124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</row>
    <row r="52" spans="1:60" x14ac:dyDescent="0.25">
      <c r="A52" s="13">
        <v>44</v>
      </c>
      <c r="B52" s="58" t="s">
        <v>10</v>
      </c>
      <c r="C52" s="53">
        <v>0</v>
      </c>
      <c r="D52" s="53">
        <v>0.25</v>
      </c>
      <c r="E52" s="10">
        <v>0</v>
      </c>
      <c r="F52" s="53">
        <f>1/4</f>
        <v>0.25</v>
      </c>
      <c r="G52" s="53">
        <f>1/4</f>
        <v>0.25</v>
      </c>
      <c r="H52" s="53">
        <v>0.375</v>
      </c>
      <c r="I52" s="95">
        <v>0.5</v>
      </c>
      <c r="J52" s="96">
        <v>0</v>
      </c>
      <c r="K52" s="95">
        <f>1/8</f>
        <v>0.125</v>
      </c>
      <c r="L52" s="95">
        <f>1/8+1/16</f>
        <v>0.1875</v>
      </c>
      <c r="M52" s="44" t="s">
        <v>10</v>
      </c>
      <c r="N52" s="22"/>
      <c r="O52" s="22"/>
      <c r="P52" s="22"/>
      <c r="Q52" s="22"/>
      <c r="R52" s="22"/>
      <c r="S52" s="22"/>
      <c r="T52" s="22"/>
      <c r="U52" s="22"/>
      <c r="V52" s="95"/>
      <c r="W52" s="95"/>
      <c r="X52" s="22"/>
      <c r="Y52" s="95"/>
      <c r="Z52" s="95"/>
      <c r="AA52" s="95"/>
      <c r="AC52" s="95"/>
      <c r="AD52" s="95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</row>
    <row r="53" spans="1:60" x14ac:dyDescent="0.25">
      <c r="A53" s="13">
        <v>30</v>
      </c>
      <c r="B53" s="58" t="s">
        <v>9</v>
      </c>
      <c r="C53" s="53">
        <v>0</v>
      </c>
      <c r="D53" s="53">
        <v>0.25</v>
      </c>
      <c r="E53" s="10">
        <v>0.5</v>
      </c>
      <c r="F53" s="53">
        <f>1/8</f>
        <v>0.125</v>
      </c>
      <c r="G53" s="53">
        <f>1/4+1/8</f>
        <v>0.375</v>
      </c>
      <c r="H53" s="53">
        <v>0.5</v>
      </c>
      <c r="I53" s="95">
        <f>1/8</f>
        <v>0.125</v>
      </c>
      <c r="J53" s="96">
        <f>1/4</f>
        <v>0.25</v>
      </c>
      <c r="K53" s="98">
        <f>1/16</f>
        <v>6.25E-2</v>
      </c>
      <c r="L53" s="43" t="s">
        <v>9</v>
      </c>
      <c r="M53" s="22"/>
      <c r="N53" s="22"/>
      <c r="O53" s="22"/>
      <c r="P53" s="22"/>
      <c r="Q53" s="22"/>
      <c r="R53" s="22"/>
      <c r="S53" s="22"/>
      <c r="T53" s="22"/>
      <c r="U53" s="22"/>
      <c r="V53" s="95"/>
      <c r="W53" s="95"/>
      <c r="X53" s="22"/>
      <c r="Y53" s="95"/>
      <c r="Z53" s="95"/>
      <c r="AA53" s="95"/>
      <c r="AC53" s="95"/>
      <c r="AD53" s="95"/>
      <c r="AE53" s="95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</row>
    <row r="54" spans="1:60" x14ac:dyDescent="0.25">
      <c r="A54" s="13">
        <v>26</v>
      </c>
      <c r="B54" s="68" t="s">
        <v>70</v>
      </c>
      <c r="C54" s="12">
        <v>0.25</v>
      </c>
      <c r="D54" s="12">
        <v>0</v>
      </c>
      <c r="E54" s="77">
        <v>0</v>
      </c>
      <c r="F54" s="12">
        <v>0.5</v>
      </c>
      <c r="G54" s="12">
        <f>1/8</f>
        <v>0.125</v>
      </c>
      <c r="H54" s="12">
        <v>0.125</v>
      </c>
      <c r="I54" s="134">
        <v>0</v>
      </c>
      <c r="J54" s="103">
        <f>0.25</f>
        <v>0.25</v>
      </c>
      <c r="K54" s="71" t="s">
        <v>27</v>
      </c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95"/>
      <c r="W54" s="22"/>
      <c r="X54" s="22"/>
      <c r="Y54" s="95"/>
      <c r="Z54" s="95"/>
      <c r="AA54" s="95"/>
      <c r="AC54" s="95"/>
      <c r="AD54" s="95"/>
      <c r="AE54" s="95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</row>
    <row r="55" spans="1:60" x14ac:dyDescent="0.25">
      <c r="A55" s="13">
        <v>21</v>
      </c>
      <c r="B55" s="58" t="s">
        <v>7</v>
      </c>
      <c r="C55" s="53">
        <v>0</v>
      </c>
      <c r="D55" s="53">
        <v>0</v>
      </c>
      <c r="E55" s="10">
        <v>0.5</v>
      </c>
      <c r="F55" s="53">
        <v>0</v>
      </c>
      <c r="G55" s="53">
        <f>1/4</f>
        <v>0.25</v>
      </c>
      <c r="H55" s="53">
        <v>0</v>
      </c>
      <c r="I55" s="95">
        <v>0</v>
      </c>
      <c r="J55" s="44" t="s">
        <v>7</v>
      </c>
      <c r="K55" s="22"/>
      <c r="L55" s="22"/>
      <c r="M55" s="22"/>
      <c r="N55" s="22"/>
      <c r="O55" s="22"/>
      <c r="P55" s="95"/>
      <c r="Q55" s="22"/>
      <c r="R55" s="95"/>
      <c r="S55" s="95"/>
      <c r="T55" s="22"/>
      <c r="U55" s="95"/>
      <c r="V55" s="95"/>
      <c r="W55" s="95"/>
      <c r="X55" s="22"/>
      <c r="Y55" s="95"/>
      <c r="Z55" s="95"/>
      <c r="AA55" s="95"/>
      <c r="AB55" s="124"/>
      <c r="AC55" s="124"/>
      <c r="AD55" s="124"/>
      <c r="AE55" s="124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</row>
    <row r="56" spans="1:60" x14ac:dyDescent="0.25">
      <c r="A56" s="13">
        <v>16</v>
      </c>
      <c r="B56" s="58" t="s">
        <v>79</v>
      </c>
      <c r="C56" s="53">
        <v>0</v>
      </c>
      <c r="D56" s="53">
        <v>0.5</v>
      </c>
      <c r="E56" s="10">
        <v>0</v>
      </c>
      <c r="F56" s="53">
        <v>0</v>
      </c>
      <c r="G56" s="53">
        <v>0</v>
      </c>
      <c r="H56" s="53">
        <v>0.25</v>
      </c>
      <c r="I56" s="43" t="s">
        <v>161</v>
      </c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95"/>
      <c r="W56" s="95"/>
      <c r="X56" s="22"/>
      <c r="Y56" s="95"/>
      <c r="Z56" s="95"/>
      <c r="AA56" s="95"/>
      <c r="AB56" s="124"/>
      <c r="AC56" s="124"/>
      <c r="AD56" s="124"/>
      <c r="AE56" s="124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</row>
    <row r="57" spans="1:60" hidden="1" outlineLevel="1" x14ac:dyDescent="0.25">
      <c r="A57" s="13">
        <v>12</v>
      </c>
      <c r="B57" s="58" t="s">
        <v>68</v>
      </c>
      <c r="C57" s="53">
        <v>0</v>
      </c>
      <c r="D57" s="53">
        <v>0.5</v>
      </c>
      <c r="E57" s="10">
        <v>0</v>
      </c>
      <c r="F57" s="53">
        <v>0.25</v>
      </c>
      <c r="G57" s="53">
        <v>0.25</v>
      </c>
      <c r="H57" s="135" t="s">
        <v>160</v>
      </c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53"/>
      <c r="W57" s="53"/>
      <c r="X57" s="22"/>
      <c r="Y57" s="53"/>
      <c r="Z57" s="53"/>
      <c r="AA57" s="53"/>
      <c r="AB57" s="40"/>
      <c r="AC57" s="40"/>
      <c r="AD57" s="40"/>
      <c r="AE57" s="40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</row>
    <row r="58" spans="1:60" hidden="1" outlineLevel="1" x14ac:dyDescent="0.25">
      <c r="A58" s="13">
        <v>12</v>
      </c>
      <c r="B58" s="58" t="s">
        <v>84</v>
      </c>
      <c r="C58" s="53">
        <v>0</v>
      </c>
      <c r="D58" s="53">
        <v>0</v>
      </c>
      <c r="E58" s="10">
        <v>0.5</v>
      </c>
      <c r="F58" s="53">
        <v>0.25</v>
      </c>
      <c r="G58" s="135" t="s">
        <v>159</v>
      </c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53"/>
      <c r="W58" s="53"/>
      <c r="X58" s="22"/>
      <c r="Y58" s="53"/>
      <c r="Z58" s="53"/>
      <c r="AA58" s="53"/>
      <c r="AB58" s="40"/>
      <c r="AC58" s="40"/>
      <c r="AD58" s="40"/>
      <c r="AE58" s="40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</row>
    <row r="59" spans="1:60" hidden="1" outlineLevel="1" x14ac:dyDescent="0.25">
      <c r="A59" s="13">
        <v>11</v>
      </c>
      <c r="B59" s="68" t="s">
        <v>103</v>
      </c>
      <c r="C59" s="12">
        <v>0.5</v>
      </c>
      <c r="D59" s="12">
        <v>0</v>
      </c>
      <c r="E59" s="77">
        <v>0</v>
      </c>
      <c r="F59" s="164" t="s">
        <v>158</v>
      </c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95"/>
      <c r="W59" s="95"/>
      <c r="X59" s="22"/>
      <c r="Y59" s="53"/>
      <c r="Z59" s="53"/>
      <c r="AA59" s="53"/>
      <c r="AB59" s="40"/>
      <c r="AC59" s="40"/>
      <c r="AD59" s="40"/>
      <c r="AE59" s="40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</row>
    <row r="60" spans="1:60" hidden="1" outlineLevel="1" x14ac:dyDescent="0.25">
      <c r="A60" s="13">
        <v>0</v>
      </c>
      <c r="B60" s="58" t="s">
        <v>93</v>
      </c>
      <c r="C60" s="53">
        <v>0</v>
      </c>
      <c r="D60" s="53">
        <v>0</v>
      </c>
      <c r="E60" s="136" t="s">
        <v>157</v>
      </c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53"/>
      <c r="W60" s="53"/>
      <c r="X60" s="22"/>
      <c r="Y60" s="2"/>
      <c r="Z60" s="2"/>
      <c r="AA60" s="2"/>
      <c r="AB60" s="40"/>
      <c r="AC60" s="40"/>
      <c r="AD60" s="40"/>
      <c r="AE60" s="40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</row>
    <row r="61" spans="1:60" hidden="1" outlineLevel="1" x14ac:dyDescent="0.25">
      <c r="A61" s="13">
        <v>0</v>
      </c>
      <c r="B61" s="57" t="s">
        <v>92</v>
      </c>
      <c r="C61" s="53">
        <v>0</v>
      </c>
      <c r="D61" s="135" t="s">
        <v>150</v>
      </c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53"/>
      <c r="W61" s="53"/>
      <c r="X61" s="22"/>
      <c r="Y61" s="2"/>
      <c r="Z61" s="2"/>
      <c r="AA61" s="2"/>
      <c r="AB61" s="40"/>
      <c r="AC61" s="40"/>
      <c r="AD61" s="40"/>
      <c r="AE61" s="40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</row>
    <row r="62" spans="1:60" hidden="1" outlineLevel="1" x14ac:dyDescent="0.25">
      <c r="A62" s="13">
        <v>0</v>
      </c>
      <c r="B62" s="57" t="s">
        <v>94</v>
      </c>
      <c r="C62" s="135" t="s">
        <v>151</v>
      </c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53"/>
      <c r="W62" s="53"/>
      <c r="X62" s="22"/>
      <c r="Y62" s="2"/>
      <c r="Z62" s="2"/>
      <c r="AA62" s="2"/>
      <c r="AB62" s="40"/>
      <c r="AC62" s="40"/>
      <c r="AD62" s="40"/>
      <c r="AE62" s="40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</row>
    <row r="63" spans="1:60" collapsed="1" x14ac:dyDescent="0.25"/>
  </sheetData>
  <mergeCells count="15">
    <mergeCell ref="T2:V2"/>
    <mergeCell ref="AB2:AC2"/>
    <mergeCell ref="W2:AA2"/>
    <mergeCell ref="A1:J1"/>
    <mergeCell ref="A2:B2"/>
    <mergeCell ref="C2:E2"/>
    <mergeCell ref="K2:M2"/>
    <mergeCell ref="N2:S2"/>
    <mergeCell ref="F2:J2"/>
    <mergeCell ref="AP2:AX2"/>
    <mergeCell ref="BF2:BH2"/>
    <mergeCell ref="AE2:AG2"/>
    <mergeCell ref="AH2:AI2"/>
    <mergeCell ref="AJ2:AK2"/>
    <mergeCell ref="AM2:AO2"/>
  </mergeCells>
  <phoneticPr fontId="4" type="noConversion"/>
  <conditionalFormatting sqref="C5:AE62">
    <cfRule type="expression" dxfId="12" priority="1">
      <formula>$A5-C$3&gt;30</formula>
    </cfRule>
  </conditionalFormatting>
  <conditionalFormatting sqref="C5:AZ52">
    <cfRule type="colorScale" priority="201">
      <colorScale>
        <cfvo type="min"/>
        <cfvo type="max"/>
        <color theme="0"/>
        <color rgb="FFF8696B"/>
      </colorScale>
    </cfRule>
  </conditionalFormatting>
  <conditionalFormatting sqref="C12:AZ33">
    <cfRule type="expression" dxfId="11" priority="2">
      <formula>C$3-$A12&gt;36</formula>
    </cfRule>
  </conditionalFormatting>
  <conditionalFormatting sqref="AZ11">
    <cfRule type="expression" dxfId="10" priority="211">
      <formula>BB$3-$A13&gt;36</formula>
    </cfRule>
  </conditionalFormatting>
  <conditionalFormatting sqref="BA11">
    <cfRule type="expression" dxfId="9" priority="205">
      <formula>BB$3-$A12&gt;36</formula>
    </cfRule>
  </conditionalFormatting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213F-5382-49B3-8BF5-E06E516FCCB2}">
  <dimension ref="A1:W46"/>
  <sheetViews>
    <sheetView workbookViewId="0">
      <selection activeCell="N12" sqref="N12"/>
    </sheetView>
  </sheetViews>
  <sheetFormatPr defaultColWidth="11.42578125" defaultRowHeight="15" x14ac:dyDescent="0.25"/>
  <cols>
    <col min="1" max="1" width="4.28515625" bestFit="1" customWidth="1"/>
    <col min="2" max="2" width="7.28515625" bestFit="1" customWidth="1"/>
    <col min="3" max="3" width="12.85546875" bestFit="1" customWidth="1"/>
    <col min="4" max="4" width="11.140625" bestFit="1" customWidth="1"/>
    <col min="5" max="5" width="12.42578125" bestFit="1" customWidth="1"/>
    <col min="6" max="6" width="10" bestFit="1" customWidth="1"/>
    <col min="7" max="7" width="7.42578125" style="24" bestFit="1" customWidth="1"/>
    <col min="8" max="8" width="6.7109375" bestFit="1" customWidth="1"/>
    <col min="9" max="9" width="11.28515625" bestFit="1" customWidth="1"/>
    <col min="10" max="10" width="22" bestFit="1" customWidth="1"/>
    <col min="11" max="11" width="7.7109375" bestFit="1" customWidth="1"/>
    <col min="12" max="12" width="5.7109375" customWidth="1"/>
    <col min="13" max="13" width="11.140625" bestFit="1" customWidth="1"/>
    <col min="14" max="14" width="11.28515625" customWidth="1"/>
    <col min="15" max="15" width="8.42578125" hidden="1" customWidth="1"/>
    <col min="16" max="16" width="11.42578125" hidden="1" customWidth="1"/>
    <col min="17" max="17" width="5.5703125" hidden="1" customWidth="1"/>
    <col min="18" max="18" width="7.7109375" hidden="1" customWidth="1"/>
    <col min="19" max="19" width="6" hidden="1" customWidth="1"/>
    <col min="20" max="20" width="6.140625" bestFit="1" customWidth="1"/>
    <col min="21" max="21" width="11.42578125" customWidth="1"/>
    <col min="22" max="22" width="7.5703125" bestFit="1" customWidth="1"/>
    <col min="23" max="23" width="6.7109375" bestFit="1" customWidth="1"/>
  </cols>
  <sheetData>
    <row r="1" spans="1:23" ht="15.75" thickBot="1" x14ac:dyDescent="0.3">
      <c r="A1" t="s">
        <v>228</v>
      </c>
      <c r="B1" t="s">
        <v>66</v>
      </c>
      <c r="C1" t="s">
        <v>62</v>
      </c>
      <c r="D1" t="s">
        <v>63</v>
      </c>
      <c r="E1" t="s">
        <v>229</v>
      </c>
      <c r="F1" t="s">
        <v>111</v>
      </c>
      <c r="G1" s="23" t="s">
        <v>116</v>
      </c>
      <c r="H1" t="s">
        <v>65</v>
      </c>
      <c r="I1" t="s">
        <v>64</v>
      </c>
      <c r="J1" t="s">
        <v>67</v>
      </c>
      <c r="K1" t="s">
        <v>121</v>
      </c>
      <c r="M1" s="178" t="s">
        <v>63</v>
      </c>
      <c r="N1" s="178" t="s">
        <v>221</v>
      </c>
      <c r="O1" s="178" t="s">
        <v>172</v>
      </c>
      <c r="P1" s="178" t="s">
        <v>171</v>
      </c>
      <c r="Q1" s="178" t="s">
        <v>116</v>
      </c>
      <c r="R1" s="178" t="s">
        <v>173</v>
      </c>
      <c r="S1" s="179" t="s">
        <v>174</v>
      </c>
      <c r="U1" t="s">
        <v>64</v>
      </c>
      <c r="V1" t="s">
        <v>220</v>
      </c>
      <c r="W1" t="s">
        <v>65</v>
      </c>
    </row>
    <row r="2" spans="1:23" x14ac:dyDescent="0.25">
      <c r="A2" s="3">
        <v>1</v>
      </c>
      <c r="B2" s="3">
        <v>72</v>
      </c>
      <c r="C2" t="s">
        <v>87</v>
      </c>
      <c r="D2" s="3" t="s">
        <v>70</v>
      </c>
      <c r="E2" s="3" t="s">
        <v>87</v>
      </c>
      <c r="F2" s="3" t="str">
        <f>_xlfn.XLOOKUP(Rotation[[#This Row],[Name]],SimList[Name],SimList[Gender])</f>
        <v>female</v>
      </c>
      <c r="G2" s="23">
        <f>_xlfn.XLOOKUP(Rotation[[#This Row],[Name]],SimList[Name],SimList[Born])</f>
        <v>26</v>
      </c>
      <c r="H2">
        <f>Rotation[[#This Row],[Year]]-Rotation[[#This Row],[Born]]</f>
        <v>46</v>
      </c>
      <c r="I2" t="str">
        <f>_xlfn.XLOOKUP(Rotation[[#This Row],[Age]],Lifestages[Age],Lifestages[Lifestage],"",-1)</f>
        <v>Adult</v>
      </c>
      <c r="J2" t="s">
        <v>219</v>
      </c>
      <c r="M2" s="180" t="s">
        <v>10</v>
      </c>
      <c r="N2" s="180">
        <v>7</v>
      </c>
      <c r="O2" t="str">
        <f>_xlfn.XLOOKUP(M2,Rotation[Name],Rotation[Gender])</f>
        <v>female</v>
      </c>
      <c r="P2" t="str">
        <f>IF(O2="male",M2,IF(LEN(M2)&gt;4,CONCATENATE(LEFT(M2,4),"."),M2))</f>
        <v>Suzu</v>
      </c>
      <c r="Q2">
        <f>IF( O2="male", INDEX(Relatedness!A5:B33,MATCH(P2,Relatedness!B5:B33,0),1), INDEX(Relatedness!C3:AE4,1,MATCH(P2,Relatedness!C4:AE4,0)))</f>
        <v>44</v>
      </c>
      <c r="R2">
        <f>IF(O2="female",Q2-36,Q2-30)</f>
        <v>8</v>
      </c>
      <c r="S2">
        <f>IF(O2="female",Q2+30,Q2+36)</f>
        <v>74</v>
      </c>
      <c r="U2" t="s">
        <v>78</v>
      </c>
      <c r="V2">
        <v>2</v>
      </c>
      <c r="W2">
        <v>0</v>
      </c>
    </row>
    <row r="3" spans="1:23" x14ac:dyDescent="0.25">
      <c r="A3" s="3">
        <v>1</v>
      </c>
      <c r="B3" s="3">
        <v>72</v>
      </c>
      <c r="C3" t="s">
        <v>87</v>
      </c>
      <c r="D3" s="3" t="s">
        <v>76</v>
      </c>
      <c r="E3" s="3" t="s">
        <v>87</v>
      </c>
      <c r="F3" s="3" t="str">
        <f>_xlfn.XLOOKUP(Rotation[[#This Row],[Name]],SimList[Name],SimList[Gender])</f>
        <v>female</v>
      </c>
      <c r="G3" s="23">
        <f>_xlfn.XLOOKUP(Rotation[[#This Row],[Name]],SimList[Name],SimList[Born])</f>
        <v>49</v>
      </c>
      <c r="H3">
        <f>Rotation[[#This Row],[Year]]-Rotation[[#This Row],[Born]]</f>
        <v>23</v>
      </c>
      <c r="I3" t="str">
        <f>_xlfn.XLOOKUP(Rotation[[#This Row],[Age]],Lifestages[Age],Lifestages[Lifestage],"",-1)</f>
        <v>Adult</v>
      </c>
      <c r="J3" t="s">
        <v>218</v>
      </c>
      <c r="U3" t="s">
        <v>86</v>
      </c>
      <c r="V3">
        <v>3</v>
      </c>
      <c r="W3">
        <f>W2+V2</f>
        <v>2</v>
      </c>
    </row>
    <row r="4" spans="1:23" ht="15.75" thickBot="1" x14ac:dyDescent="0.3">
      <c r="A4" s="3">
        <v>1</v>
      </c>
      <c r="B4" s="3">
        <v>72</v>
      </c>
      <c r="C4" t="s">
        <v>87</v>
      </c>
      <c r="D4" s="3" t="s">
        <v>77</v>
      </c>
      <c r="E4" s="3" t="s">
        <v>87</v>
      </c>
      <c r="F4" s="3" t="str">
        <f>_xlfn.XLOOKUP(Rotation[[#This Row],[Name]],SimList[Name],SimList[Gender])</f>
        <v>female</v>
      </c>
      <c r="G4" s="23">
        <f>_xlfn.XLOOKUP(Rotation[[#This Row],[Name]],SimList[Name],SimList[Born])</f>
        <v>56</v>
      </c>
      <c r="H4">
        <f>Rotation[[#This Row],[Year]]-Rotation[[#This Row],[Born]]</f>
        <v>16</v>
      </c>
      <c r="I4" t="str">
        <f>_xlfn.XLOOKUP(Rotation[[#This Row],[Age]],Lifestages[Age],Lifestages[Lifestage],"",-1)</f>
        <v>Teen</v>
      </c>
      <c r="J4" t="s">
        <v>131</v>
      </c>
      <c r="M4" s="178" t="s">
        <v>101</v>
      </c>
      <c r="N4" s="178" t="s">
        <v>226</v>
      </c>
      <c r="U4" t="s">
        <v>75</v>
      </c>
      <c r="V4">
        <v>7</v>
      </c>
      <c r="W4">
        <f t="shared" ref="W4:W7" si="0">W3+V3</f>
        <v>5</v>
      </c>
    </row>
    <row r="5" spans="1:23" x14ac:dyDescent="0.25">
      <c r="A5" s="3">
        <v>1</v>
      </c>
      <c r="B5" s="3">
        <v>72</v>
      </c>
      <c r="C5" t="s">
        <v>87</v>
      </c>
      <c r="D5" s="3" t="s">
        <v>114</v>
      </c>
      <c r="E5" s="3" t="s">
        <v>87</v>
      </c>
      <c r="F5" s="3" t="str">
        <f>_xlfn.XLOOKUP(Rotation[[#This Row],[Name]],SimList[Name],SimList[Gender])</f>
        <v>male</v>
      </c>
      <c r="G5" s="23">
        <f>_xlfn.XLOOKUP(Rotation[[#This Row],[Name]],SimList[Name],SimList[Born])</f>
        <v>69</v>
      </c>
      <c r="H5">
        <f>Rotation[[#This Row],[Year]]-Rotation[[#This Row],[Born]]</f>
        <v>3</v>
      </c>
      <c r="I5" t="str">
        <f>_xlfn.XLOOKUP(Rotation[[#This Row],[Age]],Lifestages[Age],Lifestages[Lifestage],"",-1)</f>
        <v>Toddler</v>
      </c>
      <c r="M5" t="str" cm="1">
        <f t="array" ref="M5:N7">IF(O2="male",_xlfn._xlws.FILTER(_xlfn._xlws.FILTER(SimList[[Name]:[Father]],(SimList[Father]=M2)),{1,0,0,0,1,0}),_xlfn._xlws.FILTER(_xlfn._xlws.FILTER(SimList[[Name]:[Father]],(SimList[Mother]=M2)),{1,0,0,0,0,1}))</f>
        <v>Hagane</v>
      </c>
      <c r="N5" s="194" t="str">
        <v>Jonah</v>
      </c>
      <c r="U5" t="s">
        <v>72</v>
      </c>
      <c r="V5">
        <v>9</v>
      </c>
      <c r="W5">
        <f t="shared" si="0"/>
        <v>12</v>
      </c>
    </row>
    <row r="6" spans="1:23" x14ac:dyDescent="0.25">
      <c r="A6" s="3">
        <v>1</v>
      </c>
      <c r="B6" s="3">
        <v>72</v>
      </c>
      <c r="C6" t="s">
        <v>87</v>
      </c>
      <c r="D6" s="3" t="s">
        <v>115</v>
      </c>
      <c r="E6" s="3" t="s">
        <v>87</v>
      </c>
      <c r="F6" s="3" t="str">
        <f>_xlfn.XLOOKUP(Rotation[[#This Row],[Name]],SimList[Name],SimList[Gender])</f>
        <v>female</v>
      </c>
      <c r="G6" s="23">
        <f>_xlfn.XLOOKUP(Rotation[[#This Row],[Name]],SimList[Name],SimList[Born])</f>
        <v>69</v>
      </c>
      <c r="H6">
        <f>Rotation[[#This Row],[Year]]-Rotation[[#This Row],[Born]]</f>
        <v>3</v>
      </c>
      <c r="I6" t="str">
        <f>_xlfn.XLOOKUP(Rotation[[#This Row],[Age]],Lifestages[Age],Lifestages[Lifestage],"",-1)</f>
        <v>Toddler</v>
      </c>
      <c r="M6" t="str">
        <v>Sagan</v>
      </c>
      <c r="N6" s="3" t="str">
        <v>Pavel</v>
      </c>
      <c r="U6" t="s">
        <v>69</v>
      </c>
      <c r="V6">
        <v>36</v>
      </c>
      <c r="W6">
        <f t="shared" si="0"/>
        <v>21</v>
      </c>
    </row>
    <row r="7" spans="1:23" x14ac:dyDescent="0.25">
      <c r="A7" s="3">
        <v>2</v>
      </c>
      <c r="B7" s="3">
        <v>72</v>
      </c>
      <c r="C7" t="s">
        <v>90</v>
      </c>
      <c r="D7" s="3" t="s">
        <v>2</v>
      </c>
      <c r="E7" s="3" t="s">
        <v>87</v>
      </c>
      <c r="F7" s="3" t="str">
        <f>_xlfn.XLOOKUP(Rotation[[#This Row],[Name]],SimList[Name],SimList[Gender])</f>
        <v>male</v>
      </c>
      <c r="G7" s="23">
        <f>_xlfn.XLOOKUP(Rotation[[#This Row],[Name]],SimList[Name],SimList[Born])</f>
        <v>7</v>
      </c>
      <c r="H7">
        <f>Rotation[[#This Row],[Year]]-Rotation[[#This Row],[Born]]</f>
        <v>65</v>
      </c>
      <c r="I7" t="str">
        <f>_xlfn.XLOOKUP(Rotation[[#This Row],[Age]],Lifestages[Age],Lifestages[Lifestage],"",-1)</f>
        <v>Elder</v>
      </c>
      <c r="M7" t="str">
        <v>Lithia</v>
      </c>
      <c r="N7" s="3" t="str">
        <v>Pavel</v>
      </c>
      <c r="U7" t="s">
        <v>106</v>
      </c>
      <c r="W7">
        <f t="shared" si="0"/>
        <v>57</v>
      </c>
    </row>
    <row r="8" spans="1:23" x14ac:dyDescent="0.25">
      <c r="A8" s="3">
        <v>2</v>
      </c>
      <c r="B8" s="3">
        <v>72</v>
      </c>
      <c r="C8" t="s">
        <v>90</v>
      </c>
      <c r="D8" s="3" t="s">
        <v>85</v>
      </c>
      <c r="E8" s="3" t="s">
        <v>87</v>
      </c>
      <c r="F8" s="3" t="str">
        <f>_xlfn.XLOOKUP(Rotation[[#This Row],[Name]],SimList[Name],SimList[Gender])</f>
        <v>female</v>
      </c>
      <c r="G8" s="23">
        <f>_xlfn.XLOOKUP(Rotation[[#This Row],[Name]],SimList[Name],SimList[Born])</f>
        <v>37</v>
      </c>
      <c r="H8">
        <f>Rotation[[#This Row],[Year]]-Rotation[[#This Row],[Born]]</f>
        <v>35</v>
      </c>
      <c r="I8" t="str">
        <f>_xlfn.XLOOKUP(Rotation[[#This Row],[Age]],Lifestages[Age],Lifestages[Lifestage],"",-1)</f>
        <v>Adult</v>
      </c>
      <c r="J8" t="s">
        <v>227</v>
      </c>
      <c r="N8" s="3"/>
    </row>
    <row r="9" spans="1:23" x14ac:dyDescent="0.25">
      <c r="A9" s="3">
        <v>2</v>
      </c>
      <c r="B9" s="3">
        <v>72</v>
      </c>
      <c r="C9" t="s">
        <v>90</v>
      </c>
      <c r="D9" s="3" t="s">
        <v>18</v>
      </c>
      <c r="E9" s="3" t="s">
        <v>87</v>
      </c>
      <c r="F9" s="3" t="str">
        <f>_xlfn.XLOOKUP(Rotation[[#This Row],[Name]],SimList[Name],SimList[Gender])</f>
        <v>male</v>
      </c>
      <c r="G9" s="23">
        <f>_xlfn.XLOOKUP(Rotation[[#This Row],[Name]],SimList[Name],SimList[Born])</f>
        <v>48</v>
      </c>
      <c r="H9">
        <f>Rotation[[#This Row],[Year]]-Rotation[[#This Row],[Born]]</f>
        <v>24</v>
      </c>
      <c r="I9" t="str">
        <f>_xlfn.XLOOKUP(Rotation[[#This Row],[Age]],Lifestages[Age],Lifestages[Lifestage],"",-1)</f>
        <v>Adult</v>
      </c>
      <c r="J9" t="s">
        <v>223</v>
      </c>
      <c r="N9" s="3"/>
    </row>
    <row r="10" spans="1:23" x14ac:dyDescent="0.25">
      <c r="A10" s="3">
        <v>2</v>
      </c>
      <c r="B10" s="3">
        <v>72</v>
      </c>
      <c r="C10" t="s">
        <v>90</v>
      </c>
      <c r="D10" s="3" t="s">
        <v>96</v>
      </c>
      <c r="E10" s="3" t="s">
        <v>87</v>
      </c>
      <c r="F10" s="3" t="str">
        <f>_xlfn.XLOOKUP(Rotation[[#This Row],[Name]],SimList[Name],SimList[Gender])</f>
        <v>female</v>
      </c>
      <c r="G10" s="23">
        <f>_xlfn.XLOOKUP(Rotation[[#This Row],[Name]],SimList[Name],SimList[Born])</f>
        <v>53</v>
      </c>
      <c r="H10">
        <f>Rotation[[#This Row],[Year]]-Rotation[[#This Row],[Born]]</f>
        <v>19</v>
      </c>
      <c r="I10" t="str">
        <f>_xlfn.XLOOKUP(Rotation[[#This Row],[Age]],Lifestages[Age],Lifestages[Lifestage],"",-1)</f>
        <v>Teen</v>
      </c>
      <c r="J10" t="s">
        <v>224</v>
      </c>
      <c r="N10" s="3"/>
    </row>
    <row r="11" spans="1:23" ht="15.75" thickBot="1" x14ac:dyDescent="0.3">
      <c r="A11" s="3">
        <v>2</v>
      </c>
      <c r="B11" s="3">
        <v>72</v>
      </c>
      <c r="C11" t="s">
        <v>90</v>
      </c>
      <c r="D11" s="3" t="s">
        <v>108</v>
      </c>
      <c r="E11" s="3" t="s">
        <v>87</v>
      </c>
      <c r="F11" s="3" t="str">
        <f>_xlfn.XLOOKUP(Rotation[[#This Row],[Name]],SimList[Name],SimList[Gender])</f>
        <v>female</v>
      </c>
      <c r="G11" s="23">
        <f>_xlfn.XLOOKUP(Rotation[[#This Row],[Name]],SimList[Name],SimList[Born])</f>
        <v>63</v>
      </c>
      <c r="H11">
        <f>Rotation[[#This Row],[Year]]-Rotation[[#This Row],[Born]]</f>
        <v>9</v>
      </c>
      <c r="I11" t="str">
        <f>_xlfn.XLOOKUP(Rotation[[#This Row],[Age]],Lifestages[Age],Lifestages[Lifestage],"",-1)</f>
        <v>Child</v>
      </c>
      <c r="M11" s="178" t="s">
        <v>175</v>
      </c>
      <c r="N11" s="181" t="s">
        <v>176</v>
      </c>
    </row>
    <row r="12" spans="1:23" x14ac:dyDescent="0.25">
      <c r="A12" s="3">
        <v>2</v>
      </c>
      <c r="B12" s="3">
        <v>72</v>
      </c>
      <c r="C12" t="s">
        <v>90</v>
      </c>
      <c r="D12" s="3" t="s">
        <v>119</v>
      </c>
      <c r="E12" s="3" t="s">
        <v>87</v>
      </c>
      <c r="F12" s="3" t="str">
        <f>_xlfn.XLOOKUP(Rotation[[#This Row],[Name]],SimList[Name],SimList[Gender])</f>
        <v>male</v>
      </c>
      <c r="G12" s="23">
        <f>_xlfn.XLOOKUP(Rotation[[#This Row],[Name]],SimList[Name],SimList[Born])</f>
        <v>67</v>
      </c>
      <c r="H12">
        <f>Rotation[[#This Row],[Year]]-Rotation[[#This Row],[Born]]</f>
        <v>5</v>
      </c>
      <c r="I12" t="str">
        <f>_xlfn.XLOOKUP(Rotation[[#This Row],[Age]],Lifestages[Age],Lifestages[Lifestage],"",-1)</f>
        <v>Child</v>
      </c>
      <c r="M12" s="3" t="str" cm="1">
        <f t="array" ref="M12:N18">IF(O2="male",_xlfn.TAKE(_xlfn._xlws.SORT(_xlfn._xlws.FILTER(_xlfn._xlws.FILTER(_xlfn.HSTACK(TRANSPOSE(Relatedness!C3:AE3),TRANSPOSE(Relatedness!C4:AE4),TRANSPOSE(_xlfn.XLOOKUP(M2,Relatedness!B5:B33,Relatedness!C5:AE33)),_xlfn.XLOOKUP(Relatedness!B5:B33,SimList[Name],SimList[Status])),(TRANSPOSE(Relatedness!C3:AE3)&gt;=R2)*(TRANSPOSE(Relatedness!C3:AE3)&lt;=S2)*(_xlfn.XLOOKUP(Relatedness!B5:B33,SimList[Name],SimList[Status])&lt;&gt;"Dead")),{0,1,1,0}),2,1),N2,2),_xlfn.TAKE(_xlfn._xlws.SORT(_xlfn._xlws.FILTER(_xlfn._xlws.FILTER(_xlfn.HSTACK(Relatedness!A5:A33,Relatedness!B5:B33,_xlfn.XLOOKUP(IF(LEN(M2)&gt;4,CONCATENATE(LEFT(M2,4),"."),M2),Relatedness!C4:AE4,Relatedness!C5:AE33),_xlfn.XLOOKUP(Relatedness!B5:B33,SimList[Name],SimList[Status])),(Relatedness!A5:A33&gt;=R2)*(Relatedness!A5:A33&lt;=S2)*(_xlfn.XLOOKUP(Relatedness!B5:B33,SimList[Name],SimList[Status])&lt;&gt;"Dead")),{0,1,1,0}),2,1),N2,2))</f>
        <v>Pavel</v>
      </c>
      <c r="N12" s="38">
        <v>6.25E-2</v>
      </c>
      <c r="T12" s="38">
        <f>IF(N12="", "", N12)</f>
        <v>6.25E-2</v>
      </c>
    </row>
    <row r="13" spans="1:23" x14ac:dyDescent="0.25">
      <c r="A13" s="3">
        <v>3</v>
      </c>
      <c r="B13" s="3">
        <v>72</v>
      </c>
      <c r="C13" t="s">
        <v>89</v>
      </c>
      <c r="D13" s="3" t="s">
        <v>9</v>
      </c>
      <c r="E13" s="3" t="s">
        <v>89</v>
      </c>
      <c r="F13" s="3" t="str">
        <f>_xlfn.XLOOKUP(Rotation[[#This Row],[Name]],SimList[Name],SimList[Gender])</f>
        <v>female</v>
      </c>
      <c r="G13" s="23">
        <f>_xlfn.XLOOKUP(Rotation[[#This Row],[Name]],SimList[Name],SimList[Born])</f>
        <v>30</v>
      </c>
      <c r="H13">
        <f>Rotation[[#This Row],[Year]]-Rotation[[#This Row],[Born]]</f>
        <v>42</v>
      </c>
      <c r="I13" t="str">
        <f>_xlfn.XLOOKUP(Rotation[[#This Row],[Age]],Lifestages[Age],Lifestages[Lifestage],"",-1)</f>
        <v>Adult</v>
      </c>
      <c r="J13" t="s">
        <v>104</v>
      </c>
      <c r="M13" s="3" t="str">
        <v>Lapis</v>
      </c>
      <c r="N13" s="38">
        <v>6.25E-2</v>
      </c>
      <c r="T13" s="38">
        <f t="shared" ref="T13:T20" si="1">IF(N13="", "", N13)</f>
        <v>6.25E-2</v>
      </c>
    </row>
    <row r="14" spans="1:23" x14ac:dyDescent="0.25">
      <c r="A14" s="3">
        <v>3</v>
      </c>
      <c r="B14" s="3">
        <v>72</v>
      </c>
      <c r="C14" t="s">
        <v>89</v>
      </c>
      <c r="D14" s="3" t="s">
        <v>14</v>
      </c>
      <c r="E14" s="3" t="s">
        <v>230</v>
      </c>
      <c r="F14" s="3" t="str">
        <f>_xlfn.XLOOKUP(Rotation[[#This Row],[Name]],SimList[Name],SimList[Gender])</f>
        <v>male</v>
      </c>
      <c r="G14" s="23">
        <f>_xlfn.XLOOKUP(Rotation[[#This Row],[Name]],SimList[Name],SimList[Born])</f>
        <v>43</v>
      </c>
      <c r="H14">
        <f>Rotation[[#This Row],[Year]]-Rotation[[#This Row],[Born]]</f>
        <v>29</v>
      </c>
      <c r="I14" t="str">
        <f>_xlfn.XLOOKUP(Rotation[[#This Row],[Age]],Lifestages[Age],Lifestages[Lifestage],"",-1)</f>
        <v>Adult</v>
      </c>
      <c r="J14" t="s">
        <v>105</v>
      </c>
      <c r="M14" s="3" t="str">
        <v>Lazuli</v>
      </c>
      <c r="N14" s="38">
        <v>6.25E-2</v>
      </c>
      <c r="T14" s="38">
        <f t="shared" si="1"/>
        <v>6.25E-2</v>
      </c>
    </row>
    <row r="15" spans="1:23" x14ac:dyDescent="0.25">
      <c r="A15" s="3">
        <v>3</v>
      </c>
      <c r="B15" s="3">
        <v>72</v>
      </c>
      <c r="C15" t="s">
        <v>89</v>
      </c>
      <c r="D15" s="3" t="s">
        <v>21</v>
      </c>
      <c r="E15" s="3" t="s">
        <v>88</v>
      </c>
      <c r="F15" s="3" t="str">
        <f>_xlfn.XLOOKUP(Rotation[[#This Row],[Name]],SimList[Name],SimList[Gender])</f>
        <v>male</v>
      </c>
      <c r="G15" s="23">
        <f>_xlfn.XLOOKUP(Rotation[[#This Row],[Name]],SimList[Name],SimList[Born])</f>
        <v>49</v>
      </c>
      <c r="H15">
        <f>Rotation[[#This Row],[Year]]-Rotation[[#This Row],[Born]]</f>
        <v>23</v>
      </c>
      <c r="I15" t="str">
        <f>_xlfn.XLOOKUP(Rotation[[#This Row],[Age]],Lifestages[Age],Lifestages[Lifestage],"",-1)</f>
        <v>Adult</v>
      </c>
      <c r="M15" s="3" t="str">
        <v>Kinro</v>
      </c>
      <c r="N15" s="38">
        <v>9.375E-2</v>
      </c>
      <c r="T15" s="38">
        <f t="shared" si="1"/>
        <v>9.375E-2</v>
      </c>
    </row>
    <row r="16" spans="1:23" x14ac:dyDescent="0.25">
      <c r="A16" s="3">
        <v>3</v>
      </c>
      <c r="B16" s="3">
        <v>72</v>
      </c>
      <c r="C16" t="s">
        <v>89</v>
      </c>
      <c r="D16" s="3" t="s">
        <v>83</v>
      </c>
      <c r="E16" s="3" t="s">
        <v>89</v>
      </c>
      <c r="F16" s="3" t="str">
        <f>_xlfn.XLOOKUP(Rotation[[#This Row],[Name]],SimList[Name],SimList[Gender])</f>
        <v>female</v>
      </c>
      <c r="G16" s="23">
        <f>_xlfn.XLOOKUP(Rotation[[#This Row],[Name]],SimList[Name],SimList[Born])</f>
        <v>60</v>
      </c>
      <c r="H16">
        <f>Rotation[[#This Row],[Year]]-Rotation[[#This Row],[Born]]</f>
        <v>12</v>
      </c>
      <c r="I16" t="str">
        <f>_xlfn.XLOOKUP(Rotation[[#This Row],[Age]],Lifestages[Age],Lifestages[Lifestage],"",-1)</f>
        <v>Teen</v>
      </c>
      <c r="J16" t="s">
        <v>227</v>
      </c>
      <c r="M16" s="3" t="str">
        <v>Haruto</v>
      </c>
      <c r="N16" s="38">
        <v>0.125</v>
      </c>
      <c r="T16" s="38">
        <f t="shared" si="1"/>
        <v>0.125</v>
      </c>
    </row>
    <row r="17" spans="1:20" x14ac:dyDescent="0.25">
      <c r="A17" s="3">
        <v>3</v>
      </c>
      <c r="B17" s="3">
        <v>72</v>
      </c>
      <c r="C17" t="s">
        <v>89</v>
      </c>
      <c r="D17" s="3" t="s">
        <v>122</v>
      </c>
      <c r="E17" s="3" t="s">
        <v>89</v>
      </c>
      <c r="F17" s="3" t="str">
        <f>_xlfn.XLOOKUP(Rotation[[#This Row],[Name]],SimList[Name],SimList[Gender])</f>
        <v>male</v>
      </c>
      <c r="G17" s="23">
        <f>_xlfn.XLOOKUP(Rotation[[#This Row],[Name]],SimList[Name],SimList[Born])</f>
        <v>70</v>
      </c>
      <c r="H17">
        <f>Rotation[[#This Row],[Year]]-Rotation[[#This Row],[Born]]</f>
        <v>2</v>
      </c>
      <c r="I17" t="str">
        <f>_xlfn.XLOOKUP(Rotation[[#This Row],[Age]],Lifestages[Age],Lifestages[Lifestage],"",-1)</f>
        <v>Toddler</v>
      </c>
      <c r="M17" s="3" t="str">
        <v>Tetsuken</v>
      </c>
      <c r="N17" s="38">
        <v>0.125</v>
      </c>
      <c r="T17" s="38">
        <f t="shared" si="1"/>
        <v>0.125</v>
      </c>
    </row>
    <row r="18" spans="1:20" x14ac:dyDescent="0.25">
      <c r="A18" s="3">
        <v>4</v>
      </c>
      <c r="B18" s="3">
        <v>72</v>
      </c>
      <c r="C18" t="s">
        <v>87</v>
      </c>
      <c r="D18" s="3" t="s">
        <v>71</v>
      </c>
      <c r="E18" s="3" t="s">
        <v>88</v>
      </c>
      <c r="F18" s="3" t="str">
        <f>_xlfn.XLOOKUP(Rotation[[#This Row],[Name]],SimList[Name],SimList[Gender])</f>
        <v>female</v>
      </c>
      <c r="G18" s="23">
        <f>_xlfn.XLOOKUP(Rotation[[#This Row],[Name]],SimList[Name],SimList[Born])</f>
        <v>34</v>
      </c>
      <c r="H18">
        <f>Rotation[[#This Row],[Year]]-Rotation[[#This Row],[Born]]</f>
        <v>38</v>
      </c>
      <c r="I18" t="str">
        <f>_xlfn.XLOOKUP(Rotation[[#This Row],[Age]],Lifestages[Age],Lifestages[Lifestage],"",-1)</f>
        <v>Adult</v>
      </c>
      <c r="J18" t="s">
        <v>131</v>
      </c>
      <c r="M18" s="3" t="str">
        <v>Apatite</v>
      </c>
      <c r="N18" s="18">
        <v>0.125</v>
      </c>
      <c r="T18" s="38">
        <f t="shared" si="1"/>
        <v>0.125</v>
      </c>
    </row>
    <row r="19" spans="1:20" x14ac:dyDescent="0.25">
      <c r="A19" s="3">
        <v>4</v>
      </c>
      <c r="B19" s="3">
        <v>72</v>
      </c>
      <c r="C19" t="s">
        <v>87</v>
      </c>
      <c r="D19" s="3" t="s">
        <v>12</v>
      </c>
      <c r="E19" s="3" t="s">
        <v>87</v>
      </c>
      <c r="F19" s="3" t="str">
        <f>_xlfn.XLOOKUP(Rotation[[#This Row],[Name]],SimList[Name],SimList[Gender])</f>
        <v>male</v>
      </c>
      <c r="G19" s="23">
        <f>_xlfn.XLOOKUP(Rotation[[#This Row],[Name]],SimList[Name],SimList[Born])</f>
        <v>45</v>
      </c>
      <c r="H19">
        <f>Rotation[[#This Row],[Year]]-Rotation[[#This Row],[Born]]</f>
        <v>27</v>
      </c>
      <c r="I19" t="str">
        <f>_xlfn.XLOOKUP(Rotation[[#This Row],[Age]],Lifestages[Age],Lifestages[Lifestage],"",-1)</f>
        <v>Adult</v>
      </c>
      <c r="J19" t="s">
        <v>231</v>
      </c>
      <c r="M19" s="3"/>
      <c r="T19" s="38" t="str">
        <f t="shared" si="1"/>
        <v/>
      </c>
    </row>
    <row r="20" spans="1:20" x14ac:dyDescent="0.25">
      <c r="A20" s="3">
        <v>4</v>
      </c>
      <c r="B20" s="3">
        <v>72</v>
      </c>
      <c r="C20" t="s">
        <v>87</v>
      </c>
      <c r="D20" s="3" t="s">
        <v>73</v>
      </c>
      <c r="E20" s="3" t="s">
        <v>87</v>
      </c>
      <c r="F20" s="3" t="str">
        <f>_xlfn.XLOOKUP(Rotation[[#This Row],[Name]],SimList[Name],SimList[Gender])</f>
        <v>female</v>
      </c>
      <c r="G20" s="23">
        <f>_xlfn.XLOOKUP(Rotation[[#This Row],[Name]],SimList[Name],SimList[Born])</f>
        <v>55</v>
      </c>
      <c r="H20">
        <f>Rotation[[#This Row],[Year]]-Rotation[[#This Row],[Born]]</f>
        <v>17</v>
      </c>
      <c r="I20" t="str">
        <f>_xlfn.XLOOKUP(Rotation[[#This Row],[Age]],Lifestages[Age],Lifestages[Lifestage],"",-1)</f>
        <v>Teen</v>
      </c>
      <c r="J20" t="s">
        <v>225</v>
      </c>
      <c r="M20" s="3"/>
      <c r="N20" s="38"/>
      <c r="T20" s="38" t="str">
        <f t="shared" si="1"/>
        <v/>
      </c>
    </row>
    <row r="21" spans="1:20" x14ac:dyDescent="0.25">
      <c r="A21" s="3">
        <v>4</v>
      </c>
      <c r="B21" s="3">
        <v>72</v>
      </c>
      <c r="C21" t="s">
        <v>87</v>
      </c>
      <c r="D21" s="3" t="s">
        <v>74</v>
      </c>
      <c r="E21" s="3" t="s">
        <v>87</v>
      </c>
      <c r="F21" s="3" t="str">
        <f>_xlfn.XLOOKUP(Rotation[[#This Row],[Name]],SimList[Name],SimList[Gender])</f>
        <v>female</v>
      </c>
      <c r="G21" s="23">
        <f>_xlfn.XLOOKUP(Rotation[[#This Row],[Name]],SimList[Name],SimList[Born])</f>
        <v>55</v>
      </c>
      <c r="H21">
        <f>Rotation[[#This Row],[Year]]-Rotation[[#This Row],[Born]]</f>
        <v>17</v>
      </c>
      <c r="I21" t="str">
        <f>_xlfn.XLOOKUP(Rotation[[#This Row],[Age]],Lifestages[Age],Lifestages[Lifestage],"",-1)</f>
        <v>Teen</v>
      </c>
      <c r="J21" t="s">
        <v>222</v>
      </c>
      <c r="M21" s="3"/>
      <c r="T21" s="38" t="str">
        <f>IF(N21="", "", N21)</f>
        <v/>
      </c>
    </row>
    <row r="22" spans="1:20" x14ac:dyDescent="0.25">
      <c r="A22" s="3">
        <v>4</v>
      </c>
      <c r="B22" s="3">
        <v>72</v>
      </c>
      <c r="C22" t="s">
        <v>87</v>
      </c>
      <c r="D22" s="3" t="s">
        <v>124</v>
      </c>
      <c r="E22" s="3" t="s">
        <v>87</v>
      </c>
      <c r="F22" s="3" t="str">
        <f>_xlfn.XLOOKUP(Rotation[[#This Row],[Name]],SimList[Name],SimList[Gender])</f>
        <v>male</v>
      </c>
      <c r="G22" s="23">
        <f>_xlfn.XLOOKUP(Rotation[[#This Row],[Name]],SimList[Name],SimList[Born])</f>
        <v>65</v>
      </c>
      <c r="H22">
        <f>Rotation[[#This Row],[Year]]-Rotation[[#This Row],[Born]]</f>
        <v>7</v>
      </c>
      <c r="I22" t="str">
        <f>_xlfn.XLOOKUP(Rotation[[#This Row],[Age]],Lifestages[Age],Lifestages[Lifestage],"",-1)</f>
        <v>Child</v>
      </c>
    </row>
    <row r="23" spans="1:20" x14ac:dyDescent="0.25">
      <c r="A23" s="3">
        <v>4</v>
      </c>
      <c r="B23" s="3">
        <v>72</v>
      </c>
      <c r="C23" t="s">
        <v>87</v>
      </c>
      <c r="D23" s="3" t="s">
        <v>125</v>
      </c>
      <c r="E23" s="3" t="s">
        <v>88</v>
      </c>
      <c r="F23" s="3" t="str">
        <f>_xlfn.XLOOKUP(Rotation[[#This Row],[Name]],SimList[Name],SimList[Gender])</f>
        <v>female</v>
      </c>
      <c r="G23" s="23">
        <f>_xlfn.XLOOKUP(Rotation[[#This Row],[Name]],SimList[Name],SimList[Born])</f>
        <v>66</v>
      </c>
      <c r="H23">
        <f>Rotation[[#This Row],[Year]]-Rotation[[#This Row],[Born]]</f>
        <v>6</v>
      </c>
      <c r="I23" t="str">
        <f>_xlfn.XLOOKUP(Rotation[[#This Row],[Age]],Lifestages[Age],Lifestages[Lifestage],"",-1)</f>
        <v>Child</v>
      </c>
    </row>
    <row r="24" spans="1:20" x14ac:dyDescent="0.25">
      <c r="A24" s="3">
        <v>5</v>
      </c>
      <c r="B24" s="3">
        <v>72</v>
      </c>
      <c r="C24" t="s">
        <v>88</v>
      </c>
      <c r="D24" s="3" t="s">
        <v>3</v>
      </c>
      <c r="E24" s="3" t="s">
        <v>88</v>
      </c>
      <c r="F24" s="3" t="str">
        <f>_xlfn.XLOOKUP(Rotation[[#This Row],[Name]],SimList[Name],SimList[Gender])</f>
        <v>male</v>
      </c>
      <c r="G24" s="23">
        <f>_xlfn.XLOOKUP(Rotation[[#This Row],[Name]],SimList[Name],SimList[Born])</f>
        <v>12</v>
      </c>
      <c r="H24">
        <f>Rotation[[#This Row],[Year]]-Rotation[[#This Row],[Born]]</f>
        <v>60</v>
      </c>
      <c r="I24" t="str">
        <f>_xlfn.XLOOKUP(Rotation[[#This Row],[Age]],Lifestages[Age],Lifestages[Lifestage],"",-1)</f>
        <v>Elder</v>
      </c>
    </row>
    <row r="25" spans="1:20" x14ac:dyDescent="0.25">
      <c r="A25" s="3">
        <v>5</v>
      </c>
      <c r="B25" s="3">
        <v>72</v>
      </c>
      <c r="C25" t="s">
        <v>88</v>
      </c>
      <c r="D25" s="3" t="s">
        <v>7</v>
      </c>
      <c r="E25" s="3" t="s">
        <v>88</v>
      </c>
      <c r="F25" s="3" t="str">
        <f>_xlfn.XLOOKUP(Rotation[[#This Row],[Name]],SimList[Name],SimList[Gender])</f>
        <v>female</v>
      </c>
      <c r="G25" s="23">
        <f>_xlfn.XLOOKUP(Rotation[[#This Row],[Name]],SimList[Name],SimList[Born])</f>
        <v>21</v>
      </c>
      <c r="H25">
        <f>Rotation[[#This Row],[Year]]-Rotation[[#This Row],[Born]]</f>
        <v>51</v>
      </c>
      <c r="I25" t="str">
        <f>_xlfn.XLOOKUP(Rotation[[#This Row],[Age]],Lifestages[Age],Lifestages[Lifestage],"",-1)</f>
        <v>Adult</v>
      </c>
      <c r="N25" s="38"/>
    </row>
    <row r="26" spans="1:20" x14ac:dyDescent="0.25">
      <c r="A26" s="3">
        <v>5</v>
      </c>
      <c r="B26" s="3">
        <v>72</v>
      </c>
      <c r="C26" t="s">
        <v>88</v>
      </c>
      <c r="D26" s="3" t="s">
        <v>15</v>
      </c>
      <c r="E26" s="3" t="s">
        <v>88</v>
      </c>
      <c r="F26" s="3" t="str">
        <f>_xlfn.XLOOKUP(Rotation[[#This Row],[Name]],SimList[Name],SimList[Gender])</f>
        <v>male</v>
      </c>
      <c r="G26" s="23">
        <f>_xlfn.XLOOKUP(Rotation[[#This Row],[Name]],SimList[Name],SimList[Born])</f>
        <v>44</v>
      </c>
      <c r="H26">
        <f>Rotation[[#This Row],[Year]]-Rotation[[#This Row],[Born]]</f>
        <v>28</v>
      </c>
      <c r="I26" t="str">
        <f>_xlfn.XLOOKUP(Rotation[[#This Row],[Age]],Lifestages[Age],Lifestages[Lifestage],"",-1)</f>
        <v>Adult</v>
      </c>
      <c r="J26" t="s">
        <v>134</v>
      </c>
      <c r="N26" s="38"/>
    </row>
    <row r="27" spans="1:20" x14ac:dyDescent="0.25">
      <c r="A27" s="3">
        <v>5</v>
      </c>
      <c r="B27" s="3">
        <v>72</v>
      </c>
      <c r="C27" t="s">
        <v>88</v>
      </c>
      <c r="D27" s="3" t="s">
        <v>16</v>
      </c>
      <c r="E27" s="3" t="s">
        <v>88</v>
      </c>
      <c r="F27" s="3" t="str">
        <f>_xlfn.XLOOKUP(Rotation[[#This Row],[Name]],SimList[Name],SimList[Gender])</f>
        <v>male</v>
      </c>
      <c r="G27" s="23">
        <f>_xlfn.XLOOKUP(Rotation[[#This Row],[Name]],SimList[Name],SimList[Born])</f>
        <v>49</v>
      </c>
      <c r="H27">
        <f>Rotation[[#This Row],[Year]]-Rotation[[#This Row],[Born]]</f>
        <v>23</v>
      </c>
      <c r="I27" t="str">
        <f>_xlfn.XLOOKUP(Rotation[[#This Row],[Age]],Lifestages[Age],Lifestages[Lifestage],"",-1)</f>
        <v>Adult</v>
      </c>
      <c r="N27" s="38"/>
    </row>
    <row r="28" spans="1:20" x14ac:dyDescent="0.25">
      <c r="A28" s="3">
        <v>5</v>
      </c>
      <c r="B28" s="3">
        <v>72</v>
      </c>
      <c r="C28" t="s">
        <v>88</v>
      </c>
      <c r="D28" s="3" t="s">
        <v>17</v>
      </c>
      <c r="E28" s="3" t="s">
        <v>88</v>
      </c>
      <c r="F28" s="3" t="str">
        <f>_xlfn.XLOOKUP(Rotation[[#This Row],[Name]],SimList[Name],SimList[Gender])</f>
        <v>male</v>
      </c>
      <c r="G28" s="23">
        <f>_xlfn.XLOOKUP(Rotation[[#This Row],[Name]],SimList[Name],SimList[Born])</f>
        <v>49</v>
      </c>
      <c r="H28">
        <f>Rotation[[#This Row],[Year]]-Rotation[[#This Row],[Born]]</f>
        <v>23</v>
      </c>
      <c r="I28" t="str">
        <f>_xlfn.XLOOKUP(Rotation[[#This Row],[Age]],Lifestages[Age],Lifestages[Lifestage],"",-1)</f>
        <v>Adult</v>
      </c>
      <c r="N28" s="38"/>
    </row>
    <row r="29" spans="1:20" x14ac:dyDescent="0.25">
      <c r="A29" s="3">
        <v>5</v>
      </c>
      <c r="B29" s="3">
        <v>72</v>
      </c>
      <c r="C29" t="s">
        <v>88</v>
      </c>
      <c r="D29" s="3" t="s">
        <v>22</v>
      </c>
      <c r="E29" s="3" t="s">
        <v>88</v>
      </c>
      <c r="F29" s="3" t="str">
        <f>_xlfn.XLOOKUP(Rotation[[#This Row],[Name]],SimList[Name],SimList[Gender])</f>
        <v>male</v>
      </c>
      <c r="G29" s="23">
        <f>_xlfn.XLOOKUP(Rotation[[#This Row],[Name]],SimList[Name],SimList[Born])</f>
        <v>58</v>
      </c>
      <c r="H29">
        <f>Rotation[[#This Row],[Year]]-Rotation[[#This Row],[Born]]</f>
        <v>14</v>
      </c>
      <c r="I29" t="str">
        <f>_xlfn.XLOOKUP(Rotation[[#This Row],[Age]],Lifestages[Age],Lifestages[Lifestage],"",-1)</f>
        <v>Teen</v>
      </c>
      <c r="N29" s="38"/>
    </row>
    <row r="30" spans="1:20" x14ac:dyDescent="0.25">
      <c r="A30" s="3">
        <v>5</v>
      </c>
      <c r="B30" s="3">
        <v>72</v>
      </c>
      <c r="C30" t="s">
        <v>88</v>
      </c>
      <c r="D30" s="3" t="s">
        <v>132</v>
      </c>
      <c r="E30" s="3" t="s">
        <v>88</v>
      </c>
      <c r="F30" s="3" t="str">
        <f>_xlfn.XLOOKUP(Rotation[[#This Row],[Name]],SimList[Name],SimList[Gender])</f>
        <v>female</v>
      </c>
      <c r="G30" s="23">
        <f>_xlfn.XLOOKUP(Rotation[[#This Row],[Name]],SimList[Name],SimList[Born])</f>
        <v>69</v>
      </c>
      <c r="H30">
        <f>Rotation[[#This Row],[Year]]-Rotation[[#This Row],[Born]]</f>
        <v>3</v>
      </c>
      <c r="I30" t="str">
        <f>_xlfn.XLOOKUP(Rotation[[#This Row],[Age]],Lifestages[Age],Lifestages[Lifestage],"",-1)</f>
        <v>Toddler</v>
      </c>
      <c r="N30" s="38"/>
    </row>
    <row r="31" spans="1:20" x14ac:dyDescent="0.25">
      <c r="A31" s="3">
        <v>6</v>
      </c>
      <c r="B31" s="3">
        <v>72</v>
      </c>
      <c r="C31" t="s">
        <v>88</v>
      </c>
      <c r="D31" s="3" t="s">
        <v>79</v>
      </c>
      <c r="E31" s="3" t="s">
        <v>87</v>
      </c>
      <c r="F31" s="3" t="str">
        <f>_xlfn.XLOOKUP(Rotation[[#This Row],[Name]],SimList[Name],SimList[Gender])</f>
        <v>female</v>
      </c>
      <c r="G31" s="23">
        <f>_xlfn.XLOOKUP(Rotation[[#This Row],[Name]],SimList[Name],SimList[Born])</f>
        <v>16</v>
      </c>
      <c r="H31">
        <f>Rotation[[#This Row],[Year]]-Rotation[[#This Row],[Born]]</f>
        <v>56</v>
      </c>
      <c r="I31" t="str">
        <f>_xlfn.XLOOKUP(Rotation[[#This Row],[Age]],Lifestages[Age],Lifestages[Lifestage],"",-1)</f>
        <v>Adult</v>
      </c>
      <c r="N31" s="38"/>
    </row>
    <row r="32" spans="1:20" x14ac:dyDescent="0.25">
      <c r="A32" s="3">
        <v>6</v>
      </c>
      <c r="B32" s="3">
        <v>72</v>
      </c>
      <c r="C32" t="s">
        <v>88</v>
      </c>
      <c r="D32" s="3" t="s">
        <v>11</v>
      </c>
      <c r="E32" s="3" t="s">
        <v>87</v>
      </c>
      <c r="F32" s="3" t="str">
        <f>_xlfn.XLOOKUP(Rotation[[#This Row],[Name]],SimList[Name],SimList[Gender])</f>
        <v>male</v>
      </c>
      <c r="G32" s="23">
        <f>_xlfn.XLOOKUP(Rotation[[#This Row],[Name]],SimList[Name],SimList[Born])</f>
        <v>42</v>
      </c>
      <c r="H32">
        <f>Rotation[[#This Row],[Year]]-Rotation[[#This Row],[Born]]</f>
        <v>30</v>
      </c>
      <c r="I32" t="str">
        <f>_xlfn.XLOOKUP(Rotation[[#This Row],[Age]],Lifestages[Age],Lifestages[Lifestage],"",-1)</f>
        <v>Adult</v>
      </c>
      <c r="N32" s="38"/>
    </row>
    <row r="33" spans="1:14" x14ac:dyDescent="0.25">
      <c r="A33" s="3">
        <v>6</v>
      </c>
      <c r="B33" s="3">
        <v>72</v>
      </c>
      <c r="C33" t="s">
        <v>88</v>
      </c>
      <c r="D33" s="3" t="s">
        <v>80</v>
      </c>
      <c r="E33" s="3" t="s">
        <v>87</v>
      </c>
      <c r="F33" s="3" t="str">
        <f>_xlfn.XLOOKUP(Rotation[[#This Row],[Name]],SimList[Name],SimList[Gender])</f>
        <v>female</v>
      </c>
      <c r="G33" s="23">
        <f>_xlfn.XLOOKUP(Rotation[[#This Row],[Name]],SimList[Name],SimList[Born])</f>
        <v>49</v>
      </c>
      <c r="H33">
        <f>Rotation[[#This Row],[Year]]-Rotation[[#This Row],[Born]]</f>
        <v>23</v>
      </c>
      <c r="I33" t="str">
        <f>_xlfn.XLOOKUP(Rotation[[#This Row],[Age]],Lifestages[Age],Lifestages[Lifestage],"",-1)</f>
        <v>Adult</v>
      </c>
      <c r="J33" s="26"/>
      <c r="N33" s="38"/>
    </row>
    <row r="34" spans="1:14" x14ac:dyDescent="0.25">
      <c r="A34" s="3">
        <v>6</v>
      </c>
      <c r="B34" s="3">
        <v>72</v>
      </c>
      <c r="C34" t="s">
        <v>88</v>
      </c>
      <c r="D34" s="3" t="s">
        <v>19</v>
      </c>
      <c r="E34" s="3" t="s">
        <v>87</v>
      </c>
      <c r="F34" s="3" t="str">
        <f>_xlfn.XLOOKUP(Rotation[[#This Row],[Name]],SimList[Name],SimList[Gender])</f>
        <v>male</v>
      </c>
      <c r="G34" s="23">
        <f>_xlfn.XLOOKUP(Rotation[[#This Row],[Name]],SimList[Name],SimList[Born])</f>
        <v>56</v>
      </c>
      <c r="H34">
        <f>Rotation[[#This Row],[Year]]-Rotation[[#This Row],[Born]]</f>
        <v>16</v>
      </c>
      <c r="I34" t="str">
        <f>_xlfn.XLOOKUP(Rotation[[#This Row],[Age]],Lifestages[Age],Lifestages[Lifestage],"",-1)</f>
        <v>Teen</v>
      </c>
      <c r="N34" s="38"/>
    </row>
    <row r="35" spans="1:14" x14ac:dyDescent="0.25">
      <c r="A35" s="3">
        <v>6</v>
      </c>
      <c r="B35" s="3">
        <v>72</v>
      </c>
      <c r="C35" t="s">
        <v>88</v>
      </c>
      <c r="D35" s="3" t="s">
        <v>81</v>
      </c>
      <c r="E35" s="3" t="s">
        <v>87</v>
      </c>
      <c r="F35" s="3" t="str">
        <f>_xlfn.XLOOKUP(Rotation[[#This Row],[Name]],SimList[Name],SimList[Gender])</f>
        <v>female</v>
      </c>
      <c r="G35" s="23">
        <f>_xlfn.XLOOKUP(Rotation[[#This Row],[Name]],SimList[Name],SimList[Born])</f>
        <v>56</v>
      </c>
      <c r="H35">
        <f>Rotation[[#This Row],[Year]]-Rotation[[#This Row],[Born]]</f>
        <v>16</v>
      </c>
      <c r="I35" t="str">
        <f>_xlfn.XLOOKUP(Rotation[[#This Row],[Age]],Lifestages[Age],Lifestages[Lifestage],"",-1)</f>
        <v>Teen</v>
      </c>
    </row>
    <row r="36" spans="1:14" x14ac:dyDescent="0.25">
      <c r="A36" s="3">
        <v>6</v>
      </c>
      <c r="B36" s="3">
        <v>72</v>
      </c>
      <c r="C36" t="s">
        <v>88</v>
      </c>
      <c r="D36" s="3" t="s">
        <v>135</v>
      </c>
      <c r="E36" s="3" t="s">
        <v>87</v>
      </c>
      <c r="F36" s="3" t="str">
        <f>_xlfn.XLOOKUP(Rotation[[#This Row],[Name]],SimList[Name],SimList[Gender])</f>
        <v>male</v>
      </c>
      <c r="G36" s="23">
        <f>_xlfn.XLOOKUP(Rotation[[#This Row],[Name]],SimList[Name],SimList[Born])</f>
        <v>69</v>
      </c>
      <c r="H36">
        <f>Rotation[[#This Row],[Year]]-Rotation[[#This Row],[Born]]</f>
        <v>3</v>
      </c>
      <c r="I36" t="str">
        <f>_xlfn.XLOOKUP(Rotation[[#This Row],[Age]],Lifestages[Age],Lifestages[Lifestage],"",-1)</f>
        <v>Toddler</v>
      </c>
    </row>
    <row r="37" spans="1:14" x14ac:dyDescent="0.25">
      <c r="A37" s="3">
        <v>7</v>
      </c>
      <c r="B37" s="3">
        <v>72</v>
      </c>
      <c r="C37" t="s">
        <v>87</v>
      </c>
      <c r="D37" s="3" t="s">
        <v>8</v>
      </c>
      <c r="E37" s="3" t="s">
        <v>87</v>
      </c>
      <c r="F37" s="3" t="str">
        <f>_xlfn.XLOOKUP(Rotation[[#This Row],[Name]],SimList[Name],SimList[Gender])</f>
        <v>male</v>
      </c>
      <c r="G37" s="23">
        <f>_xlfn.XLOOKUP(Rotation[[#This Row],[Name]],SimList[Name],SimList[Born])</f>
        <v>22</v>
      </c>
      <c r="H37">
        <f>Rotation[[#This Row],[Year]]-Rotation[[#This Row],[Born]]</f>
        <v>50</v>
      </c>
      <c r="I37" t="str">
        <f>_xlfn.XLOOKUP(Rotation[[#This Row],[Age]],Lifestages[Age],Lifestages[Lifestage],"",-1)</f>
        <v>Adult</v>
      </c>
      <c r="J37" s="26"/>
      <c r="K37" t="s">
        <v>313</v>
      </c>
    </row>
    <row r="38" spans="1:14" x14ac:dyDescent="0.25">
      <c r="A38" s="3">
        <v>7</v>
      </c>
      <c r="B38" s="3">
        <v>72</v>
      </c>
      <c r="C38" t="s">
        <v>87</v>
      </c>
      <c r="D38" s="3" t="s">
        <v>10</v>
      </c>
      <c r="E38" s="3" t="s">
        <v>87</v>
      </c>
      <c r="F38" s="3" t="str">
        <f>_xlfn.XLOOKUP(Rotation[[#This Row],[Name]],SimList[Name],SimList[Gender])</f>
        <v>female</v>
      </c>
      <c r="G38" s="23">
        <f>_xlfn.XLOOKUP(Rotation[[#This Row],[Name]],SimList[Name],SimList[Born])</f>
        <v>44</v>
      </c>
      <c r="H38">
        <f>Rotation[[#This Row],[Year]]-Rotation[[#This Row],[Born]]</f>
        <v>28</v>
      </c>
      <c r="I38" t="str">
        <f>_xlfn.XLOOKUP(Rotation[[#This Row],[Age]],Lifestages[Age],Lifestages[Lifestage],"",-1)</f>
        <v>Adult</v>
      </c>
      <c r="J38" s="193" t="s">
        <v>225</v>
      </c>
    </row>
    <row r="39" spans="1:14" x14ac:dyDescent="0.25">
      <c r="A39" s="3">
        <v>7</v>
      </c>
      <c r="B39" s="3">
        <v>72</v>
      </c>
      <c r="C39" t="s">
        <v>87</v>
      </c>
      <c r="D39" s="3" t="s">
        <v>95</v>
      </c>
      <c r="E39" s="3" t="s">
        <v>88</v>
      </c>
      <c r="F39" s="3" t="str">
        <f>_xlfn.XLOOKUP(Rotation[[#This Row],[Name]],SimList[Name],SimList[Gender])</f>
        <v>male</v>
      </c>
      <c r="G39" s="23">
        <f>_xlfn.XLOOKUP(Rotation[[#This Row],[Name]],SimList[Name],SimList[Born])</f>
        <v>60</v>
      </c>
      <c r="H39">
        <f>Rotation[[#This Row],[Year]]-Rotation[[#This Row],[Born]]</f>
        <v>12</v>
      </c>
      <c r="I39" t="str">
        <f>_xlfn.XLOOKUP(Rotation[[#This Row],[Age]],Lifestages[Age],Lifestages[Lifestage],"",-1)</f>
        <v>Teen</v>
      </c>
      <c r="J39" t="s">
        <v>319</v>
      </c>
      <c r="K39" s="39"/>
    </row>
    <row r="40" spans="1:14" x14ac:dyDescent="0.25">
      <c r="A40" s="3">
        <v>7</v>
      </c>
      <c r="B40" s="3">
        <v>72</v>
      </c>
      <c r="C40" t="s">
        <v>87</v>
      </c>
      <c r="D40" s="3" t="s">
        <v>138</v>
      </c>
      <c r="E40" s="3" t="s">
        <v>87</v>
      </c>
      <c r="F40" s="3" t="str">
        <f>_xlfn.XLOOKUP(Rotation[[#This Row],[Name]],SimList[Name],SimList[Gender])</f>
        <v>male</v>
      </c>
      <c r="G40" s="23">
        <f>_xlfn.XLOOKUP(Rotation[[#This Row],[Name]],SimList[Name],SimList[Born])</f>
        <v>66</v>
      </c>
      <c r="H40">
        <f>Rotation[[#This Row],[Year]]-Rotation[[#This Row],[Born]]</f>
        <v>6</v>
      </c>
      <c r="I40" t="str">
        <f>_xlfn.XLOOKUP(Rotation[[#This Row],[Age]],Lifestages[Age],Lifestages[Lifestage],"",-1)</f>
        <v>Child</v>
      </c>
      <c r="J40" t="s">
        <v>317</v>
      </c>
      <c r="K40" s="39" t="s">
        <v>314</v>
      </c>
    </row>
    <row r="41" spans="1:14" x14ac:dyDescent="0.25">
      <c r="A41" s="3">
        <v>7</v>
      </c>
      <c r="B41" s="3">
        <v>72</v>
      </c>
      <c r="C41" t="s">
        <v>87</v>
      </c>
      <c r="D41" s="3" t="s">
        <v>139</v>
      </c>
      <c r="E41" s="3" t="s">
        <v>87</v>
      </c>
      <c r="F41" s="3" t="str">
        <f>_xlfn.XLOOKUP(Rotation[[#This Row],[Name]],SimList[Name],SimList[Gender])</f>
        <v>female</v>
      </c>
      <c r="G41" s="23">
        <f>_xlfn.XLOOKUP(Rotation[[#This Row],[Name]],SimList[Name],SimList[Born])</f>
        <v>66</v>
      </c>
      <c r="H41">
        <f>Rotation[[#This Row],[Year]]-Rotation[[#This Row],[Born]]</f>
        <v>6</v>
      </c>
      <c r="I41" t="str">
        <f>_xlfn.XLOOKUP(Rotation[[#This Row],[Age]],Lifestages[Age],Lifestages[Lifestage],"",-1)</f>
        <v>Child</v>
      </c>
      <c r="J41" t="s">
        <v>318</v>
      </c>
      <c r="K41" s="39" t="s">
        <v>315</v>
      </c>
    </row>
    <row r="42" spans="1:14" x14ac:dyDescent="0.25">
      <c r="A42" s="3">
        <v>7</v>
      </c>
      <c r="B42" s="3">
        <v>72</v>
      </c>
      <c r="C42" t="s">
        <v>87</v>
      </c>
      <c r="D42" s="3" t="s">
        <v>140</v>
      </c>
      <c r="E42" s="3" t="s">
        <v>87</v>
      </c>
      <c r="F42" s="3" t="str">
        <f>_xlfn.XLOOKUP(Rotation[[#This Row],[Name]],SimList[Name],SimList[Gender])</f>
        <v>male</v>
      </c>
      <c r="G42" s="23">
        <f>_xlfn.XLOOKUP(Rotation[[#This Row],[Name]],SimList[Name],SimList[Born])</f>
        <v>68</v>
      </c>
      <c r="H42">
        <f>Rotation[[#This Row],[Year]]-Rotation[[#This Row],[Born]]</f>
        <v>4</v>
      </c>
      <c r="I42" t="str">
        <f>_xlfn.XLOOKUP(Rotation[[#This Row],[Age]],Lifestages[Age],Lifestages[Lifestage],"",-1)</f>
        <v>Toddler</v>
      </c>
      <c r="K42" s="39" t="s">
        <v>315</v>
      </c>
    </row>
    <row r="43" spans="1:14" x14ac:dyDescent="0.25">
      <c r="A43" s="3">
        <v>7</v>
      </c>
      <c r="B43" s="3">
        <v>72</v>
      </c>
      <c r="C43" t="s">
        <v>87</v>
      </c>
      <c r="D43" s="3" t="s">
        <v>141</v>
      </c>
      <c r="E43" s="3" t="s">
        <v>87</v>
      </c>
      <c r="F43" s="3" t="str">
        <f>_xlfn.XLOOKUP(Rotation[[#This Row],[Name]],SimList[Name],SimList[Gender])</f>
        <v>female</v>
      </c>
      <c r="G43" s="23">
        <f>_xlfn.XLOOKUP(Rotation[[#This Row],[Name]],SimList[Name],SimList[Born])</f>
        <v>68</v>
      </c>
      <c r="H43">
        <f>Rotation[[#This Row],[Year]]-Rotation[[#This Row],[Born]]</f>
        <v>4</v>
      </c>
      <c r="I43" t="str">
        <f>_xlfn.XLOOKUP(Rotation[[#This Row],[Age]],Lifestages[Age],Lifestages[Lifestage],"",-1)</f>
        <v>Toddler</v>
      </c>
      <c r="J43" t="s">
        <v>317</v>
      </c>
      <c r="K43" s="39" t="s">
        <v>316</v>
      </c>
    </row>
    <row r="44" spans="1:14" x14ac:dyDescent="0.25">
      <c r="A44" s="3">
        <v>8</v>
      </c>
      <c r="B44" s="3">
        <v>72</v>
      </c>
      <c r="C44" t="s">
        <v>89</v>
      </c>
      <c r="D44" s="3" t="s">
        <v>82</v>
      </c>
      <c r="E44" s="3" t="s">
        <v>89</v>
      </c>
      <c r="F44" s="3" t="str">
        <f>_xlfn.XLOOKUP(Rotation[[#This Row],[Name]],SimList[Name],SimList[Gender])</f>
        <v>female</v>
      </c>
      <c r="G44" s="23">
        <f>_xlfn.XLOOKUP(Rotation[[#This Row],[Name]],SimList[Name],SimList[Born])</f>
        <v>36</v>
      </c>
      <c r="H44">
        <f>Rotation[[#This Row],[Year]]-Rotation[[#This Row],[Born]]</f>
        <v>36</v>
      </c>
      <c r="I44" t="str">
        <f>_xlfn.XLOOKUP(Rotation[[#This Row],[Age]],Lifestages[Age],Lifestages[Lifestage],"",-1)</f>
        <v>Adult</v>
      </c>
      <c r="J44" t="s">
        <v>104</v>
      </c>
    </row>
    <row r="45" spans="1:14" x14ac:dyDescent="0.25">
      <c r="A45" s="3">
        <v>8</v>
      </c>
      <c r="B45" s="3">
        <v>72</v>
      </c>
      <c r="C45" t="s">
        <v>89</v>
      </c>
      <c r="D45" s="3" t="s">
        <v>13</v>
      </c>
      <c r="E45" s="3" t="s">
        <v>87</v>
      </c>
      <c r="F45" s="3" t="str">
        <f>_xlfn.XLOOKUP(Rotation[[#This Row],[Name]],SimList[Name],SimList[Gender])</f>
        <v>male</v>
      </c>
      <c r="G45" s="23">
        <f>_xlfn.XLOOKUP(Rotation[[#This Row],[Name]],SimList[Name],SimList[Born])</f>
        <v>43</v>
      </c>
      <c r="H45">
        <f>Rotation[[#This Row],[Year]]-Rotation[[#This Row],[Born]]</f>
        <v>29</v>
      </c>
      <c r="I45" t="str">
        <f>_xlfn.XLOOKUP(Rotation[[#This Row],[Age]],Lifestages[Age],Lifestages[Lifestage],"",-1)</f>
        <v>Adult</v>
      </c>
    </row>
    <row r="46" spans="1:14" x14ac:dyDescent="0.25">
      <c r="A46" s="3">
        <v>8</v>
      </c>
      <c r="B46" s="3">
        <v>72</v>
      </c>
      <c r="C46" t="s">
        <v>89</v>
      </c>
      <c r="D46" s="3" t="s">
        <v>109</v>
      </c>
      <c r="E46" s="3" t="s">
        <v>89</v>
      </c>
      <c r="F46" s="3" t="str">
        <f>_xlfn.XLOOKUP(Rotation[[#This Row],[Name]],SimList[Name],SimList[Gender])</f>
        <v>female</v>
      </c>
      <c r="G46" s="23">
        <f>_xlfn.XLOOKUP(Rotation[[#This Row],[Name]],SimList[Name],SimList[Born])</f>
        <v>64</v>
      </c>
      <c r="H46">
        <f>Rotation[[#This Row],[Year]]-Rotation[[#This Row],[Born]]</f>
        <v>8</v>
      </c>
      <c r="I46" t="str">
        <f>_xlfn.XLOOKUP(Rotation[[#This Row],[Age]],Lifestages[Age],Lifestages[Lifestage],"",-1)</f>
        <v>Child</v>
      </c>
    </row>
  </sheetData>
  <phoneticPr fontId="4" type="noConversion"/>
  <conditionalFormatting sqref="A2:B2 B3:B12">
    <cfRule type="expression" dxfId="8" priority="217">
      <formula>#REF! =$A2</formula>
    </cfRule>
  </conditionalFormatting>
  <conditionalFormatting sqref="A3:B46">
    <cfRule type="expression" dxfId="7" priority="107">
      <formula>$A2 =$A3</formula>
    </cfRule>
  </conditionalFormatting>
  <conditionalFormatting sqref="A2:K46">
    <cfRule type="expression" dxfId="6" priority="150">
      <formula>$A2&lt;&gt;$A3</formula>
    </cfRule>
  </conditionalFormatting>
  <conditionalFormatting sqref="E2:E46">
    <cfRule type="cellIs" dxfId="5" priority="3" operator="notEqual">
      <formula>"Ishigami"</formula>
    </cfRule>
  </conditionalFormatting>
  <conditionalFormatting sqref="F1:F46">
    <cfRule type="cellIs" dxfId="4" priority="6" operator="equal">
      <formula>"female"</formula>
    </cfRule>
    <cfRule type="cellIs" dxfId="3" priority="7" operator="equal">
      <formula>"male"</formula>
    </cfRule>
  </conditionalFormatting>
  <conditionalFormatting sqref="G2:G46">
    <cfRule type="colorScale" priority="11">
      <colorScale>
        <cfvo type="min"/>
        <cfvo type="max"/>
        <color rgb="FFFFEF9C"/>
        <color rgb="FF63BE7B"/>
      </colorScale>
    </cfRule>
  </conditionalFormatting>
  <conditionalFormatting sqref="M5">
    <cfRule type="containsErrors" dxfId="2" priority="4">
      <formula>ISERROR(M5)</formula>
    </cfRule>
  </conditionalFormatting>
  <conditionalFormatting sqref="N12:N21">
    <cfRule type="dataBar" priority="1">
      <dataBar showValue="0">
        <cfvo type="min"/>
        <cfvo type="max"/>
        <color rgb="FFFF555A"/>
      </dataBar>
      <extLst>
        <ext xmlns:x14="http://schemas.microsoft.com/office/spreadsheetml/2009/9/main" uri="{B025F937-C7B1-47D3-B67F-A62EFF666E3E}">
          <x14:id>{8263ED87-D02B-48CC-AD74-DAEF38FA330A}</x14:id>
        </ext>
      </extLst>
    </cfRule>
  </conditionalFormatting>
  <dataValidations count="1">
    <dataValidation type="list" allowBlank="1" showInputMessage="1" showErrorMessage="1" sqref="M2" xr:uid="{D3A59352-1E6B-466D-B5F2-79B043B47E57}">
      <formula1>$D$2:$D$46</formula1>
    </dataValidation>
  </dataValidations>
  <pageMargins left="0.7" right="0.7" top="0.78740157499999996" bottom="0.78740157499999996" header="0.3" footer="0.3"/>
  <tableParts count="2">
    <tablePart r:id="rId1"/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263ED87-D02B-48CC-AD74-DAEF38FA330A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N12:N21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DC0A0-3B96-4856-A6DE-E09ACE4E3918}">
  <dimension ref="A1:N11"/>
  <sheetViews>
    <sheetView workbookViewId="0">
      <selection activeCell="E20" sqref="E20"/>
    </sheetView>
  </sheetViews>
  <sheetFormatPr defaultColWidth="11.42578125" defaultRowHeight="15" x14ac:dyDescent="0.25"/>
  <cols>
    <col min="1" max="1" width="13.42578125" bestFit="1" customWidth="1"/>
    <col min="2" max="2" width="6.28515625" bestFit="1" customWidth="1"/>
    <col min="3" max="3" width="17.5703125" bestFit="1" customWidth="1"/>
    <col min="4" max="4" width="12.28515625" bestFit="1" customWidth="1"/>
    <col min="5" max="5" width="13.140625" bestFit="1" customWidth="1"/>
  </cols>
  <sheetData>
    <row r="1" spans="1:14" x14ac:dyDescent="0.25">
      <c r="A1" s="175" t="s">
        <v>59</v>
      </c>
      <c r="B1" t="s">
        <v>170</v>
      </c>
      <c r="C1" t="s">
        <v>167</v>
      </c>
      <c r="D1" t="s">
        <v>168</v>
      </c>
      <c r="E1" t="s">
        <v>320</v>
      </c>
      <c r="N1" t="s">
        <v>111</v>
      </c>
    </row>
    <row r="2" spans="1:14" x14ac:dyDescent="0.25">
      <c r="A2" s="176" t="s">
        <v>117</v>
      </c>
      <c r="B2" s="209">
        <v>6</v>
      </c>
      <c r="C2" s="38">
        <v>0</v>
      </c>
      <c r="D2" s="177">
        <v>4.333333333333333</v>
      </c>
      <c r="E2" s="209">
        <v>2191</v>
      </c>
      <c r="N2" s="210" t="e">
        <f>COUNTIFS(SimList[Gen],A2,SimList[Gender],"male")/A2</f>
        <v>#VALUE!</v>
      </c>
    </row>
    <row r="3" spans="1:14" x14ac:dyDescent="0.25">
      <c r="A3" s="176" t="s">
        <v>61</v>
      </c>
      <c r="B3" s="209">
        <v>11</v>
      </c>
      <c r="C3" s="38">
        <v>0</v>
      </c>
      <c r="D3" s="177">
        <v>4.1818181818181817</v>
      </c>
      <c r="E3" s="209">
        <v>4169</v>
      </c>
      <c r="N3" s="210">
        <f>COUNTIFS(SimList[Gen],A3,SimList[Gender],"male")/GETPIVOTDATA("Count",$A3,"Gen","G1")</f>
        <v>1</v>
      </c>
    </row>
    <row r="4" spans="1:14" x14ac:dyDescent="0.25">
      <c r="A4" s="176" t="s">
        <v>20</v>
      </c>
      <c r="B4" s="209">
        <v>15</v>
      </c>
      <c r="C4" s="38">
        <v>0</v>
      </c>
      <c r="D4" s="177">
        <v>1</v>
      </c>
      <c r="E4" s="209">
        <v>6210</v>
      </c>
      <c r="N4" s="210">
        <f>COUNTIFS(SimList[Gen],A4,SimList[Gender],"male")/GETPIVOTDATA("Count",$A4,"Gen","G1")</f>
        <v>1.5</v>
      </c>
    </row>
    <row r="5" spans="1:14" x14ac:dyDescent="0.25">
      <c r="A5" s="176" t="s">
        <v>127</v>
      </c>
      <c r="B5" s="209">
        <v>4</v>
      </c>
      <c r="C5" s="38">
        <v>0</v>
      </c>
      <c r="D5" s="177">
        <v>4.25</v>
      </c>
      <c r="E5" s="209">
        <v>1589</v>
      </c>
      <c r="N5" s="210">
        <f>COUNTIFS(SimList[Gen],A5,SimList[Gender],"male")/GETPIVOTDATA("Count",$A5,"Gen","G1")</f>
        <v>0.16666666666666666</v>
      </c>
    </row>
    <row r="6" spans="1:14" x14ac:dyDescent="0.25">
      <c r="A6" s="176" t="s">
        <v>120</v>
      </c>
      <c r="B6" s="209">
        <v>3</v>
      </c>
      <c r="C6" s="38">
        <v>6.25E-2</v>
      </c>
      <c r="D6" s="177">
        <v>0</v>
      </c>
      <c r="E6" s="209">
        <v>390</v>
      </c>
      <c r="N6" s="210">
        <f>COUNTIFS(SimList[Gen],A6,SimList[Gender],"male")/GETPIVOTDATA("Count",$A6,"Gen","G1")</f>
        <v>0.33333333333333331</v>
      </c>
    </row>
    <row r="7" spans="1:14" x14ac:dyDescent="0.25">
      <c r="A7" s="176" t="s">
        <v>128</v>
      </c>
      <c r="B7" s="209">
        <v>7</v>
      </c>
      <c r="C7" s="38">
        <v>4.464285714285714E-3</v>
      </c>
      <c r="D7" s="177">
        <v>0</v>
      </c>
      <c r="E7" s="209">
        <v>1538</v>
      </c>
      <c r="N7" s="210">
        <f>COUNTIFS(SimList[Gen],A7,SimList[Gender],"male")/GETPIVOTDATA("Count",$A7,"Gen","G1")</f>
        <v>0.33333333333333331</v>
      </c>
    </row>
    <row r="8" spans="1:14" x14ac:dyDescent="0.25">
      <c r="A8" s="176" t="s">
        <v>126</v>
      </c>
      <c r="B8" s="209">
        <v>6</v>
      </c>
      <c r="C8" s="38">
        <v>0</v>
      </c>
      <c r="D8" s="177">
        <v>0</v>
      </c>
      <c r="E8" s="209">
        <v>2310</v>
      </c>
      <c r="N8" s="210">
        <f>COUNTIFS(SimList[Gen],A8,SimList[Gender],"male")/GETPIVOTDATA("Count",$A8,"Gen","G1")</f>
        <v>0.5</v>
      </c>
    </row>
    <row r="9" spans="1:14" x14ac:dyDescent="0.25">
      <c r="A9" s="176" t="s">
        <v>129</v>
      </c>
      <c r="B9" s="209">
        <v>3</v>
      </c>
      <c r="C9" s="38">
        <v>3.125E-2</v>
      </c>
      <c r="D9" s="177">
        <v>0</v>
      </c>
      <c r="E9" s="209">
        <v>417</v>
      </c>
      <c r="N9" s="210">
        <f>COUNTIFS(SimList[Gen],A9,SimList[Gender],"male")/GETPIVOTDATA("Count",$A9,"Gen","G1")</f>
        <v>0.16666666666666666</v>
      </c>
    </row>
    <row r="10" spans="1:14" x14ac:dyDescent="0.25">
      <c r="A10" s="176" t="s">
        <v>130</v>
      </c>
      <c r="B10" s="209">
        <v>3</v>
      </c>
      <c r="C10" s="38">
        <v>3.125E-2</v>
      </c>
      <c r="D10" s="177">
        <v>0</v>
      </c>
      <c r="E10" s="209">
        <v>476</v>
      </c>
      <c r="N10" s="210">
        <f>COUNTIFS(SimList[Gen],A10,SimList[Gender],"male")/GETPIVOTDATA("Count",$A10,"Gen","G1")</f>
        <v>0.33333333333333331</v>
      </c>
    </row>
    <row r="11" spans="1:14" x14ac:dyDescent="0.25">
      <c r="A11" s="176" t="s">
        <v>166</v>
      </c>
      <c r="B11" s="209">
        <v>58</v>
      </c>
      <c r="C11" s="38">
        <v>7.0043103448275863E-3</v>
      </c>
      <c r="D11" s="177">
        <v>1.7931034482758621</v>
      </c>
      <c r="E11" s="209">
        <v>19290</v>
      </c>
    </row>
  </sheetData>
  <pageMargins left="0.7" right="0.7" top="0.78740157499999996" bottom="0.78740157499999996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D3D89-53D5-4C0B-A984-7E464F554245}">
  <dimension ref="A1:B13"/>
  <sheetViews>
    <sheetView workbookViewId="0">
      <selection activeCell="F9" sqref="F9"/>
    </sheetView>
  </sheetViews>
  <sheetFormatPr defaultRowHeight="15" x14ac:dyDescent="0.25"/>
  <cols>
    <col min="1" max="1" width="16.5703125" bestFit="1" customWidth="1"/>
    <col min="2" max="2" width="23.5703125" bestFit="1" customWidth="1"/>
  </cols>
  <sheetData>
    <row r="1" spans="1:2" x14ac:dyDescent="0.25">
      <c r="A1" t="s">
        <v>177</v>
      </c>
      <c r="B1" t="s">
        <v>178</v>
      </c>
    </row>
    <row r="2" spans="1:2" x14ac:dyDescent="0.25">
      <c r="A2" t="s">
        <v>179</v>
      </c>
      <c r="B2" t="s">
        <v>180</v>
      </c>
    </row>
    <row r="3" spans="1:2" x14ac:dyDescent="0.25">
      <c r="A3" t="s">
        <v>181</v>
      </c>
      <c r="B3" t="s">
        <v>191</v>
      </c>
    </row>
    <row r="4" spans="1:2" x14ac:dyDescent="0.25">
      <c r="A4" t="s">
        <v>182</v>
      </c>
      <c r="B4" t="s">
        <v>192</v>
      </c>
    </row>
    <row r="5" spans="1:2" x14ac:dyDescent="0.25">
      <c r="A5" t="s">
        <v>183</v>
      </c>
      <c r="B5" t="s">
        <v>193</v>
      </c>
    </row>
    <row r="6" spans="1:2" x14ac:dyDescent="0.25">
      <c r="A6" t="s">
        <v>184</v>
      </c>
      <c r="B6" t="s">
        <v>194</v>
      </c>
    </row>
    <row r="7" spans="1:2" x14ac:dyDescent="0.25">
      <c r="A7" t="s">
        <v>185</v>
      </c>
      <c r="B7" t="s">
        <v>195</v>
      </c>
    </row>
    <row r="8" spans="1:2" x14ac:dyDescent="0.25">
      <c r="A8" t="s">
        <v>190</v>
      </c>
      <c r="B8" t="s">
        <v>196</v>
      </c>
    </row>
    <row r="9" spans="1:2" x14ac:dyDescent="0.25">
      <c r="A9" t="s">
        <v>186</v>
      </c>
      <c r="B9" t="s">
        <v>197</v>
      </c>
    </row>
    <row r="10" spans="1:2" x14ac:dyDescent="0.25">
      <c r="A10" t="s">
        <v>187</v>
      </c>
      <c r="B10" t="s">
        <v>198</v>
      </c>
    </row>
    <row r="11" spans="1:2" x14ac:dyDescent="0.25">
      <c r="A11" t="s">
        <v>188</v>
      </c>
      <c r="B11" t="s">
        <v>199</v>
      </c>
    </row>
    <row r="12" spans="1:2" x14ac:dyDescent="0.25">
      <c r="A12" t="s">
        <v>189</v>
      </c>
      <c r="B12" t="s">
        <v>200</v>
      </c>
    </row>
    <row r="13" spans="1:2" x14ac:dyDescent="0.25">
      <c r="B13" t="s">
        <v>201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CAE1-5338-498B-9C74-05B0A5260A83}">
  <dimension ref="A1:B8"/>
  <sheetViews>
    <sheetView workbookViewId="0"/>
  </sheetViews>
  <sheetFormatPr defaultRowHeight="15" x14ac:dyDescent="0.25"/>
  <cols>
    <col min="1" max="1" width="9.7109375" bestFit="1" customWidth="1"/>
    <col min="2" max="2" width="37.42578125" bestFit="1" customWidth="1"/>
  </cols>
  <sheetData>
    <row r="1" spans="1:2" x14ac:dyDescent="0.25">
      <c r="A1" s="183" t="s">
        <v>202</v>
      </c>
      <c r="B1" s="184" t="s">
        <v>203</v>
      </c>
    </row>
    <row r="2" spans="1:2" x14ac:dyDescent="0.25">
      <c r="A2" s="185" t="s">
        <v>204</v>
      </c>
      <c r="B2" s="186" t="s">
        <v>205</v>
      </c>
    </row>
    <row r="3" spans="1:2" x14ac:dyDescent="0.25">
      <c r="A3" s="187" t="s">
        <v>206</v>
      </c>
      <c r="B3" s="182" t="s">
        <v>207</v>
      </c>
    </row>
    <row r="4" spans="1:2" x14ac:dyDescent="0.25">
      <c r="A4" s="188" t="s">
        <v>208</v>
      </c>
      <c r="B4" s="186" t="s">
        <v>209</v>
      </c>
    </row>
    <row r="5" spans="1:2" x14ac:dyDescent="0.25">
      <c r="A5" s="189" t="s">
        <v>210</v>
      </c>
      <c r="B5" s="184" t="s">
        <v>211</v>
      </c>
    </row>
    <row r="6" spans="1:2" x14ac:dyDescent="0.25">
      <c r="A6" s="190" t="s">
        <v>212</v>
      </c>
      <c r="B6" s="186" t="s">
        <v>213</v>
      </c>
    </row>
    <row r="7" spans="1:2" x14ac:dyDescent="0.25">
      <c r="A7" s="191" t="s">
        <v>214</v>
      </c>
      <c r="B7" s="182" t="s">
        <v>215</v>
      </c>
    </row>
    <row r="8" spans="1:2" x14ac:dyDescent="0.25">
      <c r="A8" s="192" t="s">
        <v>216</v>
      </c>
      <c r="B8" s="186" t="s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DBF7-E741-4869-A0FA-A2DBF7E3C553}">
  <dimension ref="A1:G9"/>
  <sheetViews>
    <sheetView workbookViewId="0">
      <selection activeCell="F16" sqref="F16"/>
    </sheetView>
  </sheetViews>
  <sheetFormatPr defaultRowHeight="15" x14ac:dyDescent="0.25"/>
  <cols>
    <col min="1" max="1" width="13.5703125" bestFit="1" customWidth="1"/>
    <col min="2" max="2" width="12.42578125" bestFit="1" customWidth="1"/>
    <col min="3" max="3" width="25" bestFit="1" customWidth="1"/>
    <col min="4" max="4" width="8.42578125" bestFit="1" customWidth="1"/>
    <col min="5" max="5" width="8.42578125" customWidth="1"/>
    <col min="6" max="6" width="9.140625" bestFit="1" customWidth="1"/>
    <col min="7" max="10" width="10.140625" bestFit="1" customWidth="1"/>
    <col min="11" max="11" width="12.28515625" customWidth="1"/>
    <col min="12" max="12" width="13.5703125" bestFit="1" customWidth="1"/>
    <col min="13" max="13" width="25" bestFit="1" customWidth="1"/>
  </cols>
  <sheetData>
    <row r="1" spans="1:7" ht="19.5" x14ac:dyDescent="0.3">
      <c r="A1" s="208" t="s">
        <v>232</v>
      </c>
      <c r="B1" s="208"/>
      <c r="C1" s="208"/>
      <c r="D1" s="202"/>
      <c r="E1" s="202"/>
      <c r="F1" s="202"/>
      <c r="G1" s="202"/>
    </row>
    <row r="3" spans="1:7" x14ac:dyDescent="0.25">
      <c r="A3" t="s">
        <v>241</v>
      </c>
      <c r="B3" t="s">
        <v>240</v>
      </c>
      <c r="C3" t="s">
        <v>233</v>
      </c>
    </row>
    <row r="4" spans="1:7" x14ac:dyDescent="0.25">
      <c r="A4" s="193" t="s">
        <v>242</v>
      </c>
      <c r="B4" s="195" t="s">
        <v>235</v>
      </c>
      <c r="C4" t="s">
        <v>307</v>
      </c>
    </row>
    <row r="5" spans="1:7" x14ac:dyDescent="0.25">
      <c r="A5" t="s">
        <v>243</v>
      </c>
      <c r="B5" s="196" t="s">
        <v>238</v>
      </c>
      <c r="C5" t="s">
        <v>308</v>
      </c>
    </row>
    <row r="6" spans="1:7" x14ac:dyDescent="0.25">
      <c r="A6" s="193" t="s">
        <v>244</v>
      </c>
      <c r="B6" s="197" t="s">
        <v>237</v>
      </c>
      <c r="C6" t="s">
        <v>309</v>
      </c>
    </row>
    <row r="7" spans="1:7" x14ac:dyDescent="0.25">
      <c r="A7" s="193" t="s">
        <v>245</v>
      </c>
      <c r="B7" s="198" t="s">
        <v>239</v>
      </c>
      <c r="C7" t="s">
        <v>310</v>
      </c>
    </row>
    <row r="8" spans="1:7" x14ac:dyDescent="0.25">
      <c r="A8" s="193" t="s">
        <v>306</v>
      </c>
      <c r="B8" s="201" t="s">
        <v>236</v>
      </c>
      <c r="C8" t="s">
        <v>311</v>
      </c>
    </row>
    <row r="9" spans="1:7" x14ac:dyDescent="0.25">
      <c r="A9" s="193" t="s">
        <v>305</v>
      </c>
      <c r="B9" s="199" t="s">
        <v>234</v>
      </c>
      <c r="C9" t="s">
        <v>312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Database</vt:lpstr>
      <vt:lpstr>Relatedness</vt:lpstr>
      <vt:lpstr>Rotation</vt:lpstr>
      <vt:lpstr>Birth Rate</vt:lpstr>
      <vt:lpstr>Names</vt:lpstr>
      <vt:lpstr>Genetics</vt:lpstr>
      <vt:lpstr>Aspiration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ZZ23 Gmelch Dominik</dc:creator>
  <cp:lastModifiedBy>ZZ23 Gmelch Dominik</cp:lastModifiedBy>
  <dcterms:created xsi:type="dcterms:W3CDTF">2023-09-21T12:43:29Z</dcterms:created>
  <dcterms:modified xsi:type="dcterms:W3CDTF">2023-10-23T18:26:50Z</dcterms:modified>
</cp:coreProperties>
</file>